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firstSheet="2"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Breakdown'!$A$1:$AC$24</definedName>
    <definedName name="TM1REBUILDOPTION">1</definedName>
  </definedNames>
  <calcPr calcId="145621" calcMode="manual" concurrentCalc="0"/>
</workbook>
</file>

<file path=xl/calcChain.xml><?xml version="1.0" encoding="utf-8"?>
<calcChain xmlns="http://schemas.openxmlformats.org/spreadsheetml/2006/main">
  <c r="K81" i="13" l="1"/>
  <c r="K59" i="13"/>
  <c r="P18" i="11"/>
  <c r="K72" i="13"/>
  <c r="V18" i="11"/>
  <c r="AB18" i="11"/>
  <c r="K60" i="13"/>
  <c r="P19" i="11"/>
  <c r="V19" i="11"/>
  <c r="AB19" i="11"/>
  <c r="AB21" i="11"/>
  <c r="J81" i="13"/>
  <c r="J59" i="13"/>
  <c r="O18" i="11"/>
  <c r="J72" i="13"/>
  <c r="U18" i="11"/>
  <c r="AA18" i="11"/>
  <c r="J60" i="13"/>
  <c r="O19" i="11"/>
  <c r="U19" i="11"/>
  <c r="AA19" i="11"/>
  <c r="AA21" i="11"/>
  <c r="I81" i="13"/>
  <c r="I59" i="13"/>
  <c r="N18" i="11"/>
  <c r="I72" i="13"/>
  <c r="T18" i="11"/>
  <c r="Z18" i="11"/>
  <c r="I60" i="13"/>
  <c r="N19" i="11"/>
  <c r="T19" i="11"/>
  <c r="Z19" i="11"/>
  <c r="Z21" i="11"/>
  <c r="H81" i="13"/>
  <c r="H59" i="13"/>
  <c r="M18" i="11"/>
  <c r="H72" i="13"/>
  <c r="S18" i="11"/>
  <c r="Y18" i="11"/>
  <c r="H60" i="13"/>
  <c r="M19" i="11"/>
  <c r="S19" i="11"/>
  <c r="Y19" i="11"/>
  <c r="Y21" i="11"/>
  <c r="G81" i="13"/>
  <c r="G59" i="13"/>
  <c r="L18" i="11"/>
  <c r="G72" i="13"/>
  <c r="R18" i="11"/>
  <c r="X18" i="11"/>
  <c r="G60" i="13"/>
  <c r="L19" i="11"/>
  <c r="R19" i="11"/>
  <c r="X19" i="11"/>
  <c r="X21" i="11"/>
  <c r="V21" i="11"/>
  <c r="U21" i="11"/>
  <c r="T21" i="11"/>
  <c r="S21" i="11"/>
  <c r="R21" i="11"/>
  <c r="P21" i="11"/>
  <c r="O21" i="11"/>
  <c r="N21" i="11"/>
  <c r="M21" i="11"/>
  <c r="L21" i="11"/>
  <c r="K74" i="13"/>
  <c r="F59" i="13"/>
  <c r="F60" i="13"/>
  <c r="E19" i="11"/>
  <c r="D34" i="8"/>
  <c r="F19" i="11"/>
  <c r="E34" i="8"/>
  <c r="G19" i="11"/>
  <c r="F34" i="8"/>
  <c r="H19" i="11"/>
  <c r="G34" i="8"/>
  <c r="D19" i="11"/>
  <c r="C34" i="8"/>
  <c r="H34" i="8"/>
  <c r="E18" i="11"/>
  <c r="D33" i="8"/>
  <c r="F18" i="11"/>
  <c r="E33" i="8"/>
  <c r="G18" i="11"/>
  <c r="F33" i="8"/>
  <c r="H18" i="11"/>
  <c r="G33" i="8"/>
  <c r="D18" i="11"/>
  <c r="C33" i="8"/>
  <c r="G26" i="13"/>
  <c r="H26" i="13"/>
  <c r="H28" i="13"/>
  <c r="H30" i="13"/>
  <c r="H32" i="13"/>
  <c r="G62" i="13"/>
  <c r="C3" i="11"/>
  <c r="J19" i="11"/>
  <c r="H38" i="13"/>
  <c r="J18" i="11"/>
  <c r="H21" i="11"/>
  <c r="G21" i="11"/>
  <c r="F21" i="11"/>
  <c r="E21" i="11"/>
  <c r="D21" i="11"/>
  <c r="H40" i="13"/>
  <c r="H42" i="13"/>
  <c r="G63" i="13"/>
  <c r="F63" i="13"/>
  <c r="F62" i="13"/>
  <c r="K83" i="13"/>
  <c r="K63" i="13"/>
  <c r="H9" i="8"/>
  <c r="J63" i="13"/>
  <c r="G9" i="8"/>
  <c r="I63" i="13"/>
  <c r="F9" i="8"/>
  <c r="H63" i="13"/>
  <c r="E9" i="8"/>
  <c r="D9" i="8"/>
  <c r="K62" i="13"/>
  <c r="H8" i="8"/>
  <c r="J62" i="13"/>
  <c r="G8" i="8"/>
  <c r="I62" i="13"/>
  <c r="F8" i="8"/>
  <c r="H62" i="13"/>
  <c r="E8" i="8"/>
  <c r="D8" i="8"/>
  <c r="H10" i="11"/>
  <c r="AB10" i="11"/>
  <c r="G10" i="11"/>
  <c r="AA10" i="11"/>
  <c r="F10" i="11"/>
  <c r="Z10" i="11"/>
  <c r="E10" i="11"/>
  <c r="Y10" i="11"/>
  <c r="D10" i="11"/>
  <c r="X10" i="11"/>
  <c r="H9" i="11"/>
  <c r="AB9" i="11"/>
  <c r="G9" i="11"/>
  <c r="AA9" i="11"/>
  <c r="F9" i="11"/>
  <c r="Z9" i="11"/>
  <c r="E9" i="11"/>
  <c r="Y9" i="11"/>
  <c r="D9" i="11"/>
  <c r="X9" i="11"/>
  <c r="K65" i="13"/>
  <c r="J65" i="13"/>
  <c r="I65" i="13"/>
  <c r="H65" i="13"/>
  <c r="B5" i="11"/>
  <c r="X12" i="11"/>
  <c r="C27" i="8"/>
  <c r="Y12" i="11"/>
  <c r="D27" i="8"/>
  <c r="Z12" i="11"/>
  <c r="E27" i="8"/>
  <c r="AA12" i="11"/>
  <c r="F27" i="8"/>
  <c r="AB12" i="11"/>
  <c r="G27" i="8"/>
  <c r="H27" i="8"/>
  <c r="B3" i="13"/>
  <c r="D30" i="8"/>
  <c r="E30" i="8"/>
  <c r="F30" i="8"/>
  <c r="G30" i="8"/>
  <c r="C30" i="8"/>
  <c r="D29" i="8"/>
  <c r="E29" i="8"/>
  <c r="F29" i="8"/>
  <c r="G29" i="8"/>
  <c r="C29" i="8"/>
  <c r="I49" i="13"/>
  <c r="J49" i="13"/>
  <c r="H49" i="13"/>
  <c r="K49" i="13"/>
  <c r="H29" i="8"/>
  <c r="H30" i="8"/>
  <c r="H31" i="8"/>
  <c r="G31" i="8"/>
  <c r="F31" i="8"/>
  <c r="E31" i="8"/>
  <c r="D31" i="8"/>
  <c r="C31" i="8"/>
  <c r="C40" i="8"/>
  <c r="D40" i="8"/>
  <c r="E40" i="8"/>
  <c r="F40" i="8"/>
  <c r="G40" i="8"/>
  <c r="H40" i="8"/>
  <c r="G49" i="13"/>
  <c r="H33" i="8"/>
  <c r="D3" i="9"/>
</calcChain>
</file>

<file path=xl/sharedStrings.xml><?xml version="1.0" encoding="utf-8"?>
<sst xmlns="http://schemas.openxmlformats.org/spreadsheetml/2006/main" count="228" uniqueCount="124">
  <si>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</si>
  <si>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</si>
  <si>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</si>
  <si>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</si>
  <si>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</si>
  <si>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</si>
  <si>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</si>
  <si>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</si>
  <si>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</si>
  <si>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</si>
  <si>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</si>
  <si>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</si>
  <si>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</si>
  <si>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</si>
  <si>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</si>
  <si>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</si>
  <si>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</si>
  <si>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</si>
  <si>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Average Hours per job</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</si>
  <si>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</si>
  <si>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</si>
  <si>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</si>
  <si>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</si>
  <si>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</si>
  <si>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</si>
  <si>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</si>
  <si>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</si>
  <si>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</si>
  <si>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EMPLOYEE_ID</t>
  </si>
  <si>
    <t>Name</t>
  </si>
  <si>
    <t>POS_TITLE</t>
  </si>
  <si>
    <t>Hourly Rate (Inc On-cost)</t>
  </si>
  <si>
    <t>Assumed annual labour growth</t>
  </si>
  <si>
    <t>Labour Growth</t>
  </si>
  <si>
    <t>Total Operating Expenditure</t>
  </si>
  <si>
    <t>Ancillary Network Services</t>
  </si>
  <si>
    <t>Data Input Work Sheet</t>
  </si>
  <si>
    <t>This worksheet left blank intentionally</t>
  </si>
  <si>
    <t>Calculation of Overhead Factor</t>
  </si>
  <si>
    <t>Overhead Factor</t>
  </si>
  <si>
    <t>Average Hourly Rate (2012/13$) - Incl OH</t>
  </si>
  <si>
    <t>Ancillary Network Services - Service Description</t>
  </si>
  <si>
    <t>Ancillary Network Services - Summary</t>
  </si>
  <si>
    <t>Ancillary Network Services - Fee Breakdown</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</si>
  <si>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</si>
  <si>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</si>
  <si>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</si>
  <si>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</si>
  <si>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</si>
  <si>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</si>
  <si>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</si>
  <si>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</si>
  <si>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</si>
  <si>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Average Hourly Rates - 2012/13 Dollars</t>
  </si>
  <si>
    <t>Average Hourly Rates - Forecast Nominal</t>
  </si>
  <si>
    <t>Growth</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</si>
  <si>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</si>
  <si>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</si>
  <si>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</si>
  <si>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</si>
  <si>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</si>
  <si>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</si>
  <si>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</si>
  <si>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</si>
  <si>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</si>
  <si>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</si>
  <si>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</si>
  <si>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</si>
  <si>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</si>
  <si>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</si>
  <si>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Planning studies and analysis relating to distribution connection applications</t>
  </si>
  <si>
    <t>Planning studies and analysis relating to distribution connection applications - Simple Jobs</t>
  </si>
  <si>
    <t>Planning studies and analysis relating to distribution connection applications - Complex Jobs</t>
  </si>
  <si>
    <t xml:space="preserve">NETWORK PLANNING ENGINEER               </t>
  </si>
  <si>
    <t xml:space="preserve">SENIOR TRANSMISSION PLANNER             </t>
  </si>
  <si>
    <t>Hours as per Work Order</t>
  </si>
  <si>
    <t>NCC10001</t>
  </si>
  <si>
    <t>ADMINISTRATION OF CONTESTABLE WORKS (50% Only)</t>
  </si>
  <si>
    <t>NCC10012</t>
  </si>
  <si>
    <t>CONNECTION APPLICATION ENQUIRIES (33% only)</t>
  </si>
  <si>
    <t>COMPLEX JOBS</t>
  </si>
  <si>
    <t>SIMPLE JOBS</t>
  </si>
  <si>
    <t>2012/13 Costs</t>
  </si>
  <si>
    <t>Planning Studies - Simple Jobs</t>
  </si>
  <si>
    <t>Planning Studies - SIMPLE JOBS - Per Hour</t>
  </si>
  <si>
    <t>Planning Studies - COMPLEX JOBS - Per Hour</t>
  </si>
  <si>
    <t>Planning Studies - Complex Jobs</t>
  </si>
  <si>
    <t>Forecast Volumes &amp; Hours</t>
  </si>
  <si>
    <t>Estimated Hours Per Job</t>
  </si>
  <si>
    <t>Simple Jobs</t>
  </si>
  <si>
    <t>Complex Jobs</t>
  </si>
  <si>
    <t>2015-2019 Pricing Methodology for Service (Summary)</t>
  </si>
  <si>
    <t>2008/09</t>
  </si>
  <si>
    <t xml:space="preserve">This represents a new fee for Endeavour Energy. As a result, there are no historic revenues associated with the provision of this service. </t>
  </si>
  <si>
    <t>Manager Network Connections advised that the mix of employees that cost time to these work orders (for Administration Services) are the same employees that would be involved in carrying out this ancillary network service. As a result these work orders are used as a proxy to determine average hourly rates for Planning Studies. The hourly labour rate is inflated by the overhead factor derived from the CAM to calculate a unit rate inclusive of network and corporate overheads.</t>
  </si>
  <si>
    <t>The Manager Asset &amp; Network Planning identified those employees that were involved in providing this service. Payroll data was extracted as at 14/06/13 and provided by the Budgeting &amp; Forecasting Manager.  These hourly labour rates represent 2012/13 labour costs. The hourly labour rate is inflated by the overhead factor derived from the CAM to calculate a unit rate inclusive of network and corporate overheads.</t>
  </si>
  <si>
    <t>Historic data in relation to volumes or hours required per job is not available for the provision of this service. 
Forecast volumes and hours were provided by Manager Network Connections (simple jobs) and Manager Asset &amp; Network Planning (complex jobs).</t>
  </si>
  <si>
    <t>The average hourly labour rate in 2012/13 real dollars is converted to nominal dollars for each year in the next regulatory period using the nominal conversion factors derived from the CAM.</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</si>
  <si>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</si>
  <si>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</si>
  <si>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</si>
  <si>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</si>
  <si>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This represents a new fee for Endeavour Energy. As a result, there is no existing service description for the 2009-14 regulatory period.</t>
  </si>
  <si>
    <t>No description provided.</t>
  </si>
  <si>
    <t>This service involves undertaking necessary planning studies and associated technical analysis to help determine suitable/feasible connection options for further consideration by proponents. This service applies mainly to large loads and generators where suitable connection options are not necessarily obvious and may result in potentially significant impacts on DNSP’s existing network development strategies and augmentation requirements.
For some projects, a technical assessment of a nominated option may need to be explored to ensure sufficient cost and timing certainty for an applicant and to help underpin subsequent connection offers. A detailed report, or reports, are provided as agreed and form a basis for the customer’s final proposal.</t>
  </si>
  <si>
    <t>Average Hourly Rate (2012/13$) - Excl OH</t>
  </si>
  <si>
    <t>Pricing Mechanism:</t>
  </si>
  <si>
    <t>N/A - represents a new fee for the 2015-19 regulatory period</t>
  </si>
  <si>
    <t>Based on the following labour rates per hour for the 2015-19 regulatory period</t>
  </si>
  <si>
    <t>3) An overhead factor derived from Endeavour Energy's Cost Allocation Model ('CAM') was applied to the direct cost labour rates to calculate labour rates inclusive of network and corporate overheads. In addition, a 2012/13 real to nominal conversion factor derived from the CAM was applied to the labour rates to calculate forecast labour rates in nominal dollars over the 2015-19 regulatory period.</t>
  </si>
  <si>
    <t>Proposed fees (including network and corporate overheads) were multiplied by forecast volumes to calculate forecast revenue. Forecast costs associated with the provision of this service were calculated by multiplying direct cost labour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provided by the Manager Network Connections (simple jobs) and the Manager Asset &amp; Network Planning (complex jobs).</t>
  </si>
  <si>
    <t>Volumes - Simple Jobs</t>
  </si>
  <si>
    <t>Volumes - Complex Jobs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</si>
  <si>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</si>
  <si>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2) As historic work order data was not available for the provision of this service, a 2012/13 hourly labour rate was developed based on information provided by relevant internal stakeholders. This included identifying the individuals involved in the provision of this service and obtaining their actual 2012/13 labour rate inclusive of labour on-costs.</t>
  </si>
  <si>
    <t>Specific work orders do not exist which capture the costs associated with the provision of this service. Current costs are estimated based on information provided by relevant stakeholders.</t>
  </si>
  <si>
    <t>All unit rates have been calculated in real 2012/13 dollars for comparison purposes. To estimate labour rates in real 2012/13 dollars for prior years, the actual salary increases for award staff in those years has been used.</t>
  </si>
  <si>
    <t>Per hour</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</si>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</sst>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274">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0" fontId="11" fillId="0" borderId="7" xfId="0" applyFont="1" applyFill="1" applyBorder="1" applyAlignment="1">
      <alignment horizontal="lef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10" xfId="0" applyNumberFormat="1" applyFont="1" applyBorder="1" applyAlignment="1">
      <alignment vertical="center"/>
    </xf>
    <xf numFmtId="170" fontId="11" fillId="0" borderId="19" xfId="0" applyNumberFormat="1" applyFont="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11" fillId="0" borderId="0" xfId="0"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8"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9" xfId="0" applyNumberFormat="1" applyFont="1" applyBorder="1" applyAlignment="1">
      <alignment horizontal="center" vertical="center"/>
    </xf>
    <xf numFmtId="0" fontId="11" fillId="0" borderId="18" xfId="0" applyFont="1" applyBorder="1" applyAlignment="1">
      <alignment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170" fontId="19" fillId="4" borderId="8" xfId="0" quotePrefix="1" applyNumberFormat="1" applyFont="1" applyFill="1" applyBorder="1" applyAlignment="1">
      <alignment horizontal="center" vertical="center" wrapText="1"/>
    </xf>
    <xf numFmtId="0" fontId="11" fillId="0" borderId="10" xfId="0" applyFont="1" applyBorder="1" applyAlignment="1">
      <alignment vertical="center"/>
    </xf>
    <xf numFmtId="169" fontId="5" fillId="0" borderId="0" xfId="0"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4" borderId="0" xfId="0" applyFont="1" applyFill="1" applyBorder="1" applyAlignment="1">
      <alignment horizontal="left" vertical="top" wrapText="1"/>
    </xf>
    <xf numFmtId="168" fontId="11" fillId="0" borderId="0" xfId="0" applyNumberFormat="1" applyFont="1" applyAlignment="1">
      <alignment vertical="center"/>
    </xf>
    <xf numFmtId="0" fontId="0" fillId="4" borderId="26" xfId="0" applyFont="1" applyFill="1" applyBorder="1" applyAlignment="1">
      <alignment horizontal="left"/>
    </xf>
    <xf numFmtId="0" fontId="5" fillId="4" borderId="2" xfId="0" applyFont="1" applyFill="1" applyBorder="1" applyAlignment="1">
      <alignment horizontal="left"/>
    </xf>
    <xf numFmtId="0" fontId="0" fillId="4" borderId="2" xfId="0" applyFont="1" applyFill="1" applyBorder="1" applyAlignment="1">
      <alignment horizontal="left"/>
    </xf>
    <xf numFmtId="0" fontId="11" fillId="0" borderId="7" xfId="0" applyFont="1" applyBorder="1" applyAlignment="1">
      <alignment horizontal="left" vertical="center" wrapText="1"/>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0" fontId="22" fillId="5" borderId="7" xfId="15" applyFont="1" applyFill="1" applyBorder="1" applyAlignment="1">
      <alignment horizontal="left"/>
    </xf>
    <xf numFmtId="0" fontId="22" fillId="5" borderId="11" xfId="15" applyFont="1" applyFill="1" applyBorder="1" applyAlignment="1">
      <alignment horizontal="left"/>
    </xf>
    <xf numFmtId="0" fontId="22" fillId="5" borderId="13" xfId="15" applyFont="1" applyFill="1" applyBorder="1" applyAlignment="1">
      <alignment horizontal="left"/>
    </xf>
    <xf numFmtId="0" fontId="22" fillId="5" borderId="12" xfId="15" applyFont="1" applyFill="1" applyBorder="1" applyAlignment="1">
      <alignment horizontal="left"/>
    </xf>
    <xf numFmtId="170" fontId="19" fillId="5" borderId="7" xfId="0" applyNumberFormat="1" applyFont="1" applyFill="1" applyBorder="1" applyAlignment="1">
      <alignment horizontal="center" vertical="center" wrapText="1"/>
    </xf>
    <xf numFmtId="0" fontId="11" fillId="0" borderId="21" xfId="0" applyFont="1" applyBorder="1" applyAlignment="1">
      <alignment vertical="center"/>
    </xf>
    <xf numFmtId="0" fontId="11" fillId="0" borderId="20" xfId="0" applyFont="1" applyBorder="1" applyAlignment="1">
      <alignment vertical="center"/>
    </xf>
    <xf numFmtId="0" fontId="11" fillId="0" borderId="8" xfId="0" applyFont="1" applyBorder="1" applyAlignment="1">
      <alignment vertical="center"/>
    </xf>
    <xf numFmtId="170" fontId="19" fillId="5" borderId="13" xfId="0" applyNumberFormat="1" applyFont="1" applyFill="1" applyBorder="1" applyAlignment="1">
      <alignment horizontal="center" vertical="center" wrapText="1"/>
    </xf>
    <xf numFmtId="170" fontId="19" fillId="0" borderId="23" xfId="0" applyNumberFormat="1" applyFont="1" applyBorder="1" applyAlignment="1">
      <alignment vertical="center"/>
    </xf>
    <xf numFmtId="0" fontId="19" fillId="0" borderId="16" xfId="0" applyFont="1" applyBorder="1" applyAlignment="1">
      <alignment vertical="center"/>
    </xf>
    <xf numFmtId="170" fontId="11" fillId="0" borderId="8" xfId="0" applyNumberFormat="1" applyFont="1" applyBorder="1" applyAlignment="1">
      <alignment vertical="center"/>
    </xf>
    <xf numFmtId="168" fontId="11" fillId="0" borderId="9" xfId="0" applyNumberFormat="1" applyFont="1" applyBorder="1" applyAlignment="1">
      <alignment vertical="center"/>
    </xf>
    <xf numFmtId="168" fontId="11" fillId="0" borderId="10" xfId="0" applyNumberFormat="1" applyFont="1" applyBorder="1" applyAlignment="1">
      <alignment vertical="center"/>
    </xf>
    <xf numFmtId="168" fontId="19" fillId="0" borderId="23"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69" fontId="19" fillId="0" borderId="7" xfId="0" applyNumberFormat="1" applyFont="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2" xfId="0" applyFont="1" applyBorder="1" applyAlignment="1">
      <alignment horizontal="left"/>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0" fontId="19" fillId="8" borderId="8" xfId="0" applyFont="1" applyFill="1" applyBorder="1" applyAlignment="1">
      <alignment horizontal="left" vertical="center"/>
    </xf>
    <xf numFmtId="170" fontId="11" fillId="0" borderId="14" xfId="0" applyNumberFormat="1" applyFont="1" applyBorder="1" applyAlignment="1">
      <alignment horizontal="right" vertical="center"/>
    </xf>
    <xf numFmtId="170" fontId="11" fillId="0" borderId="8"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9" fillId="5" borderId="25" xfId="0" applyNumberFormat="1" applyFont="1" applyFill="1" applyBorder="1" applyAlignment="1">
      <alignment horizontal="right"/>
    </xf>
    <xf numFmtId="170" fontId="19" fillId="5" borderId="23" xfId="0" applyNumberFormat="1" applyFont="1" applyFill="1" applyBorder="1" applyAlignment="1">
      <alignment horizontal="right"/>
    </xf>
    <xf numFmtId="170" fontId="19" fillId="5" borderId="24" xfId="0" applyNumberFormat="1" applyFont="1" applyFill="1" applyBorder="1" applyAlignment="1">
      <alignment horizontal="right"/>
    </xf>
    <xf numFmtId="170" fontId="19" fillId="5" borderId="7" xfId="0" applyNumberFormat="1" applyFont="1" applyFill="1" applyBorder="1" applyAlignment="1">
      <alignment horizontal="right"/>
    </xf>
    <xf numFmtId="0" fontId="11" fillId="0" borderId="9" xfId="0" applyFont="1" applyBorder="1" applyAlignment="1">
      <alignmen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0" xfId="0" applyNumberFormat="1" applyFont="1" applyAlignment="1">
      <alignment vertical="center"/>
    </xf>
    <xf numFmtId="171" fontId="11" fillId="0" borderId="16" xfId="0" applyNumberFormat="1" applyFont="1" applyBorder="1" applyAlignment="1">
      <alignment horizontal="right" vertical="center"/>
    </xf>
    <xf numFmtId="171" fontId="11" fillId="0" borderId="0"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170" fontId="11" fillId="0" borderId="21" xfId="0" applyNumberFormat="1" applyFont="1" applyBorder="1" applyAlignment="1">
      <alignment horizontal="right"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0" fontId="11" fillId="0" borderId="0" xfId="0" applyFont="1" applyBorder="1" applyAlignment="1">
      <alignment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67" fontId="19" fillId="2" borderId="7" xfId="0" applyNumberFormat="1" applyFont="1" applyFill="1" applyBorder="1" applyAlignment="1">
      <alignment horizontal="left" vertical="center"/>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170" fontId="11" fillId="2" borderId="11" xfId="0" applyNumberFormat="1" applyFont="1" applyFill="1" applyBorder="1" applyAlignment="1">
      <alignment horizontal="center" vertical="center"/>
    </xf>
    <xf numFmtId="170" fontId="11" fillId="2" borderId="12" xfId="0" applyNumberFormat="1" applyFont="1" applyFill="1" applyBorder="1" applyAlignment="1">
      <alignment horizontal="center" vertical="center"/>
    </xf>
    <xf numFmtId="170" fontId="11" fillId="2" borderId="13" xfId="0" applyNumberFormat="1" applyFont="1" applyFill="1" applyBorder="1" applyAlignment="1">
      <alignment horizontal="center" vertical="center"/>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87"/>
  <sheetViews>
    <sheetView showGridLines="0" zoomScaleNormal="100" workbookViewId="0">
      <selection activeCell="B35" sqref="B35:D36"/>
    </sheetView>
  </sheetViews>
  <sheetFormatPr defaultColWidth="9.140625" defaultRowHeight="12.75" x14ac:dyDescent="0.25"/>
  <cols>
    <col min="1" max="1" width="2.85546875" style="19" customWidth="1"/>
    <col min="2" max="2" width="21.140625" style="19" bestFit="1" customWidth="1"/>
    <col min="3" max="3" width="16.85546875" style="19" customWidth="1"/>
    <col min="4" max="4" width="13.42578125" style="19" bestFit="1" customWidth="1"/>
    <col min="5" max="5" width="13.42578125" style="19" customWidth="1"/>
    <col min="6" max="6" width="12.7109375" style="19" customWidth="1"/>
    <col min="7" max="10" width="12.85546875" style="21" customWidth="1"/>
    <col min="11" max="11" width="12.85546875" style="19" customWidth="1"/>
    <col min="12" max="12" width="2.85546875" style="19" customWidth="1"/>
    <col min="13" max="13" width="49.85546875" style="22" customWidth="1"/>
    <col min="14" max="14" width="2.85546875" style="19" customWidth="1"/>
    <col min="15" max="17" width="9.140625" style="19" customWidth="1"/>
    <col min="18" max="16384" width="9.140625" style="19"/>
  </cols>
  <sheetData>
    <row r="1" spans="2:13" x14ac:dyDescent="0.25">
      <c r="B1" s="20"/>
    </row>
    <row r="2" spans="2:13" ht="21" x14ac:dyDescent="0.25">
      <c r="B2" s="23" t="s">
        <v>35</v>
      </c>
    </row>
    <row r="3" spans="2:13" ht="21" x14ac:dyDescent="0.25">
      <c r="B3" s="23" t="str">
        <f>'AER Summary'!C3</f>
        <v>Planning studies and analysis relating to distribution connection applications</v>
      </c>
    </row>
    <row r="4" spans="2:13" ht="18.75" x14ac:dyDescent="0.25">
      <c r="B4" s="24" t="s">
        <v>36</v>
      </c>
    </row>
    <row r="6" spans="2:13" ht="15.75" x14ac:dyDescent="0.25">
      <c r="B6" s="25" t="s">
        <v>2</v>
      </c>
      <c r="C6" s="26"/>
      <c r="D6" s="26"/>
      <c r="E6" s="26"/>
      <c r="F6" s="26"/>
      <c r="G6" s="27"/>
      <c r="H6" s="27"/>
      <c r="I6" s="27"/>
      <c r="J6" s="27"/>
      <c r="K6" s="26"/>
      <c r="M6" s="28"/>
    </row>
    <row r="8" spans="2:13" x14ac:dyDescent="0.25">
      <c r="B8" s="212" t="s">
        <v>25</v>
      </c>
      <c r="C8" s="213"/>
      <c r="D8" s="213"/>
      <c r="E8" s="213"/>
      <c r="F8" s="214"/>
      <c r="G8" s="29" t="s">
        <v>8</v>
      </c>
      <c r="H8" s="30" t="s">
        <v>9</v>
      </c>
      <c r="I8" s="31" t="s">
        <v>10</v>
      </c>
      <c r="J8" s="30" t="s">
        <v>11</v>
      </c>
      <c r="K8" s="32" t="s">
        <v>12</v>
      </c>
      <c r="M8" s="33" t="s">
        <v>4</v>
      </c>
    </row>
    <row r="9" spans="2:13" ht="38.25" x14ac:dyDescent="0.25">
      <c r="B9" s="221" t="s">
        <v>2</v>
      </c>
      <c r="C9" s="222"/>
      <c r="D9" s="222"/>
      <c r="E9" s="222"/>
      <c r="F9" s="223"/>
      <c r="G9" s="215" t="s">
        <v>7</v>
      </c>
      <c r="H9" s="216"/>
      <c r="I9" s="216"/>
      <c r="J9" s="216"/>
      <c r="K9" s="217"/>
      <c r="M9" s="34" t="s">
        <v>93</v>
      </c>
    </row>
    <row r="11" spans="2:13" ht="15.75" x14ac:dyDescent="0.25">
      <c r="B11" s="25" t="s">
        <v>27</v>
      </c>
      <c r="C11" s="26"/>
      <c r="D11" s="26"/>
      <c r="E11" s="26"/>
      <c r="F11" s="26"/>
      <c r="G11" s="27"/>
      <c r="H11" s="27"/>
      <c r="I11" s="27"/>
      <c r="J11" s="27"/>
      <c r="K11" s="26"/>
      <c r="M11" s="28"/>
    </row>
    <row r="13" spans="2:13" x14ac:dyDescent="0.25">
      <c r="B13" s="40" t="s">
        <v>23</v>
      </c>
      <c r="C13" s="208" t="s">
        <v>26</v>
      </c>
      <c r="D13" s="208"/>
      <c r="E13" s="208"/>
      <c r="F13" s="208"/>
      <c r="G13" s="30" t="s">
        <v>8</v>
      </c>
      <c r="H13" s="30" t="s">
        <v>9</v>
      </c>
      <c r="I13" s="30" t="s">
        <v>10</v>
      </c>
      <c r="J13" s="30" t="s">
        <v>11</v>
      </c>
      <c r="K13" s="41" t="s">
        <v>12</v>
      </c>
      <c r="M13" s="33" t="s">
        <v>4</v>
      </c>
    </row>
    <row r="14" spans="2:13" ht="51" x14ac:dyDescent="0.25">
      <c r="B14" s="17"/>
      <c r="C14" s="209"/>
      <c r="D14" s="210"/>
      <c r="E14" s="210"/>
      <c r="F14" s="211"/>
      <c r="G14" s="215" t="s">
        <v>7</v>
      </c>
      <c r="H14" s="216"/>
      <c r="I14" s="216"/>
      <c r="J14" s="216"/>
      <c r="K14" s="217"/>
      <c r="M14" s="138" t="s">
        <v>115</v>
      </c>
    </row>
    <row r="15" spans="2:13" x14ac:dyDescent="0.25">
      <c r="B15" s="42"/>
      <c r="C15" s="42"/>
      <c r="D15" s="42"/>
      <c r="E15" s="42"/>
      <c r="F15" s="42"/>
      <c r="G15" s="43"/>
      <c r="H15" s="43"/>
      <c r="I15" s="43"/>
      <c r="J15" s="43"/>
      <c r="K15" s="22"/>
    </row>
    <row r="16" spans="2:13" ht="15.75" x14ac:dyDescent="0.25">
      <c r="B16" s="25" t="s">
        <v>33</v>
      </c>
      <c r="C16" s="26"/>
      <c r="D16" s="26"/>
      <c r="E16" s="26"/>
      <c r="F16" s="26"/>
      <c r="G16" s="27"/>
      <c r="H16" s="27"/>
      <c r="I16" s="27"/>
      <c r="J16" s="27"/>
      <c r="K16" s="26"/>
      <c r="M16" s="28"/>
    </row>
    <row r="18" spans="2:13" x14ac:dyDescent="0.25">
      <c r="B18" s="164" t="s">
        <v>25</v>
      </c>
      <c r="C18" s="165"/>
      <c r="D18" s="165"/>
      <c r="E18" s="165"/>
      <c r="F18" s="29" t="s">
        <v>92</v>
      </c>
      <c r="G18" s="29" t="s">
        <v>8</v>
      </c>
      <c r="H18" s="30" t="s">
        <v>9</v>
      </c>
      <c r="I18" s="31" t="s">
        <v>10</v>
      </c>
      <c r="J18" s="30" t="s">
        <v>11</v>
      </c>
      <c r="K18" s="32" t="s">
        <v>12</v>
      </c>
      <c r="M18" s="33" t="s">
        <v>4</v>
      </c>
    </row>
    <row r="19" spans="2:13" ht="51" x14ac:dyDescent="0.2">
      <c r="B19" s="161" t="s">
        <v>32</v>
      </c>
      <c r="C19" s="163"/>
      <c r="D19" s="162"/>
      <c r="E19" s="163"/>
      <c r="F19" s="166">
        <v>3.5000000000000003E-2</v>
      </c>
      <c r="G19" s="166">
        <v>3.5000000000000003E-2</v>
      </c>
      <c r="H19" s="166">
        <v>0.04</v>
      </c>
      <c r="I19" s="167">
        <v>0.04</v>
      </c>
      <c r="J19" s="166">
        <v>0</v>
      </c>
      <c r="K19" s="63"/>
      <c r="M19" s="39" t="s">
        <v>116</v>
      </c>
    </row>
    <row r="21" spans="2:13" ht="15.75" x14ac:dyDescent="0.25">
      <c r="B21" s="25" t="s">
        <v>53</v>
      </c>
      <c r="C21" s="26"/>
      <c r="D21" s="26"/>
      <c r="E21" s="26"/>
      <c r="F21" s="26"/>
      <c r="G21" s="27"/>
      <c r="H21" s="27"/>
      <c r="I21" s="27"/>
      <c r="J21" s="27"/>
      <c r="K21" s="26"/>
      <c r="M21" s="28"/>
    </row>
    <row r="23" spans="2:13" ht="25.5" x14ac:dyDescent="0.2">
      <c r="B23" s="142" t="s">
        <v>23</v>
      </c>
      <c r="C23" s="143" t="s">
        <v>26</v>
      </c>
      <c r="D23" s="145"/>
      <c r="E23" s="145"/>
      <c r="F23" s="144"/>
      <c r="G23" s="146" t="s">
        <v>82</v>
      </c>
      <c r="H23" s="150" t="s">
        <v>75</v>
      </c>
      <c r="M23" s="33" t="s">
        <v>4</v>
      </c>
    </row>
    <row r="24" spans="2:13" ht="12.75" customHeight="1" x14ac:dyDescent="0.25">
      <c r="B24" s="149" t="s">
        <v>76</v>
      </c>
      <c r="C24" s="74" t="s">
        <v>77</v>
      </c>
      <c r="D24" s="140"/>
      <c r="E24" s="140"/>
      <c r="F24" s="147"/>
      <c r="G24" s="154">
        <v>77019.01084569325</v>
      </c>
      <c r="H24" s="153">
        <v>945.40537598560536</v>
      </c>
      <c r="M24" s="204" t="s">
        <v>94</v>
      </c>
    </row>
    <row r="25" spans="2:13" x14ac:dyDescent="0.25">
      <c r="B25" s="87" t="s">
        <v>78</v>
      </c>
      <c r="C25" s="82" t="s">
        <v>79</v>
      </c>
      <c r="D25" s="57"/>
      <c r="E25" s="57"/>
      <c r="F25" s="148"/>
      <c r="G25" s="155">
        <v>60217.759993978223</v>
      </c>
      <c r="H25" s="37">
        <v>667.9999999332</v>
      </c>
      <c r="M25" s="205"/>
    </row>
    <row r="26" spans="2:13" ht="13.5" thickBot="1" x14ac:dyDescent="0.3">
      <c r="G26" s="156">
        <f>SUM(G24:G25)</f>
        <v>137236.77083967149</v>
      </c>
      <c r="H26" s="151">
        <f>SUM(H24:H25)</f>
        <v>1613.4053759188055</v>
      </c>
      <c r="I26" s="19"/>
      <c r="M26" s="205"/>
    </row>
    <row r="27" spans="2:13" x14ac:dyDescent="0.25">
      <c r="M27" s="205"/>
    </row>
    <row r="28" spans="2:13" x14ac:dyDescent="0.25">
      <c r="E28" s="207" t="s">
        <v>105</v>
      </c>
      <c r="F28" s="207"/>
      <c r="G28" s="207"/>
      <c r="H28" s="111">
        <f>+G26/H26</f>
        <v>85.060315831362345</v>
      </c>
      <c r="M28" s="205"/>
    </row>
    <row r="29" spans="2:13" x14ac:dyDescent="0.25">
      <c r="E29" s="21"/>
      <c r="F29" s="47"/>
      <c r="G29" s="47"/>
      <c r="H29" s="47"/>
      <c r="M29" s="205"/>
    </row>
    <row r="30" spans="2:13" x14ac:dyDescent="0.25">
      <c r="E30" s="207" t="s">
        <v>39</v>
      </c>
      <c r="F30" s="207"/>
      <c r="G30" s="207"/>
      <c r="H30" s="112">
        <f>+$K$74-1</f>
        <v>1.2648945446885498</v>
      </c>
      <c r="M30" s="205"/>
    </row>
    <row r="31" spans="2:13" x14ac:dyDescent="0.25">
      <c r="E31" s="21"/>
      <c r="F31" s="47"/>
      <c r="G31" s="47"/>
      <c r="H31" s="47"/>
      <c r="M31" s="205"/>
    </row>
    <row r="32" spans="2:13" x14ac:dyDescent="0.25">
      <c r="E32" s="207" t="s">
        <v>40</v>
      </c>
      <c r="F32" s="207"/>
      <c r="G32" s="207"/>
      <c r="H32" s="111">
        <f>+H28+(H30*H28)</f>
        <v>192.65264529593765</v>
      </c>
      <c r="I32" s="152" t="s">
        <v>81</v>
      </c>
      <c r="M32" s="206"/>
    </row>
    <row r="34" spans="2:13" ht="25.5" x14ac:dyDescent="0.25">
      <c r="B34" s="49" t="s">
        <v>28</v>
      </c>
      <c r="C34" s="50" t="s">
        <v>29</v>
      </c>
      <c r="D34" s="51"/>
      <c r="E34" s="52" t="s">
        <v>30</v>
      </c>
      <c r="F34" s="53"/>
      <c r="G34" s="53"/>
      <c r="H34" s="54" t="s">
        <v>31</v>
      </c>
      <c r="J34" s="19"/>
      <c r="M34" s="168" t="s">
        <v>4</v>
      </c>
    </row>
    <row r="35" spans="2:13" ht="12.75" customHeight="1" x14ac:dyDescent="0.25">
      <c r="B35" s="268"/>
      <c r="C35" s="269"/>
      <c r="D35" s="270"/>
      <c r="E35" s="139" t="s">
        <v>73</v>
      </c>
      <c r="F35" s="140"/>
      <c r="G35" s="35"/>
      <c r="H35" s="141">
        <v>104.20488</v>
      </c>
      <c r="J35" s="19"/>
      <c r="M35" s="204" t="s">
        <v>95</v>
      </c>
    </row>
    <row r="36" spans="2:13" x14ac:dyDescent="0.25">
      <c r="B36" s="271"/>
      <c r="C36" s="272"/>
      <c r="D36" s="273"/>
      <c r="E36" s="56" t="s">
        <v>74</v>
      </c>
      <c r="F36" s="57"/>
      <c r="G36" s="38"/>
      <c r="H36" s="58">
        <v>106.70757839999999</v>
      </c>
      <c r="J36" s="19"/>
      <c r="M36" s="205"/>
    </row>
    <row r="37" spans="2:13" x14ac:dyDescent="0.25">
      <c r="E37" s="21"/>
      <c r="F37" s="47"/>
      <c r="G37" s="47"/>
      <c r="H37" s="47"/>
      <c r="I37" s="55"/>
      <c r="J37" s="19"/>
      <c r="M37" s="205"/>
    </row>
    <row r="38" spans="2:13" x14ac:dyDescent="0.25">
      <c r="E38" s="207" t="s">
        <v>105</v>
      </c>
      <c r="F38" s="207"/>
      <c r="G38" s="207"/>
      <c r="H38" s="111">
        <f>AVERAGE(H35:H36)</f>
        <v>105.4562292</v>
      </c>
      <c r="I38" s="152"/>
      <c r="J38" s="19"/>
      <c r="M38" s="205"/>
    </row>
    <row r="39" spans="2:13" x14ac:dyDescent="0.25">
      <c r="E39" s="21"/>
      <c r="F39" s="47"/>
      <c r="G39" s="47"/>
      <c r="H39" s="47"/>
      <c r="I39" s="55"/>
      <c r="J39" s="19"/>
      <c r="M39" s="205"/>
    </row>
    <row r="40" spans="2:13" x14ac:dyDescent="0.25">
      <c r="E40" s="207" t="s">
        <v>39</v>
      </c>
      <c r="F40" s="207"/>
      <c r="G40" s="207"/>
      <c r="H40" s="112">
        <f>+$K$74-1</f>
        <v>1.2648945446885498</v>
      </c>
      <c r="I40" s="55"/>
      <c r="J40" s="19"/>
      <c r="M40" s="205"/>
    </row>
    <row r="41" spans="2:13" x14ac:dyDescent="0.25">
      <c r="E41" s="21"/>
      <c r="F41" s="47"/>
      <c r="G41" s="47"/>
      <c r="H41" s="47"/>
      <c r="I41" s="55"/>
      <c r="J41" s="19"/>
      <c r="M41" s="205"/>
    </row>
    <row r="42" spans="2:13" x14ac:dyDescent="0.25">
      <c r="E42" s="207" t="s">
        <v>40</v>
      </c>
      <c r="F42" s="207"/>
      <c r="G42" s="207"/>
      <c r="H42" s="111">
        <f>+H38+(H40*H38)</f>
        <v>238.84723821850534</v>
      </c>
      <c r="I42" s="152" t="s">
        <v>80</v>
      </c>
      <c r="J42" s="19"/>
      <c r="M42" s="206"/>
    </row>
    <row r="43" spans="2:13" x14ac:dyDescent="0.25">
      <c r="M43" s="61"/>
    </row>
    <row r="44" spans="2:13" ht="15.75" x14ac:dyDescent="0.25">
      <c r="B44" s="25" t="s">
        <v>87</v>
      </c>
      <c r="C44" s="26"/>
      <c r="D44" s="26"/>
      <c r="E44" s="26"/>
      <c r="F44" s="26"/>
      <c r="G44" s="27"/>
      <c r="H44" s="27"/>
      <c r="I44" s="27"/>
      <c r="J44" s="27"/>
      <c r="K44" s="26"/>
      <c r="M44" s="28"/>
    </row>
    <row r="46" spans="2:13" x14ac:dyDescent="0.25">
      <c r="B46" s="212" t="s">
        <v>3</v>
      </c>
      <c r="C46" s="213"/>
      <c r="D46" s="213"/>
      <c r="E46" s="213"/>
      <c r="F46" s="214"/>
      <c r="G46" s="29" t="s">
        <v>13</v>
      </c>
      <c r="H46" s="30" t="s">
        <v>14</v>
      </c>
      <c r="I46" s="30" t="s">
        <v>15</v>
      </c>
      <c r="J46" s="30" t="s">
        <v>16</v>
      </c>
      <c r="K46" s="100" t="s">
        <v>17</v>
      </c>
      <c r="M46" s="33" t="s">
        <v>4</v>
      </c>
    </row>
    <row r="47" spans="2:13" ht="20.100000000000001" customHeight="1" x14ac:dyDescent="0.25">
      <c r="B47" s="221" t="s">
        <v>71</v>
      </c>
      <c r="C47" s="222"/>
      <c r="D47" s="222"/>
      <c r="E47" s="222"/>
      <c r="F47" s="223"/>
      <c r="G47" s="169">
        <v>20</v>
      </c>
      <c r="H47" s="170">
        <v>20</v>
      </c>
      <c r="I47" s="171">
        <v>20</v>
      </c>
      <c r="J47" s="170">
        <v>20</v>
      </c>
      <c r="K47" s="170">
        <v>20</v>
      </c>
      <c r="M47" s="204" t="s">
        <v>96</v>
      </c>
    </row>
    <row r="48" spans="2:13" ht="20.100000000000001" customHeight="1" x14ac:dyDescent="0.25">
      <c r="B48" s="221" t="s">
        <v>72</v>
      </c>
      <c r="C48" s="222"/>
      <c r="D48" s="222"/>
      <c r="E48" s="222"/>
      <c r="F48" s="223"/>
      <c r="G48" s="169">
        <v>6</v>
      </c>
      <c r="H48" s="170">
        <v>6</v>
      </c>
      <c r="I48" s="171">
        <v>6</v>
      </c>
      <c r="J48" s="170">
        <v>6</v>
      </c>
      <c r="K48" s="170">
        <v>6</v>
      </c>
      <c r="M48" s="205"/>
    </row>
    <row r="49" spans="2:13" ht="13.5" thickBot="1" x14ac:dyDescent="0.25">
      <c r="G49" s="172">
        <f>SUM(G47:G47)</f>
        <v>20</v>
      </c>
      <c r="H49" s="173">
        <f>SUM(H47:H47)</f>
        <v>20</v>
      </c>
      <c r="I49" s="174">
        <f>SUM(I47:I47)</f>
        <v>20</v>
      </c>
      <c r="J49" s="173">
        <f>SUM(J47:J47)</f>
        <v>20</v>
      </c>
      <c r="K49" s="173">
        <f>SUM(K47:K47)</f>
        <v>20</v>
      </c>
      <c r="M49" s="205"/>
    </row>
    <row r="50" spans="2:13" x14ac:dyDescent="0.25">
      <c r="M50" s="205"/>
    </row>
    <row r="51" spans="2:13" x14ac:dyDescent="0.25">
      <c r="B51" s="212" t="s">
        <v>88</v>
      </c>
      <c r="C51" s="213"/>
      <c r="D51" s="213"/>
      <c r="E51" s="213"/>
      <c r="F51" s="214"/>
      <c r="M51" s="205"/>
    </row>
    <row r="52" spans="2:13" x14ac:dyDescent="0.2">
      <c r="B52" s="221" t="s">
        <v>71</v>
      </c>
      <c r="C52" s="222"/>
      <c r="D52" s="222"/>
      <c r="E52" s="222"/>
      <c r="F52" s="223"/>
      <c r="G52" s="175">
        <v>5</v>
      </c>
      <c r="M52" s="205"/>
    </row>
    <row r="53" spans="2:13" x14ac:dyDescent="0.2">
      <c r="B53" s="221" t="s">
        <v>72</v>
      </c>
      <c r="C53" s="222"/>
      <c r="D53" s="222"/>
      <c r="E53" s="222"/>
      <c r="F53" s="223"/>
      <c r="G53" s="175">
        <v>40</v>
      </c>
      <c r="M53" s="206"/>
    </row>
    <row r="55" spans="2:13" ht="15.75" x14ac:dyDescent="0.25">
      <c r="B55" s="25" t="s">
        <v>54</v>
      </c>
      <c r="C55" s="26"/>
      <c r="D55" s="26"/>
      <c r="E55" s="26"/>
      <c r="F55" s="26"/>
      <c r="G55" s="27"/>
      <c r="H55" s="27"/>
      <c r="I55" s="27"/>
      <c r="J55" s="27"/>
      <c r="K55" s="26"/>
      <c r="M55" s="28"/>
    </row>
    <row r="56" spans="2:13" x14ac:dyDescent="0.25">
      <c r="E56" s="45"/>
    </row>
    <row r="57" spans="2:13" x14ac:dyDescent="0.25">
      <c r="B57" s="106"/>
      <c r="C57" s="107"/>
      <c r="D57" s="107"/>
      <c r="E57" s="107"/>
      <c r="F57" s="30" t="s">
        <v>12</v>
      </c>
      <c r="G57" s="30" t="s">
        <v>13</v>
      </c>
      <c r="H57" s="30" t="s">
        <v>14</v>
      </c>
      <c r="I57" s="30" t="s">
        <v>15</v>
      </c>
      <c r="J57" s="30" t="s">
        <v>16</v>
      </c>
      <c r="K57" s="30" t="s">
        <v>17</v>
      </c>
      <c r="M57" s="33" t="s">
        <v>4</v>
      </c>
    </row>
    <row r="58" spans="2:13" x14ac:dyDescent="0.25">
      <c r="H58" s="47"/>
      <c r="I58" s="47"/>
      <c r="J58" s="47"/>
      <c r="M58" s="204" t="s">
        <v>97</v>
      </c>
    </row>
    <row r="59" spans="2:13" x14ac:dyDescent="0.25">
      <c r="B59" s="19" t="s">
        <v>83</v>
      </c>
      <c r="E59" s="19" t="s">
        <v>46</v>
      </c>
      <c r="F59" s="48">
        <f>+G59/1.025</f>
        <v>88.730404777451255</v>
      </c>
      <c r="G59" s="48">
        <f>+$H$28*G81</f>
        <v>90.948664896887536</v>
      </c>
      <c r="H59" s="48">
        <f>+$H$28*H81</f>
        <v>94.916729671506644</v>
      </c>
      <c r="I59" s="48">
        <f>+$H$28*I81</f>
        <v>98.130391768108623</v>
      </c>
      <c r="J59" s="48">
        <f>+$H$28*J81</f>
        <v>101.58734470960003</v>
      </c>
      <c r="K59" s="48">
        <f>+$H$28*K81</f>
        <v>105.0856419366643</v>
      </c>
      <c r="M59" s="205"/>
    </row>
    <row r="60" spans="2:13" x14ac:dyDescent="0.25">
      <c r="B60" s="19" t="s">
        <v>86</v>
      </c>
      <c r="E60" s="19" t="s">
        <v>46</v>
      </c>
      <c r="F60" s="48">
        <f>+G60/1.025</f>
        <v>110.00633858179984</v>
      </c>
      <c r="G60" s="48">
        <f>+$H$38*G81</f>
        <v>112.75649704634482</v>
      </c>
      <c r="H60" s="48">
        <f t="shared" ref="H60:K60" si="0">+$H$38*H81</f>
        <v>117.67603142924433</v>
      </c>
      <c r="I60" s="48">
        <f t="shared" si="0"/>
        <v>121.66027112219945</v>
      </c>
      <c r="J60" s="48">
        <f t="shared" si="0"/>
        <v>125.94613837026246</v>
      </c>
      <c r="K60" s="48">
        <f t="shared" si="0"/>
        <v>130.28326351000939</v>
      </c>
      <c r="M60" s="205"/>
    </row>
    <row r="61" spans="2:13" x14ac:dyDescent="0.25">
      <c r="F61" s="48"/>
      <c r="G61" s="48"/>
      <c r="H61" s="48"/>
      <c r="I61" s="48"/>
      <c r="J61" s="48"/>
      <c r="K61" s="48"/>
      <c r="M61" s="205"/>
    </row>
    <row r="62" spans="2:13" x14ac:dyDescent="0.25">
      <c r="B62" s="19" t="s">
        <v>83</v>
      </c>
      <c r="E62" s="19" t="s">
        <v>47</v>
      </c>
      <c r="F62" s="48">
        <f t="shared" ref="F62:F63" si="1">+G62/1.025</f>
        <v>200.96500972845618</v>
      </c>
      <c r="G62" s="48">
        <f>+$H$32*G81</f>
        <v>205.98913497166757</v>
      </c>
      <c r="H62" s="48">
        <f>+$H$32*H81</f>
        <v>214.97638323267319</v>
      </c>
      <c r="I62" s="48">
        <f>+$H$32*I81</f>
        <v>222.25498898373939</v>
      </c>
      <c r="J62" s="48">
        <f>+$H$32*J81</f>
        <v>230.0846228421683</v>
      </c>
      <c r="K62" s="48">
        <f>+$H$32*K81</f>
        <v>238.00789714744528</v>
      </c>
      <c r="M62" s="205"/>
    </row>
    <row r="63" spans="2:13" x14ac:dyDescent="0.25">
      <c r="B63" s="19" t="s">
        <v>86</v>
      </c>
      <c r="E63" s="19" t="s">
        <v>47</v>
      </c>
      <c r="F63" s="48">
        <f t="shared" si="1"/>
        <v>249.15275613507998</v>
      </c>
      <c r="G63" s="48">
        <f>+$H$42*G81</f>
        <v>255.38157503845696</v>
      </c>
      <c r="H63" s="48">
        <f t="shared" ref="H63:K63" si="2">+$H$42*H81</f>
        <v>266.52380162469382</v>
      </c>
      <c r="I63" s="48">
        <f t="shared" si="2"/>
        <v>275.54768436999944</v>
      </c>
      <c r="J63" s="48">
        <f t="shared" si="2"/>
        <v>285.25472171939668</v>
      </c>
      <c r="K63" s="48">
        <f t="shared" si="2"/>
        <v>295.07785278804107</v>
      </c>
      <c r="M63" s="205"/>
    </row>
    <row r="64" spans="2:13" x14ac:dyDescent="0.25">
      <c r="G64" s="48"/>
      <c r="H64" s="48"/>
      <c r="I64" s="48"/>
      <c r="J64" s="48"/>
      <c r="K64" s="48"/>
      <c r="M64" s="205"/>
    </row>
    <row r="65" spans="2:13" x14ac:dyDescent="0.25">
      <c r="B65" s="108" t="s">
        <v>55</v>
      </c>
      <c r="C65" s="108"/>
      <c r="D65" s="108"/>
      <c r="E65" s="108"/>
      <c r="F65" s="108"/>
      <c r="G65" s="109"/>
      <c r="H65" s="109">
        <f>(H59-G59)/G59</f>
        <v>4.3629719898778903E-2</v>
      </c>
      <c r="I65" s="109">
        <f t="shared" ref="I65:K65" si="3">(I59-H59)/H59</f>
        <v>3.3857699351041784E-2</v>
      </c>
      <c r="J65" s="109">
        <f t="shared" si="3"/>
        <v>3.5228157956003217E-2</v>
      </c>
      <c r="K65" s="109">
        <f t="shared" si="3"/>
        <v>3.4436348711196114E-2</v>
      </c>
      <c r="M65" s="206"/>
    </row>
    <row r="66" spans="2:13" x14ac:dyDescent="0.25">
      <c r="E66" s="45"/>
      <c r="H66" s="47"/>
      <c r="I66" s="47"/>
      <c r="J66" s="47"/>
    </row>
    <row r="67" spans="2:13" ht="15.75" x14ac:dyDescent="0.25">
      <c r="B67" s="25" t="s">
        <v>38</v>
      </c>
      <c r="C67" s="26"/>
      <c r="D67" s="26"/>
      <c r="E67" s="26"/>
      <c r="F67" s="26"/>
      <c r="G67" s="27"/>
      <c r="H67" s="27"/>
      <c r="I67" s="27"/>
      <c r="J67" s="27"/>
      <c r="K67" s="26"/>
      <c r="M67" s="28"/>
    </row>
    <row r="69" spans="2:13" x14ac:dyDescent="0.25">
      <c r="B69" s="218" t="s">
        <v>19</v>
      </c>
      <c r="C69" s="219"/>
      <c r="D69" s="219"/>
      <c r="E69" s="220"/>
      <c r="F69" s="105" t="s">
        <v>12</v>
      </c>
      <c r="G69" s="105" t="s">
        <v>13</v>
      </c>
      <c r="H69" s="105" t="s">
        <v>14</v>
      </c>
      <c r="I69" s="105" t="s">
        <v>15</v>
      </c>
      <c r="J69" s="105" t="s">
        <v>16</v>
      </c>
      <c r="K69" s="44" t="s">
        <v>17</v>
      </c>
      <c r="M69" s="33" t="s">
        <v>4</v>
      </c>
    </row>
    <row r="70" spans="2:13" ht="12.75" customHeight="1" x14ac:dyDescent="0.25">
      <c r="B70" s="233" t="s">
        <v>99</v>
      </c>
      <c r="C70" s="234"/>
      <c r="D70" s="234"/>
      <c r="E70" s="235"/>
      <c r="F70" s="36"/>
      <c r="G70" s="46">
        <v>18449161.14072692</v>
      </c>
      <c r="H70" s="46">
        <v>19652616.51053571</v>
      </c>
      <c r="I70" s="46">
        <v>20750302.453561164</v>
      </c>
      <c r="J70" s="46">
        <v>21950966.582370307</v>
      </c>
      <c r="K70" s="36">
        <v>23217206.584968176</v>
      </c>
      <c r="M70" s="204" t="s">
        <v>98</v>
      </c>
    </row>
    <row r="71" spans="2:13" x14ac:dyDescent="0.25">
      <c r="B71" s="236" t="s">
        <v>100</v>
      </c>
      <c r="C71" s="237"/>
      <c r="D71" s="237"/>
      <c r="E71" s="238"/>
      <c r="F71" s="36"/>
      <c r="G71" s="46">
        <v>40098372.700329572</v>
      </c>
      <c r="H71" s="46">
        <v>44414981.708611391</v>
      </c>
      <c r="I71" s="46">
        <v>47124811.758132517</v>
      </c>
      <c r="J71" s="46">
        <v>50429626.415997855</v>
      </c>
      <c r="K71" s="36">
        <v>53924251.70079805</v>
      </c>
      <c r="M71" s="205"/>
    </row>
    <row r="72" spans="2:13" x14ac:dyDescent="0.25">
      <c r="B72" s="239" t="s">
        <v>19</v>
      </c>
      <c r="C72" s="240"/>
      <c r="D72" s="240"/>
      <c r="E72" s="241"/>
      <c r="F72" s="59"/>
      <c r="G72" s="59">
        <f t="shared" ref="G72:K72" si="4">+G71/G70</f>
        <v>2.1734523534412387</v>
      </c>
      <c r="H72" s="59">
        <f t="shared" si="4"/>
        <v>2.2600034801880273</v>
      </c>
      <c r="I72" s="59">
        <f t="shared" si="4"/>
        <v>2.2710421625707418</v>
      </c>
      <c r="J72" s="59">
        <f t="shared" si="4"/>
        <v>2.2973761190315822</v>
      </c>
      <c r="K72" s="158">
        <f t="shared" si="4"/>
        <v>2.3225986082111594</v>
      </c>
      <c r="M72" s="205"/>
    </row>
    <row r="73" spans="2:13" x14ac:dyDescent="0.25">
      <c r="F73" s="21"/>
      <c r="K73" s="21"/>
      <c r="M73" s="205"/>
    </row>
    <row r="74" spans="2:13" x14ac:dyDescent="0.25">
      <c r="F74" s="227" t="s">
        <v>20</v>
      </c>
      <c r="G74" s="228"/>
      <c r="H74" s="228"/>
      <c r="I74" s="228"/>
      <c r="J74" s="229"/>
      <c r="K74" s="157">
        <f>AVERAGE(G72:K72)</f>
        <v>2.2648945446885498</v>
      </c>
      <c r="M74" s="206"/>
    </row>
    <row r="75" spans="2:13" x14ac:dyDescent="0.25">
      <c r="G75" s="19"/>
      <c r="H75" s="19"/>
      <c r="I75" s="19"/>
      <c r="J75" s="19"/>
      <c r="K75" s="159"/>
    </row>
    <row r="76" spans="2:13" ht="15.75" x14ac:dyDescent="0.25">
      <c r="B76" s="25" t="s">
        <v>119</v>
      </c>
      <c r="C76" s="26"/>
      <c r="D76" s="26"/>
      <c r="E76" s="26"/>
      <c r="F76" s="26"/>
      <c r="G76" s="27"/>
      <c r="H76" s="27"/>
      <c r="I76" s="27"/>
      <c r="J76" s="27"/>
      <c r="K76" s="26"/>
      <c r="M76" s="28"/>
    </row>
    <row r="78" spans="2:13" x14ac:dyDescent="0.2">
      <c r="B78" s="242" t="s">
        <v>120</v>
      </c>
      <c r="C78" s="243"/>
      <c r="D78" s="243"/>
      <c r="E78" s="244"/>
      <c r="F78" s="105" t="s">
        <v>12</v>
      </c>
      <c r="G78" s="105" t="s">
        <v>13</v>
      </c>
      <c r="H78" s="105" t="s">
        <v>14</v>
      </c>
      <c r="I78" s="105" t="s">
        <v>15</v>
      </c>
      <c r="J78" s="105" t="s">
        <v>16</v>
      </c>
      <c r="K78" s="44" t="s">
        <v>17</v>
      </c>
      <c r="M78" s="168" t="s">
        <v>4</v>
      </c>
    </row>
    <row r="79" spans="2:13" ht="12.75" customHeight="1" x14ac:dyDescent="0.2">
      <c r="B79" s="230" t="s">
        <v>101</v>
      </c>
      <c r="C79" s="231"/>
      <c r="D79" s="231"/>
      <c r="E79" s="232"/>
      <c r="F79" s="18"/>
      <c r="G79" s="18">
        <v>17254695.000010207</v>
      </c>
      <c r="H79" s="18">
        <v>17611834.848126188</v>
      </c>
      <c r="I79" s="18">
        <v>17986550.838063825</v>
      </c>
      <c r="J79" s="18">
        <v>18379810.552560411</v>
      </c>
      <c r="K79" s="160">
        <v>18792890.146016706</v>
      </c>
      <c r="M79" s="248" t="s">
        <v>123</v>
      </c>
    </row>
    <row r="80" spans="2:13" x14ac:dyDescent="0.2">
      <c r="B80" s="245" t="s">
        <v>121</v>
      </c>
      <c r="C80" s="246"/>
      <c r="D80" s="246"/>
      <c r="E80" s="247"/>
      <c r="F80" s="18"/>
      <c r="G80" s="18">
        <v>18449161.14072692</v>
      </c>
      <c r="H80" s="18">
        <v>19652616.51053571</v>
      </c>
      <c r="I80" s="18">
        <v>20750302.453561164</v>
      </c>
      <c r="J80" s="18">
        <v>21950966.582370307</v>
      </c>
      <c r="K80" s="160">
        <v>23217206.584968176</v>
      </c>
      <c r="M80" s="249"/>
    </row>
    <row r="81" spans="2:13" x14ac:dyDescent="0.2">
      <c r="B81" s="224" t="s">
        <v>122</v>
      </c>
      <c r="C81" s="225"/>
      <c r="D81" s="225"/>
      <c r="E81" s="226"/>
      <c r="F81" s="59"/>
      <c r="G81" s="59">
        <f t="shared" ref="G81:K81" si="5">+G80/G79</f>
        <v>1.0692255725595849</v>
      </c>
      <c r="H81" s="59">
        <f t="shared" si="5"/>
        <v>1.1158755847989712</v>
      </c>
      <c r="I81" s="59">
        <f t="shared" si="5"/>
        <v>1.1536565648622628</v>
      </c>
      <c r="J81" s="59">
        <f t="shared" si="5"/>
        <v>1.1942977605562106</v>
      </c>
      <c r="K81" s="158">
        <f t="shared" si="5"/>
        <v>1.2354250147037249</v>
      </c>
      <c r="M81" s="249"/>
    </row>
    <row r="82" spans="2:13" x14ac:dyDescent="0.25">
      <c r="F82" s="21"/>
      <c r="K82" s="21"/>
      <c r="M82" s="249"/>
    </row>
    <row r="83" spans="2:13" x14ac:dyDescent="0.25">
      <c r="F83" s="227" t="s">
        <v>21</v>
      </c>
      <c r="G83" s="228"/>
      <c r="H83" s="228"/>
      <c r="I83" s="228"/>
      <c r="J83" s="229"/>
      <c r="K83" s="157">
        <f>AVERAGE(G81:K81)</f>
        <v>1.1536960994961507</v>
      </c>
      <c r="M83" s="250"/>
    </row>
    <row r="84" spans="2:13" x14ac:dyDescent="0.25">
      <c r="K84" s="110"/>
      <c r="M84" s="203"/>
    </row>
    <row r="85" spans="2:13" x14ac:dyDescent="0.25">
      <c r="M85" s="61"/>
    </row>
    <row r="86" spans="2:13" x14ac:dyDescent="0.25">
      <c r="M86" s="62"/>
    </row>
    <row r="87" spans="2:13" x14ac:dyDescent="0.25">
      <c r="M87" s="62"/>
    </row>
  </sheetData>
  <mergeCells count="34">
    <mergeCell ref="B81:E81"/>
    <mergeCell ref="F74:J74"/>
    <mergeCell ref="F83:J83"/>
    <mergeCell ref="M70:M74"/>
    <mergeCell ref="B79:E79"/>
    <mergeCell ref="B70:E70"/>
    <mergeCell ref="B71:E71"/>
    <mergeCell ref="B72:E72"/>
    <mergeCell ref="B78:E78"/>
    <mergeCell ref="B80:E80"/>
    <mergeCell ref="M79:M83"/>
    <mergeCell ref="G9:K9"/>
    <mergeCell ref="G14:K14"/>
    <mergeCell ref="E38:G38"/>
    <mergeCell ref="B69:E69"/>
    <mergeCell ref="B8:F8"/>
    <mergeCell ref="B9:F9"/>
    <mergeCell ref="B52:F52"/>
    <mergeCell ref="B53:F53"/>
    <mergeCell ref="B46:F46"/>
    <mergeCell ref="B47:F47"/>
    <mergeCell ref="B48:F48"/>
    <mergeCell ref="M47:M53"/>
    <mergeCell ref="E40:G40"/>
    <mergeCell ref="E42:G42"/>
    <mergeCell ref="M58:M65"/>
    <mergeCell ref="C13:F13"/>
    <mergeCell ref="C14:F14"/>
    <mergeCell ref="M24:M32"/>
    <mergeCell ref="E28:G28"/>
    <mergeCell ref="E30:G30"/>
    <mergeCell ref="E32:G32"/>
    <mergeCell ref="B51:F51"/>
    <mergeCell ref="M35:M42"/>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0"/>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94" t="s">
        <v>42</v>
      </c>
      <c r="C2" s="95"/>
      <c r="D2" s="95"/>
      <c r="E2" s="95"/>
      <c r="F2" s="95"/>
      <c r="G2" s="95"/>
      <c r="H2" s="95"/>
    </row>
    <row r="3" spans="2:8" x14ac:dyDescent="0.25">
      <c r="B3" s="11" t="s">
        <v>0</v>
      </c>
      <c r="C3" s="135" t="s">
        <v>70</v>
      </c>
      <c r="D3" s="136"/>
      <c r="E3" s="136"/>
      <c r="F3" s="136"/>
      <c r="G3" s="136"/>
      <c r="H3" s="136"/>
    </row>
    <row r="4" spans="2:8" x14ac:dyDescent="0.25">
      <c r="B4" s="11" t="s">
        <v>106</v>
      </c>
      <c r="C4" s="137" t="s">
        <v>117</v>
      </c>
      <c r="D4" s="136"/>
      <c r="E4" s="136"/>
      <c r="F4" s="136"/>
      <c r="G4" s="136"/>
      <c r="H4" s="136"/>
    </row>
    <row r="5" spans="2:8" x14ac:dyDescent="0.25">
      <c r="B5" s="127" t="s">
        <v>66</v>
      </c>
      <c r="C5" s="137" t="s">
        <v>107</v>
      </c>
      <c r="D5" s="136"/>
      <c r="E5" s="136"/>
      <c r="F5" s="136"/>
      <c r="G5" s="136"/>
      <c r="H5" s="136"/>
    </row>
    <row r="6" spans="2:8" x14ac:dyDescent="0.25">
      <c r="B6" s="96" t="s">
        <v>67</v>
      </c>
      <c r="C6" s="251" t="s">
        <v>108</v>
      </c>
      <c r="D6" s="251"/>
      <c r="E6" s="251"/>
      <c r="F6" s="251"/>
      <c r="G6" s="251"/>
      <c r="H6" s="251"/>
    </row>
    <row r="7" spans="2:8" x14ac:dyDescent="0.25">
      <c r="B7" s="96"/>
      <c r="C7" s="126"/>
      <c r="D7" s="128" t="s">
        <v>13</v>
      </c>
      <c r="E7" s="128" t="s">
        <v>14</v>
      </c>
      <c r="F7" s="128" t="s">
        <v>15</v>
      </c>
      <c r="G7" s="128" t="s">
        <v>16</v>
      </c>
      <c r="H7" s="128" t="s">
        <v>17</v>
      </c>
    </row>
    <row r="8" spans="2:8" x14ac:dyDescent="0.25">
      <c r="B8" s="96"/>
      <c r="C8" s="133" t="s">
        <v>89</v>
      </c>
      <c r="D8" s="129">
        <f>+'Input Sheet'!G62</f>
        <v>205.98913497166757</v>
      </c>
      <c r="E8" s="129">
        <f>+'Input Sheet'!H62</f>
        <v>214.97638323267319</v>
      </c>
      <c r="F8" s="129">
        <f>+'Input Sheet'!I62</f>
        <v>222.25498898373939</v>
      </c>
      <c r="G8" s="129">
        <f>+'Input Sheet'!J62</f>
        <v>230.0846228421683</v>
      </c>
      <c r="H8" s="129">
        <f>+'Input Sheet'!K62</f>
        <v>238.00789714744528</v>
      </c>
    </row>
    <row r="9" spans="2:8" x14ac:dyDescent="0.25">
      <c r="B9" s="96"/>
      <c r="C9" s="126" t="s">
        <v>90</v>
      </c>
      <c r="D9" s="129">
        <f>+'Input Sheet'!G63</f>
        <v>255.38157503845696</v>
      </c>
      <c r="E9" s="129">
        <f>+'Input Sheet'!H63</f>
        <v>266.52380162469382</v>
      </c>
      <c r="F9" s="129">
        <f>+'Input Sheet'!I63</f>
        <v>275.54768436999944</v>
      </c>
      <c r="G9" s="129">
        <f>+'Input Sheet'!J63</f>
        <v>285.25472171939668</v>
      </c>
      <c r="H9" s="129">
        <f>+'Input Sheet'!K63</f>
        <v>295.07785278804107</v>
      </c>
    </row>
    <row r="11" spans="2:8" x14ac:dyDescent="0.25">
      <c r="B11" s="92" t="s">
        <v>48</v>
      </c>
      <c r="C11" s="89"/>
      <c r="D11" s="89"/>
      <c r="E11" s="89"/>
      <c r="F11" s="89"/>
      <c r="G11" s="89"/>
      <c r="H11" s="89"/>
    </row>
    <row r="12" spans="2:8" x14ac:dyDescent="0.25">
      <c r="B12" s="252" t="s">
        <v>103</v>
      </c>
      <c r="C12" s="252"/>
      <c r="D12" s="252"/>
      <c r="E12" s="252"/>
      <c r="F12" s="252"/>
      <c r="G12" s="252"/>
      <c r="H12" s="252"/>
    </row>
    <row r="14" spans="2:8" x14ac:dyDescent="0.25">
      <c r="B14" s="92" t="s">
        <v>91</v>
      </c>
      <c r="C14" s="89"/>
      <c r="D14" s="89"/>
      <c r="E14" s="89"/>
      <c r="F14" s="89"/>
      <c r="G14" s="89"/>
      <c r="H14" s="89"/>
    </row>
    <row r="15" spans="2:8" ht="15" customHeight="1" x14ac:dyDescent="0.25">
      <c r="B15" s="252" t="s">
        <v>58</v>
      </c>
      <c r="C15" s="252"/>
      <c r="D15" s="252"/>
      <c r="E15" s="252"/>
      <c r="F15" s="252"/>
      <c r="G15" s="252"/>
      <c r="H15" s="252"/>
    </row>
    <row r="16" spans="2:8" ht="47.25" customHeight="1" x14ac:dyDescent="0.25">
      <c r="B16" s="253" t="s">
        <v>59</v>
      </c>
      <c r="C16" s="253"/>
      <c r="D16" s="253"/>
      <c r="E16" s="253"/>
      <c r="F16" s="253"/>
      <c r="G16" s="253"/>
      <c r="H16" s="253"/>
    </row>
    <row r="17" spans="2:8" ht="45.75" customHeight="1" x14ac:dyDescent="0.25">
      <c r="B17" s="253" t="s">
        <v>114</v>
      </c>
      <c r="C17" s="253"/>
      <c r="D17" s="253"/>
      <c r="E17" s="253"/>
      <c r="F17" s="253"/>
      <c r="G17" s="253"/>
      <c r="H17" s="253"/>
    </row>
    <row r="18" spans="2:8" ht="47.25" customHeight="1" x14ac:dyDescent="0.25">
      <c r="B18" s="253" t="s">
        <v>109</v>
      </c>
      <c r="C18" s="253"/>
      <c r="D18" s="253"/>
      <c r="E18" s="253"/>
      <c r="F18" s="253"/>
      <c r="G18" s="253"/>
      <c r="H18" s="253"/>
    </row>
    <row r="20" spans="2:8" x14ac:dyDescent="0.25">
      <c r="B20" s="92" t="s">
        <v>60</v>
      </c>
      <c r="C20" s="89"/>
      <c r="D20" s="89"/>
      <c r="E20" s="89"/>
      <c r="F20" s="89"/>
      <c r="G20" s="89"/>
      <c r="H20" s="89"/>
    </row>
    <row r="21" spans="2:8" ht="46.5" customHeight="1" x14ac:dyDescent="0.25">
      <c r="B21" s="252" t="s">
        <v>118</v>
      </c>
      <c r="C21" s="252"/>
      <c r="D21" s="252"/>
      <c r="E21" s="252"/>
      <c r="F21" s="252"/>
      <c r="G21" s="252"/>
      <c r="H21" s="252"/>
    </row>
    <row r="23" spans="2:8" x14ac:dyDescent="0.25">
      <c r="B23" s="92" t="s">
        <v>62</v>
      </c>
      <c r="C23" s="89"/>
      <c r="D23" s="89"/>
      <c r="E23" s="89"/>
      <c r="F23" s="89"/>
      <c r="G23" s="89"/>
      <c r="H23" s="89"/>
    </row>
    <row r="24" spans="2:8" ht="78" customHeight="1" x14ac:dyDescent="0.25">
      <c r="B24" s="252" t="s">
        <v>110</v>
      </c>
      <c r="C24" s="252"/>
      <c r="D24" s="252"/>
      <c r="E24" s="252"/>
      <c r="F24" s="252"/>
      <c r="G24" s="252"/>
      <c r="H24" s="252"/>
    </row>
    <row r="26" spans="2:8" x14ac:dyDescent="0.25">
      <c r="B26" s="12" t="s">
        <v>63</v>
      </c>
      <c r="C26" s="13" t="s">
        <v>13</v>
      </c>
      <c r="D26" s="13" t="s">
        <v>14</v>
      </c>
      <c r="E26" s="13" t="s">
        <v>15</v>
      </c>
      <c r="F26" s="13" t="s">
        <v>16</v>
      </c>
      <c r="G26" s="13" t="s">
        <v>17</v>
      </c>
      <c r="H26" s="124" t="s">
        <v>1</v>
      </c>
    </row>
    <row r="27" spans="2:8" x14ac:dyDescent="0.25">
      <c r="B27" s="15" t="s">
        <v>61</v>
      </c>
      <c r="C27" s="9">
        <f>'Fee Breakdown'!X12</f>
        <v>81890.491506396429</v>
      </c>
      <c r="D27" s="9">
        <f>'Fee Breakdown'!Y12</f>
        <v>85463.350713193839</v>
      </c>
      <c r="E27" s="9">
        <f>'Fee Breakdown'!Z12</f>
        <v>88356.943147173821</v>
      </c>
      <c r="F27" s="9">
        <f>'Fee Breakdown'!AA12</f>
        <v>91469.595496872033</v>
      </c>
      <c r="G27" s="9">
        <f>'Fee Breakdown'!AB12</f>
        <v>94619.474383874389</v>
      </c>
      <c r="H27" s="16">
        <f>SUM(C27:G27)</f>
        <v>441799.85524751054</v>
      </c>
    </row>
    <row r="28" spans="2:8" x14ac:dyDescent="0.25">
      <c r="B28" s="15"/>
      <c r="C28" s="9"/>
      <c r="D28" s="9"/>
      <c r="E28" s="9"/>
      <c r="F28" s="9"/>
      <c r="G28" s="9"/>
      <c r="H28" s="16"/>
    </row>
    <row r="29" spans="2:8" x14ac:dyDescent="0.25">
      <c r="B29" s="15" t="s">
        <v>22</v>
      </c>
      <c r="C29" s="9">
        <f>'Fee Breakdown'!L21</f>
        <v>36156.425780811507</v>
      </c>
      <c r="D29" s="9">
        <f>'Fee Breakdown'!M21</f>
        <v>37733.920510169301</v>
      </c>
      <c r="E29" s="9">
        <f>'Fee Breakdown'!N21</f>
        <v>39011.504246138727</v>
      </c>
      <c r="F29" s="9">
        <f>'Fee Breakdown'!O21</f>
        <v>40385.807679822996</v>
      </c>
      <c r="G29" s="9">
        <f>'Fee Breakdown'!P21</f>
        <v>41776.547436068686</v>
      </c>
      <c r="H29" s="16">
        <f>SUM(C29:G29)</f>
        <v>195064.20565301122</v>
      </c>
    </row>
    <row r="30" spans="2:8" x14ac:dyDescent="0.25">
      <c r="B30" s="15" t="s">
        <v>24</v>
      </c>
      <c r="C30" s="9">
        <f>'Fee Breakdown'!R21</f>
        <v>42427.842924516743</v>
      </c>
      <c r="D30" s="9">
        <f>'Fee Breakdown'!S21</f>
        <v>47544.871163951706</v>
      </c>
      <c r="E30" s="9">
        <f>'Fee Breakdown'!T21</f>
        <v>49585.266722149841</v>
      </c>
      <c r="F30" s="9">
        <f>'Fee Breakdown'!U21</f>
        <v>52395.582431604627</v>
      </c>
      <c r="G30" s="9">
        <f>'Fee Breakdown'!V21</f>
        <v>55253.60349481192</v>
      </c>
      <c r="H30" s="16">
        <f>SUM(C30:G30)</f>
        <v>247207.16673703483</v>
      </c>
    </row>
    <row r="31" spans="2:8" ht="15.75" thickBot="1" x14ac:dyDescent="0.3">
      <c r="B31" s="90" t="s">
        <v>52</v>
      </c>
      <c r="C31" s="91">
        <f>SUM(C29:C30)</f>
        <v>78584.268705328257</v>
      </c>
      <c r="D31" s="91">
        <f t="shared" ref="D31:H31" si="0">SUM(D29:D30)</f>
        <v>85278.791674121007</v>
      </c>
      <c r="E31" s="91">
        <f t="shared" si="0"/>
        <v>88596.770968288562</v>
      </c>
      <c r="F31" s="91">
        <f t="shared" si="0"/>
        <v>92781.390111427623</v>
      </c>
      <c r="G31" s="91">
        <f t="shared" si="0"/>
        <v>97030.150930880598</v>
      </c>
      <c r="H31" s="91">
        <f t="shared" si="0"/>
        <v>442271.37239004602</v>
      </c>
    </row>
    <row r="32" spans="2:8" x14ac:dyDescent="0.25">
      <c r="B32" s="15"/>
      <c r="C32" s="9"/>
      <c r="D32" s="9"/>
      <c r="E32" s="9"/>
      <c r="F32" s="9"/>
      <c r="G32" s="9"/>
      <c r="H32" s="16"/>
    </row>
    <row r="33" spans="2:8" x14ac:dyDescent="0.25">
      <c r="B33" t="s">
        <v>111</v>
      </c>
      <c r="C33" s="122">
        <f>'Fee Breakdown'!D18</f>
        <v>20</v>
      </c>
      <c r="D33" s="122">
        <f>'Fee Breakdown'!E18</f>
        <v>20</v>
      </c>
      <c r="E33" s="122">
        <f>'Fee Breakdown'!F18</f>
        <v>20</v>
      </c>
      <c r="F33" s="122">
        <f>'Fee Breakdown'!G18</f>
        <v>20</v>
      </c>
      <c r="G33" s="122">
        <f>'Fee Breakdown'!H18</f>
        <v>20</v>
      </c>
      <c r="H33" s="123">
        <f>SUM(C33:G33)</f>
        <v>100</v>
      </c>
    </row>
    <row r="34" spans="2:8" x14ac:dyDescent="0.25">
      <c r="B34" t="s">
        <v>112</v>
      </c>
      <c r="C34" s="122">
        <f>'Fee Breakdown'!D19</f>
        <v>6</v>
      </c>
      <c r="D34" s="122">
        <f>'Fee Breakdown'!E19</f>
        <v>6</v>
      </c>
      <c r="E34" s="122">
        <f>'Fee Breakdown'!F19</f>
        <v>6</v>
      </c>
      <c r="F34" s="122">
        <f>'Fee Breakdown'!G19</f>
        <v>6</v>
      </c>
      <c r="G34" s="122">
        <f>'Fee Breakdown'!H19</f>
        <v>6</v>
      </c>
      <c r="H34" s="123">
        <f>SUM(C34:G34)</f>
        <v>30</v>
      </c>
    </row>
    <row r="35" spans="2:8" x14ac:dyDescent="0.25">
      <c r="C35" s="3"/>
      <c r="D35" s="4"/>
      <c r="E35" s="3"/>
      <c r="F35" s="3"/>
      <c r="G35" s="3"/>
    </row>
    <row r="36" spans="2:8" x14ac:dyDescent="0.25">
      <c r="B36" s="92" t="s">
        <v>49</v>
      </c>
      <c r="C36" s="89"/>
      <c r="D36" s="89"/>
      <c r="E36" s="89"/>
      <c r="F36" s="89"/>
      <c r="G36" s="89"/>
      <c r="H36" s="89"/>
    </row>
    <row r="37" spans="2:8" ht="62.25" customHeight="1" x14ac:dyDescent="0.25">
      <c r="B37" s="252" t="s">
        <v>113</v>
      </c>
      <c r="C37" s="252"/>
      <c r="D37" s="252"/>
      <c r="E37" s="252"/>
      <c r="F37" s="252"/>
      <c r="G37" s="252"/>
      <c r="H37" s="252"/>
    </row>
    <row r="39" spans="2:8" x14ac:dyDescent="0.25">
      <c r="B39" s="12" t="s">
        <v>63</v>
      </c>
      <c r="C39" s="13" t="s">
        <v>13</v>
      </c>
      <c r="D39" s="13" t="s">
        <v>14</v>
      </c>
      <c r="E39" s="13" t="s">
        <v>15</v>
      </c>
      <c r="F39" s="13" t="s">
        <v>16</v>
      </c>
      <c r="G39" s="13" t="s">
        <v>17</v>
      </c>
      <c r="H39" s="124" t="s">
        <v>51</v>
      </c>
    </row>
    <row r="40" spans="2:8" x14ac:dyDescent="0.25">
      <c r="B40" t="s">
        <v>50</v>
      </c>
      <c r="C40" s="8">
        <f>+'Input Sheet'!G72</f>
        <v>2.1734523534412387</v>
      </c>
      <c r="D40" s="8">
        <f>+'Input Sheet'!H72</f>
        <v>2.2600034801880273</v>
      </c>
      <c r="E40" s="8">
        <f>+'Input Sheet'!I72</f>
        <v>2.2710421625707418</v>
      </c>
      <c r="F40" s="8">
        <f>+'Input Sheet'!J72</f>
        <v>2.2973761190315822</v>
      </c>
      <c r="G40" s="8">
        <f>+'Input Sheet'!K72</f>
        <v>2.3225986082111594</v>
      </c>
      <c r="H40" s="88">
        <f>AVERAGE(C40:G40)</f>
        <v>2.2648945446885498</v>
      </c>
    </row>
  </sheetData>
  <mergeCells count="9">
    <mergeCell ref="C6:H6"/>
    <mergeCell ref="B37:H37"/>
    <mergeCell ref="B15:H15"/>
    <mergeCell ref="B12:H12"/>
    <mergeCell ref="B16:H16"/>
    <mergeCell ref="B17:H17"/>
    <mergeCell ref="B21:H21"/>
    <mergeCell ref="B18:H18"/>
    <mergeCell ref="B24:H24"/>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94" t="s">
        <v>41</v>
      </c>
      <c r="C2" s="94"/>
      <c r="D2" s="93"/>
      <c r="E2" s="93"/>
      <c r="F2" s="93"/>
      <c r="G2" s="93"/>
      <c r="H2" s="93"/>
      <c r="I2" s="93"/>
      <c r="J2" s="93"/>
      <c r="K2" s="93"/>
    </row>
    <row r="3" spans="2:13" x14ac:dyDescent="0.25">
      <c r="B3" s="14" t="s">
        <v>0</v>
      </c>
      <c r="C3" s="12"/>
      <c r="D3" s="254" t="str">
        <f>'AER Summary'!C3</f>
        <v>Planning studies and analysis relating to distribution connection applications</v>
      </c>
      <c r="E3" s="255"/>
      <c r="F3" s="255"/>
      <c r="G3" s="255"/>
      <c r="H3" s="255"/>
      <c r="I3" s="255"/>
      <c r="J3" s="255"/>
      <c r="K3" s="255"/>
      <c r="M3" s="6"/>
    </row>
    <row r="4" spans="2:13" x14ac:dyDescent="0.25">
      <c r="M4" s="6"/>
    </row>
    <row r="5" spans="2:13" x14ac:dyDescent="0.25">
      <c r="B5" s="92" t="s">
        <v>64</v>
      </c>
      <c r="C5" s="92"/>
      <c r="D5" s="92"/>
      <c r="E5" s="92"/>
      <c r="F5" s="92"/>
      <c r="G5" s="92"/>
      <c r="H5" s="92"/>
      <c r="I5" s="92"/>
      <c r="J5" s="92"/>
      <c r="K5" s="92"/>
      <c r="M5" s="7"/>
    </row>
    <row r="6" spans="2:13" ht="31.5" customHeight="1" x14ac:dyDescent="0.25">
      <c r="B6" s="252" t="s">
        <v>102</v>
      </c>
      <c r="C6" s="252"/>
      <c r="D6" s="252"/>
      <c r="E6" s="252"/>
      <c r="F6" s="252"/>
      <c r="G6" s="252"/>
      <c r="H6" s="252"/>
      <c r="I6" s="252"/>
      <c r="J6" s="252"/>
      <c r="K6" s="252"/>
      <c r="M6" s="7"/>
    </row>
    <row r="8" spans="2:13" x14ac:dyDescent="0.25">
      <c r="B8" s="92" t="s">
        <v>5</v>
      </c>
      <c r="C8" s="92"/>
      <c r="D8" s="92"/>
      <c r="E8" s="92"/>
      <c r="F8" s="92"/>
      <c r="G8" s="92"/>
      <c r="H8" s="92"/>
      <c r="I8" s="92"/>
      <c r="J8" s="92"/>
      <c r="K8" s="92"/>
    </row>
    <row r="9" spans="2:13" x14ac:dyDescent="0.25">
      <c r="B9" s="252" t="s">
        <v>103</v>
      </c>
      <c r="C9" s="252"/>
      <c r="D9" s="252"/>
      <c r="E9" s="252"/>
      <c r="F9" s="252"/>
      <c r="G9" s="252"/>
      <c r="H9" s="252"/>
      <c r="I9" s="252"/>
      <c r="J9" s="252"/>
      <c r="K9" s="252"/>
    </row>
    <row r="11" spans="2:13" x14ac:dyDescent="0.25">
      <c r="B11" s="92" t="s">
        <v>65</v>
      </c>
      <c r="C11" s="92"/>
      <c r="D11" s="92"/>
      <c r="E11" s="92"/>
      <c r="F11" s="92"/>
      <c r="G11" s="92"/>
      <c r="H11" s="92"/>
      <c r="I11" s="92"/>
      <c r="J11" s="92"/>
      <c r="K11" s="92"/>
    </row>
    <row r="12" spans="2:13" ht="123" customHeight="1" x14ac:dyDescent="0.25">
      <c r="B12" s="252" t="s">
        <v>104</v>
      </c>
      <c r="C12" s="252"/>
      <c r="D12" s="252"/>
      <c r="E12" s="252"/>
      <c r="F12" s="252"/>
      <c r="G12" s="252"/>
      <c r="H12" s="252"/>
      <c r="I12" s="252"/>
      <c r="J12" s="252"/>
      <c r="K12" s="252"/>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C28"/>
  <sheetViews>
    <sheetView showGridLines="0" zoomScaleNormal="100" workbookViewId="0"/>
  </sheetViews>
  <sheetFormatPr defaultColWidth="9.140625" defaultRowHeight="12.75" x14ac:dyDescent="0.25"/>
  <cols>
    <col min="1" max="1" width="2.5703125" style="19" customWidth="1"/>
    <col min="2" max="2" width="57.28515625" style="19" bestFit="1" customWidth="1"/>
    <col min="3" max="3" width="2.85546875" style="19" customWidth="1"/>
    <col min="4" max="5" width="10" style="19" customWidth="1"/>
    <col min="6" max="8" width="10" style="47" customWidth="1"/>
    <col min="9" max="9" width="2.85546875" style="47" customWidth="1"/>
    <col min="10" max="10" width="12" style="47" customWidth="1"/>
    <col min="11" max="11" width="2.85546875" style="47" customWidth="1"/>
    <col min="12" max="16" width="10" style="47" customWidth="1"/>
    <col min="17" max="17" width="3.7109375" style="66" customWidth="1"/>
    <col min="18" max="22" width="10" style="67" customWidth="1"/>
    <col min="23" max="23" width="3.7109375" style="19" customWidth="1"/>
    <col min="24" max="28" width="10" style="19" customWidth="1"/>
    <col min="29" max="29" width="2.85546875" style="19" customWidth="1"/>
    <col min="30" max="59" width="9.140625" style="19" customWidth="1"/>
    <col min="60" max="16384" width="9.140625" style="19"/>
  </cols>
  <sheetData>
    <row r="2" spans="2:29" ht="21" x14ac:dyDescent="0.25">
      <c r="B2" s="102" t="s">
        <v>43</v>
      </c>
      <c r="C2" s="103"/>
      <c r="D2" s="103"/>
      <c r="E2" s="103"/>
      <c r="F2" s="104"/>
      <c r="G2" s="104"/>
      <c r="H2" s="104"/>
      <c r="I2" s="104"/>
      <c r="J2" s="104"/>
      <c r="K2" s="104"/>
      <c r="L2" s="104"/>
      <c r="M2" s="104"/>
      <c r="N2" s="104"/>
      <c r="O2" s="104"/>
      <c r="P2" s="104"/>
      <c r="Q2" s="104"/>
      <c r="R2" s="104"/>
      <c r="S2" s="104"/>
      <c r="T2" s="104"/>
      <c r="U2" s="104"/>
      <c r="V2" s="104"/>
      <c r="W2" s="104"/>
      <c r="X2" s="104"/>
      <c r="Y2" s="104"/>
      <c r="Z2" s="104"/>
      <c r="AA2" s="104"/>
      <c r="AB2" s="104"/>
    </row>
    <row r="3" spans="2:29" ht="15" x14ac:dyDescent="0.25">
      <c r="B3" s="64" t="s">
        <v>0</v>
      </c>
      <c r="C3" s="65" t="str">
        <f>'AER Summary'!C3</f>
        <v>Planning studies and analysis relating to distribution connection applications</v>
      </c>
      <c r="D3" s="65"/>
      <c r="E3" s="65"/>
      <c r="F3" s="65"/>
      <c r="G3" s="65"/>
      <c r="H3" s="65"/>
      <c r="I3" s="65"/>
      <c r="J3" s="65"/>
      <c r="K3" s="65"/>
      <c r="L3" s="65"/>
      <c r="M3" s="65"/>
      <c r="N3" s="65"/>
      <c r="O3" s="65"/>
      <c r="P3" s="65"/>
      <c r="Q3" s="65"/>
      <c r="R3" s="65"/>
      <c r="S3" s="65"/>
      <c r="T3" s="65"/>
      <c r="U3" s="65"/>
      <c r="V3" s="65"/>
      <c r="W3" s="65"/>
      <c r="X3" s="65"/>
      <c r="Y3" s="65"/>
      <c r="Z3" s="65"/>
      <c r="AA3" s="65"/>
      <c r="AB3" s="65"/>
    </row>
    <row r="5" spans="2:29" ht="15" x14ac:dyDescent="0.25">
      <c r="B5" s="92" t="str">
        <f>"Proposed "&amp;'AER Summary'!C3&amp;" Fees &amp; Revenue"</f>
        <v>Proposed Planning studies and analysis relating to distribution connection applications Fees &amp; Revenue</v>
      </c>
      <c r="C5" s="92"/>
      <c r="D5" s="92"/>
      <c r="E5" s="92"/>
      <c r="F5" s="92"/>
      <c r="G5" s="92"/>
      <c r="H5" s="92"/>
      <c r="I5" s="92"/>
      <c r="J5" s="92"/>
      <c r="K5" s="92"/>
      <c r="L5" s="92"/>
      <c r="M5" s="92"/>
      <c r="N5" s="92"/>
      <c r="O5" s="92"/>
      <c r="P5" s="92"/>
      <c r="Q5" s="92"/>
      <c r="R5" s="92"/>
      <c r="S5" s="92"/>
      <c r="T5" s="92"/>
      <c r="U5" s="92"/>
      <c r="V5" s="92"/>
      <c r="W5" s="92"/>
      <c r="X5" s="92"/>
      <c r="Y5" s="92"/>
      <c r="Z5" s="92"/>
      <c r="AA5" s="92"/>
      <c r="AB5" s="92"/>
    </row>
    <row r="6" spans="2:29" x14ac:dyDescent="0.25">
      <c r="I6" s="85"/>
      <c r="J6" s="85"/>
      <c r="K6" s="85"/>
      <c r="R6" s="60"/>
      <c r="S6" s="60"/>
      <c r="T6" s="60"/>
      <c r="U6" s="60"/>
      <c r="V6" s="60"/>
    </row>
    <row r="7" spans="2:29" x14ac:dyDescent="0.25">
      <c r="D7" s="262" t="s">
        <v>56</v>
      </c>
      <c r="E7" s="263"/>
      <c r="F7" s="263"/>
      <c r="G7" s="263"/>
      <c r="H7" s="264"/>
      <c r="I7" s="68"/>
      <c r="J7" s="66"/>
      <c r="K7" s="66"/>
      <c r="L7" s="66"/>
      <c r="M7" s="66"/>
      <c r="N7" s="66"/>
      <c r="O7" s="66"/>
      <c r="P7" s="66"/>
      <c r="W7" s="101"/>
      <c r="X7" s="262" t="s">
        <v>69</v>
      </c>
      <c r="Y7" s="263"/>
      <c r="Z7" s="263"/>
      <c r="AA7" s="263"/>
      <c r="AB7" s="264"/>
      <c r="AC7" s="101"/>
    </row>
    <row r="8" spans="2:29" x14ac:dyDescent="0.25">
      <c r="B8" s="69" t="s">
        <v>6</v>
      </c>
      <c r="D8" s="71" t="s">
        <v>13</v>
      </c>
      <c r="E8" s="72" t="s">
        <v>14</v>
      </c>
      <c r="F8" s="72" t="s">
        <v>15</v>
      </c>
      <c r="G8" s="72" t="s">
        <v>16</v>
      </c>
      <c r="H8" s="73" t="s">
        <v>17</v>
      </c>
      <c r="I8" s="70"/>
      <c r="J8" s="60"/>
      <c r="K8" s="60"/>
      <c r="L8" s="60"/>
      <c r="M8" s="60"/>
      <c r="N8" s="60"/>
      <c r="O8" s="60"/>
      <c r="P8" s="60"/>
      <c r="Q8" s="60"/>
      <c r="W8" s="132"/>
      <c r="X8" s="71" t="s">
        <v>13</v>
      </c>
      <c r="Y8" s="72" t="s">
        <v>14</v>
      </c>
      <c r="Z8" s="72" t="s">
        <v>15</v>
      </c>
      <c r="AA8" s="72" t="s">
        <v>16</v>
      </c>
      <c r="AB8" s="73" t="s">
        <v>17</v>
      </c>
      <c r="AC8" s="101"/>
    </row>
    <row r="9" spans="2:29" x14ac:dyDescent="0.25">
      <c r="B9" s="149" t="s">
        <v>84</v>
      </c>
      <c r="C9" s="78"/>
      <c r="D9" s="113">
        <f>+'Input Sheet'!G62</f>
        <v>205.98913497166757</v>
      </c>
      <c r="E9" s="114">
        <f>+'Input Sheet'!H62</f>
        <v>214.97638323267319</v>
      </c>
      <c r="F9" s="114">
        <f>+'Input Sheet'!I62</f>
        <v>222.25498898373939</v>
      </c>
      <c r="G9" s="114">
        <f>+'Input Sheet'!J62</f>
        <v>230.0846228421683</v>
      </c>
      <c r="H9" s="115">
        <f>+'Input Sheet'!K62</f>
        <v>238.00789714744528</v>
      </c>
      <c r="I9" s="75"/>
      <c r="J9" s="76"/>
      <c r="K9" s="76"/>
      <c r="L9" s="76"/>
      <c r="M9" s="76"/>
      <c r="N9" s="76"/>
      <c r="O9" s="76"/>
      <c r="P9" s="76"/>
      <c r="Q9" s="76"/>
      <c r="W9" s="101"/>
      <c r="X9" s="177">
        <f>+D9*D18*$J18</f>
        <v>20598.913497166759</v>
      </c>
      <c r="Y9" s="178">
        <f t="shared" ref="Y9:AB9" si="0">+E9*E18*$J18</f>
        <v>21497.638323267318</v>
      </c>
      <c r="Z9" s="178">
        <f t="shared" si="0"/>
        <v>22225.498898373939</v>
      </c>
      <c r="AA9" s="178">
        <f t="shared" si="0"/>
        <v>23008.462284216832</v>
      </c>
      <c r="AB9" s="179">
        <f t="shared" si="0"/>
        <v>23800.789714744529</v>
      </c>
      <c r="AC9" s="101"/>
    </row>
    <row r="10" spans="2:29" x14ac:dyDescent="0.25">
      <c r="B10" s="176" t="s">
        <v>85</v>
      </c>
      <c r="C10" s="78"/>
      <c r="D10" s="116">
        <f>+'Input Sheet'!G63</f>
        <v>255.38157503845696</v>
      </c>
      <c r="E10" s="117">
        <f>+'Input Sheet'!H63</f>
        <v>266.52380162469382</v>
      </c>
      <c r="F10" s="117">
        <f>+'Input Sheet'!I63</f>
        <v>275.54768436999944</v>
      </c>
      <c r="G10" s="117">
        <f>+'Input Sheet'!J63</f>
        <v>285.25472171939668</v>
      </c>
      <c r="H10" s="118">
        <f>+'Input Sheet'!K63</f>
        <v>295.07785278804107</v>
      </c>
      <c r="I10" s="75"/>
      <c r="J10" s="76"/>
      <c r="K10" s="76"/>
      <c r="L10" s="76"/>
      <c r="M10" s="76"/>
      <c r="N10" s="76"/>
      <c r="O10" s="76"/>
      <c r="P10" s="76"/>
      <c r="Q10" s="76"/>
      <c r="W10" s="101"/>
      <c r="X10" s="181">
        <f t="shared" ref="X10:AB10" si="1">+D10*D19*$J19</f>
        <v>61291.57800922967</v>
      </c>
      <c r="Y10" s="182">
        <f t="shared" si="1"/>
        <v>63965.712389926521</v>
      </c>
      <c r="Z10" s="182">
        <f t="shared" si="1"/>
        <v>66131.444248799875</v>
      </c>
      <c r="AA10" s="182">
        <f t="shared" si="1"/>
        <v>68461.133212655201</v>
      </c>
      <c r="AB10" s="183">
        <f t="shared" si="1"/>
        <v>70818.684669129856</v>
      </c>
      <c r="AC10" s="101"/>
    </row>
    <row r="11" spans="2:29" x14ac:dyDescent="0.25">
      <c r="B11" s="87"/>
      <c r="C11" s="79"/>
      <c r="D11" s="119"/>
      <c r="E11" s="120"/>
      <c r="F11" s="120"/>
      <c r="G11" s="120"/>
      <c r="H11" s="121"/>
      <c r="I11" s="80"/>
      <c r="J11" s="76"/>
      <c r="K11" s="76"/>
      <c r="L11" s="76"/>
      <c r="M11" s="76"/>
      <c r="N11" s="76"/>
      <c r="O11" s="76"/>
      <c r="P11" s="76"/>
      <c r="Q11" s="76"/>
      <c r="W11" s="101"/>
      <c r="X11" s="184"/>
      <c r="Y11" s="185"/>
      <c r="Z11" s="185"/>
      <c r="AA11" s="185"/>
      <c r="AB11" s="186"/>
      <c r="AC11" s="101"/>
    </row>
    <row r="12" spans="2:29" x14ac:dyDescent="0.25">
      <c r="C12" s="79"/>
      <c r="D12" s="79"/>
      <c r="E12" s="79"/>
      <c r="F12" s="84"/>
      <c r="G12" s="84"/>
      <c r="H12" s="84"/>
      <c r="I12" s="84"/>
      <c r="J12" s="84"/>
      <c r="K12" s="84"/>
      <c r="L12" s="84"/>
      <c r="M12" s="84"/>
      <c r="N12" s="84"/>
      <c r="O12" s="84"/>
      <c r="P12" s="84"/>
      <c r="R12" s="19"/>
      <c r="S12" s="19"/>
      <c r="T12" s="19"/>
      <c r="U12" s="19"/>
      <c r="V12" s="19"/>
      <c r="W12" s="101"/>
      <c r="X12" s="187">
        <f>SUM(X9:X11)</f>
        <v>81890.491506396429</v>
      </c>
      <c r="Y12" s="188">
        <f>SUM(Y9:Y11)</f>
        <v>85463.350713193839</v>
      </c>
      <c r="Z12" s="188">
        <f>SUM(Z9:Z11)</f>
        <v>88356.943147173821</v>
      </c>
      <c r="AA12" s="188">
        <f>SUM(AA9:AA11)</f>
        <v>91469.595496872033</v>
      </c>
      <c r="AB12" s="189">
        <f>SUM(AB9:AB11)</f>
        <v>94619.474383874389</v>
      </c>
      <c r="AC12" s="101"/>
    </row>
    <row r="13" spans="2:29" x14ac:dyDescent="0.25">
      <c r="C13" s="130"/>
      <c r="D13" s="130"/>
      <c r="E13" s="130"/>
      <c r="F13" s="84"/>
      <c r="G13" s="84"/>
      <c r="H13" s="84"/>
      <c r="I13" s="84"/>
      <c r="J13" s="84"/>
      <c r="K13" s="84"/>
      <c r="L13" s="84"/>
      <c r="M13" s="84"/>
      <c r="N13" s="84"/>
      <c r="O13" s="84"/>
      <c r="P13" s="84"/>
      <c r="R13" s="131"/>
      <c r="S13" s="131"/>
      <c r="T13" s="131"/>
      <c r="U13" s="131"/>
      <c r="V13" s="131"/>
      <c r="W13" s="101"/>
      <c r="X13" s="131"/>
      <c r="Y13" s="131"/>
      <c r="Z13" s="131"/>
      <c r="AA13" s="131"/>
      <c r="AB13" s="131"/>
      <c r="AC13" s="101"/>
    </row>
    <row r="14" spans="2:29" ht="15" x14ac:dyDescent="0.25">
      <c r="B14" s="92" t="s">
        <v>68</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row>
    <row r="15" spans="2:29" x14ac:dyDescent="0.25">
      <c r="I15" s="85"/>
      <c r="J15" s="85"/>
      <c r="K15" s="85"/>
      <c r="R15" s="125"/>
      <c r="S15" s="125"/>
      <c r="T15" s="125"/>
      <c r="U15" s="125"/>
      <c r="V15" s="125"/>
    </row>
    <row r="16" spans="2:29" s="66" customFormat="1" x14ac:dyDescent="0.2">
      <c r="C16" s="19"/>
      <c r="D16" s="259" t="s">
        <v>57</v>
      </c>
      <c r="E16" s="260"/>
      <c r="F16" s="260"/>
      <c r="G16" s="260"/>
      <c r="H16" s="261"/>
      <c r="L16" s="265" t="s">
        <v>45</v>
      </c>
      <c r="M16" s="266"/>
      <c r="N16" s="266"/>
      <c r="O16" s="266"/>
      <c r="P16" s="267"/>
      <c r="R16" s="256" t="s">
        <v>44</v>
      </c>
      <c r="S16" s="257"/>
      <c r="T16" s="257"/>
      <c r="U16" s="257"/>
      <c r="V16" s="258"/>
      <c r="X16" s="256" t="s">
        <v>34</v>
      </c>
      <c r="Y16" s="257"/>
      <c r="Z16" s="257"/>
      <c r="AA16" s="257"/>
      <c r="AB16" s="258"/>
    </row>
    <row r="17" spans="2:28" s="66" customFormat="1" ht="25.5" x14ac:dyDescent="0.25">
      <c r="B17" s="69" t="s">
        <v>6</v>
      </c>
      <c r="C17" s="19"/>
      <c r="D17" s="71" t="s">
        <v>13</v>
      </c>
      <c r="E17" s="72" t="s">
        <v>14</v>
      </c>
      <c r="F17" s="72" t="s">
        <v>15</v>
      </c>
      <c r="G17" s="72" t="s">
        <v>16</v>
      </c>
      <c r="H17" s="73" t="s">
        <v>17</v>
      </c>
      <c r="J17" s="86" t="s">
        <v>18</v>
      </c>
      <c r="L17" s="71" t="s">
        <v>13</v>
      </c>
      <c r="M17" s="72" t="s">
        <v>14</v>
      </c>
      <c r="N17" s="72" t="s">
        <v>15</v>
      </c>
      <c r="O17" s="72" t="s">
        <v>16</v>
      </c>
      <c r="P17" s="73" t="s">
        <v>17</v>
      </c>
      <c r="Q17" s="60"/>
      <c r="R17" s="71" t="s">
        <v>13</v>
      </c>
      <c r="S17" s="72" t="s">
        <v>14</v>
      </c>
      <c r="T17" s="72" t="s">
        <v>15</v>
      </c>
      <c r="U17" s="72" t="s">
        <v>16</v>
      </c>
      <c r="V17" s="73" t="s">
        <v>17</v>
      </c>
      <c r="W17" s="60"/>
      <c r="X17" s="97" t="s">
        <v>13</v>
      </c>
      <c r="Y17" s="98" t="s">
        <v>14</v>
      </c>
      <c r="Z17" s="98" t="s">
        <v>15</v>
      </c>
      <c r="AA17" s="98" t="s">
        <v>16</v>
      </c>
      <c r="AB17" s="99" t="s">
        <v>17</v>
      </c>
    </row>
    <row r="18" spans="2:28" s="66" customFormat="1" x14ac:dyDescent="0.25">
      <c r="B18" s="149" t="s">
        <v>84</v>
      </c>
      <c r="C18" s="55"/>
      <c r="D18" s="169">
        <f>+'Input Sheet'!G47</f>
        <v>20</v>
      </c>
      <c r="E18" s="171">
        <f>+'Input Sheet'!H47</f>
        <v>20</v>
      </c>
      <c r="F18" s="171">
        <f>+'Input Sheet'!I47</f>
        <v>20</v>
      </c>
      <c r="G18" s="171">
        <f>+'Input Sheet'!J47</f>
        <v>20</v>
      </c>
      <c r="H18" s="193">
        <f>+'Input Sheet'!K47</f>
        <v>20</v>
      </c>
      <c r="J18" s="77">
        <f>+'Input Sheet'!G52</f>
        <v>5</v>
      </c>
      <c r="L18" s="177">
        <f>$J18*D18*'Input Sheet'!G$59</f>
        <v>9094.8664896887531</v>
      </c>
      <c r="M18" s="178">
        <f>$J18*E18*'Input Sheet'!H$59</f>
        <v>9491.6729671506637</v>
      </c>
      <c r="N18" s="178">
        <f>$J18*F18*'Input Sheet'!I$59</f>
        <v>9813.039176810862</v>
      </c>
      <c r="O18" s="178">
        <f>$J18*G18*'Input Sheet'!J$59</f>
        <v>10158.734470960004</v>
      </c>
      <c r="P18" s="179">
        <f>$J18*H18*'Input Sheet'!K$59</f>
        <v>10508.564193666431</v>
      </c>
      <c r="Q18" s="180"/>
      <c r="R18" s="177">
        <f>+L18*('Input Sheet'!G$72-1)</f>
        <v>10672.392486559123</v>
      </c>
      <c r="S18" s="178">
        <f>+M18*('Input Sheet'!H$72-1)</f>
        <v>11959.540971416456</v>
      </c>
      <c r="T18" s="178">
        <f>+N18*('Input Sheet'!I$72-1)</f>
        <v>12472.786536685089</v>
      </c>
      <c r="U18" s="178">
        <f>+O18*('Input Sheet'!J$72-1)</f>
        <v>13179.699502206444</v>
      </c>
      <c r="V18" s="179">
        <f>+P18*('Input Sheet'!K$72-1)</f>
        <v>13898.612376840845</v>
      </c>
      <c r="W18" s="180"/>
      <c r="X18" s="177">
        <f>+L18+R18</f>
        <v>19767.258976247875</v>
      </c>
      <c r="Y18" s="178">
        <f t="shared" ref="Y18:Y19" si="2">+M18+S18</f>
        <v>21451.213938567118</v>
      </c>
      <c r="Z18" s="178">
        <f t="shared" ref="Z18:Z19" si="3">+N18+T18</f>
        <v>22285.825713495949</v>
      </c>
      <c r="AA18" s="178">
        <f t="shared" ref="AA18:AA19" si="4">+O18+U18</f>
        <v>23338.433973166448</v>
      </c>
      <c r="AB18" s="179">
        <f t="shared" ref="AB18:AB19" si="5">+P18+V18</f>
        <v>24407.176570507276</v>
      </c>
    </row>
    <row r="19" spans="2:28" s="66" customFormat="1" x14ac:dyDescent="0.25">
      <c r="B19" s="176" t="s">
        <v>85</v>
      </c>
      <c r="C19" s="55"/>
      <c r="D19" s="194">
        <f>+'Input Sheet'!G48</f>
        <v>6</v>
      </c>
      <c r="E19" s="195">
        <f>+'Input Sheet'!H48</f>
        <v>6</v>
      </c>
      <c r="F19" s="195">
        <f>+'Input Sheet'!I48</f>
        <v>6</v>
      </c>
      <c r="G19" s="195">
        <f>+'Input Sheet'!J48</f>
        <v>6</v>
      </c>
      <c r="H19" s="196">
        <f>+'Input Sheet'!K48</f>
        <v>6</v>
      </c>
      <c r="J19" s="81">
        <f>+'Input Sheet'!G53</f>
        <v>40</v>
      </c>
      <c r="L19" s="181">
        <f>$J19*D19*'Input Sheet'!G$60</f>
        <v>27061.559291122758</v>
      </c>
      <c r="M19" s="182">
        <f>$J19*E19*'Input Sheet'!H$60</f>
        <v>28242.247543018639</v>
      </c>
      <c r="N19" s="182">
        <f>$J19*F19*'Input Sheet'!I$60</f>
        <v>29198.465069327867</v>
      </c>
      <c r="O19" s="182">
        <f>$J19*G19*'Input Sheet'!J$60</f>
        <v>30227.073208862992</v>
      </c>
      <c r="P19" s="183">
        <f>$J19*H19*'Input Sheet'!K$60</f>
        <v>31267.983242402253</v>
      </c>
      <c r="Q19" s="180"/>
      <c r="R19" s="181">
        <f>+L19*('Input Sheet'!G$72-1)</f>
        <v>31755.450437957617</v>
      </c>
      <c r="S19" s="182">
        <f>+M19*('Input Sheet'!H$72-1)</f>
        <v>35585.33019253525</v>
      </c>
      <c r="T19" s="182">
        <f>+N19*('Input Sheet'!I$72-1)</f>
        <v>37112.480185464752</v>
      </c>
      <c r="U19" s="182">
        <f>+O19*('Input Sheet'!J$72-1)</f>
        <v>39215.882929398183</v>
      </c>
      <c r="V19" s="183">
        <f>+P19*('Input Sheet'!K$72-1)</f>
        <v>41354.991117971076</v>
      </c>
      <c r="W19" s="180"/>
      <c r="X19" s="181">
        <f t="shared" ref="X19" si="6">+L19+R19</f>
        <v>58817.009729080375</v>
      </c>
      <c r="Y19" s="182">
        <f t="shared" si="2"/>
        <v>63827.577735553888</v>
      </c>
      <c r="Z19" s="182">
        <f t="shared" si="3"/>
        <v>66310.945254792619</v>
      </c>
      <c r="AA19" s="182">
        <f t="shared" si="4"/>
        <v>69442.956138261172</v>
      </c>
      <c r="AB19" s="183">
        <f t="shared" si="5"/>
        <v>72622.974360373337</v>
      </c>
    </row>
    <row r="20" spans="2:28" s="66" customFormat="1" x14ac:dyDescent="0.25">
      <c r="B20" s="87"/>
      <c r="C20" s="55"/>
      <c r="D20" s="197"/>
      <c r="E20" s="198"/>
      <c r="F20" s="198"/>
      <c r="G20" s="198"/>
      <c r="H20" s="199"/>
      <c r="J20" s="83"/>
      <c r="L20" s="184"/>
      <c r="M20" s="185"/>
      <c r="N20" s="185"/>
      <c r="O20" s="185"/>
      <c r="P20" s="186"/>
      <c r="Q20" s="180"/>
      <c r="R20" s="184"/>
      <c r="S20" s="185"/>
      <c r="T20" s="185"/>
      <c r="U20" s="185"/>
      <c r="V20" s="186"/>
      <c r="W20" s="180"/>
      <c r="X20" s="184"/>
      <c r="Y20" s="185"/>
      <c r="Z20" s="185"/>
      <c r="AA20" s="185"/>
      <c r="AB20" s="186"/>
    </row>
    <row r="21" spans="2:28" s="66" customFormat="1" x14ac:dyDescent="0.25">
      <c r="C21" s="19"/>
      <c r="D21" s="200">
        <f>SUM(D18:D20)</f>
        <v>26</v>
      </c>
      <c r="E21" s="201">
        <f>SUM(E18:E20)</f>
        <v>26</v>
      </c>
      <c r="F21" s="201">
        <f>SUM(F18:F20)</f>
        <v>26</v>
      </c>
      <c r="G21" s="201">
        <f>SUM(G18:G20)</f>
        <v>26</v>
      </c>
      <c r="H21" s="202">
        <f>SUM(H18:H20)</f>
        <v>26</v>
      </c>
      <c r="L21" s="187">
        <f>SUM(L18:L20)</f>
        <v>36156.425780811507</v>
      </c>
      <c r="M21" s="188">
        <f>SUM(M18:M20)</f>
        <v>37733.920510169301</v>
      </c>
      <c r="N21" s="188">
        <f>SUM(N18:N20)</f>
        <v>39011.504246138727</v>
      </c>
      <c r="O21" s="188">
        <f>SUM(O18:O20)</f>
        <v>40385.807679822996</v>
      </c>
      <c r="P21" s="189">
        <f>SUM(P18:P20)</f>
        <v>41776.547436068686</v>
      </c>
      <c r="Q21" s="180"/>
      <c r="R21" s="190">
        <f>SUM(R18:R20)</f>
        <v>42427.842924516743</v>
      </c>
      <c r="S21" s="191">
        <f>SUM(S18:S20)</f>
        <v>47544.871163951706</v>
      </c>
      <c r="T21" s="191">
        <f>SUM(T18:T20)</f>
        <v>49585.266722149841</v>
      </c>
      <c r="U21" s="191">
        <f>SUM(U18:U20)</f>
        <v>52395.582431604627</v>
      </c>
      <c r="V21" s="192">
        <f>SUM(V18:V20)</f>
        <v>55253.60349481192</v>
      </c>
      <c r="W21" s="180"/>
      <c r="X21" s="190">
        <f>SUM(X18:X20)</f>
        <v>78584.268705328257</v>
      </c>
      <c r="Y21" s="191">
        <f>SUM(Y18:Y20)</f>
        <v>85278.791674121007</v>
      </c>
      <c r="Z21" s="191">
        <f>SUM(Z18:Z20)</f>
        <v>88596.770968288562</v>
      </c>
      <c r="AA21" s="191">
        <f>SUM(AA18:AA20)</f>
        <v>92781.390111427623</v>
      </c>
      <c r="AB21" s="192">
        <f>SUM(AB18:AB20)</f>
        <v>97030.150930880613</v>
      </c>
    </row>
    <row r="22" spans="2:28" s="66" customFormat="1" x14ac:dyDescent="0.25">
      <c r="L22" s="180"/>
      <c r="M22" s="180"/>
      <c r="N22" s="180"/>
      <c r="O22" s="180"/>
      <c r="P22" s="180"/>
      <c r="Q22" s="180"/>
      <c r="R22" s="180"/>
      <c r="S22" s="180"/>
      <c r="T22" s="180"/>
      <c r="U22" s="180"/>
      <c r="V22" s="180"/>
      <c r="W22" s="180"/>
      <c r="X22" s="180"/>
      <c r="Y22" s="180"/>
      <c r="Z22" s="180"/>
      <c r="AA22" s="180"/>
      <c r="AB22" s="180"/>
    </row>
    <row r="23" spans="2:28" s="66" customFormat="1" x14ac:dyDescent="0.25">
      <c r="R23" s="60"/>
      <c r="S23" s="60"/>
      <c r="T23" s="60"/>
      <c r="U23" s="60"/>
      <c r="V23" s="60"/>
    </row>
    <row r="24" spans="2:28" x14ac:dyDescent="0.25">
      <c r="X24" s="134"/>
      <c r="Y24" s="134"/>
      <c r="Z24" s="134"/>
      <c r="AA24" s="134"/>
      <c r="AB24" s="134"/>
    </row>
    <row r="25" spans="2:28" x14ac:dyDescent="0.25">
      <c r="AB25" s="134"/>
    </row>
    <row r="26" spans="2:28" x14ac:dyDescent="0.25">
      <c r="AB26" s="134"/>
    </row>
    <row r="27" spans="2:28" x14ac:dyDescent="0.25">
      <c r="AB27" s="134"/>
    </row>
    <row r="28" spans="2:28" x14ac:dyDescent="0.25">
      <c r="AB28" s="134"/>
    </row>
  </sheetData>
  <mergeCells count="6">
    <mergeCell ref="X16:AB16"/>
    <mergeCell ref="D16:H16"/>
    <mergeCell ref="D7:H7"/>
    <mergeCell ref="X7:AB7"/>
    <mergeCell ref="L16:P16"/>
    <mergeCell ref="R16:V16"/>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2015-01-05T00:45:02Z</dcterms:modified>
</cp:coreProperties>
</file>