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705" activeTab="5"/>
  </bookViews>
  <sheets>
    <sheet name="Input Documents --&gt;" sheetId="16" r:id="rId1"/>
    <sheet name="Market Ops % Opex Allocations" sheetId="17" r:id="rId2"/>
    <sheet name="Market Ops Unit Rates" sheetId="19" r:id="rId3"/>
    <sheet name="Input Sheet" sheetId="13" r:id="rId4"/>
    <sheet name="Methodology Statements --&gt;" sheetId="15" r:id="rId5"/>
    <sheet name="AER Summary" sheetId="8" r:id="rId6"/>
    <sheet name="Service Description" sheetId="9" r:id="rId7"/>
    <sheet name="Fee Breakdown" sheetId="11" r:id="rId8"/>
  </sheets>
  <externalReferences>
    <externalReference r:id="rId9"/>
    <externalReference r:id="rId10"/>
    <externalReference r:id="rId11"/>
    <externalReference r:id="rId12"/>
    <externalReference r:id="rId13"/>
    <externalReference r:id="rId14"/>
    <externalReference r:id="rId15"/>
  </externalReferences>
  <definedNames>
    <definedName name="_max1">'[1]S-factor'!#REF!</definedName>
    <definedName name="_min1">'[1]S-factor'!#REF!</definedName>
    <definedName name="anscount" hidden="1">1</definedName>
    <definedName name="asf">#REF!</definedName>
    <definedName name="Asset1">'[2]4. Outputs to PTRM '!$D$7</definedName>
    <definedName name="Asset10">'[2]4. Outputs to PTRM '!$D$16</definedName>
    <definedName name="Asset11">'[2]4. Outputs to PTRM '!$D$17</definedName>
    <definedName name="Asset12">'[2]4. Outputs to PTRM '!$D$18</definedName>
    <definedName name="Asset13">'[2]4. Outputs to PTRM '!$D$19</definedName>
    <definedName name="Asset14">'[2]4. Outputs to PTRM '!$D$20</definedName>
    <definedName name="Asset15">'[2]4. Outputs to PTRM '!$D$21</definedName>
    <definedName name="Asset16">'[2]4. Outputs to PTRM '!$D$22</definedName>
    <definedName name="Asset17">'[2]4. Outputs to PTRM '!$D$23</definedName>
    <definedName name="Asset18">'[2]4. Outputs to PTRM '!$D$24</definedName>
    <definedName name="Asset19">'[2]4. Outputs to PTRM '!$D$25</definedName>
    <definedName name="Asset2">'[2]4. Outputs to PTRM '!$D$8</definedName>
    <definedName name="Asset20">'[2]4. Outputs to PTRM '!$D$26</definedName>
    <definedName name="Asset21">'[2]4. Outputs to PTRM '!$D$27</definedName>
    <definedName name="Asset22">'[2]4. Outputs to PTRM '!$D$28</definedName>
    <definedName name="Asset23">'[2]4. Outputs to PTRM '!$D$29</definedName>
    <definedName name="Asset24">'[2]4. Outputs to PTRM '!$D$30</definedName>
    <definedName name="Asset25">'[2]4. Outputs to PTRM '!$D$31</definedName>
    <definedName name="Asset26">'[2]4. Outputs to PTRM '!$D$32</definedName>
    <definedName name="Asset27">'[2]4. Outputs to PTRM '!$D$33</definedName>
    <definedName name="Asset28">'[2]4. Outputs to PTRM '!$D$34</definedName>
    <definedName name="Asset29">'[2]4. Outputs to PTRM '!$D$35</definedName>
    <definedName name="Asset3">'[2]4. Outputs to PTRM '!$D$9</definedName>
    <definedName name="Asset30">'[2]4. Outputs to PTRM '!$D$36</definedName>
    <definedName name="Asset31">'[2]4. Outputs to PTRM '!$D$37</definedName>
    <definedName name="Asset32">'[2]4. Outputs to PTRM '!$D$38</definedName>
    <definedName name="Asset33">'[2]4. Outputs to PTRM '!$D$39</definedName>
    <definedName name="Asset34">'[2]4. Outputs to PTRM '!$D$40</definedName>
    <definedName name="Asset35">'[2]4. Outputs to PTRM '!$D$41</definedName>
    <definedName name="Asset36">'[2]4. Outputs to PTRM '!$D$42</definedName>
    <definedName name="Asset37">'[2]4. Outputs to PTRM '!$D$43</definedName>
    <definedName name="Asset38">'[2]4. Outputs to PTRM '!$D$44</definedName>
    <definedName name="Asset39">'[2]4. Outputs to PTRM '!$D$45</definedName>
    <definedName name="Asset4">'[2]4. Outputs to PTRM '!$D$10</definedName>
    <definedName name="Asset40">'[2]4. Outputs to PTRM '!$D$46</definedName>
    <definedName name="Asset41">'[2]4. Outputs to PTRM '!$D$47</definedName>
    <definedName name="Asset42">'[2]4. Outputs to PTRM '!$D$48</definedName>
    <definedName name="Asset43">'[2]4. Outputs to PTRM '!$D$49</definedName>
    <definedName name="Asset44">'[2]4. Outputs to PTRM '!$D$50</definedName>
    <definedName name="Asset45">'[2]4. Outputs to PTRM '!$D$51</definedName>
    <definedName name="Asset5">'[2]4. Outputs to PTRM '!$D$11</definedName>
    <definedName name="Asset6">'[2]4. Outputs to PTRM '!$D$12</definedName>
    <definedName name="Asset7">'[2]4. Outputs to PTRM '!$D$13</definedName>
    <definedName name="Asset8">'[2]4. Outputs to PTRM '!$D$14</definedName>
    <definedName name="Asset9">'[2]4. Outputs to PTRM '!$D$15</definedName>
    <definedName name="AssetAgeProfile">#REF!</definedName>
    <definedName name="Assumptions">#REF!</definedName>
    <definedName name="AugexData">#REF!</definedName>
    <definedName name="AugexProjectData">#REF!</definedName>
    <definedName name="C10000000">#REF!</definedName>
    <definedName name="Calendar_years">'[1]AER Inputs'!#REF!</definedName>
    <definedName name="cap_max">'[1]AER Inputs'!$D$6</definedName>
    <definedName name="cap_max1">#REF!</definedName>
    <definedName name="cap_max2">#REF!</definedName>
    <definedName name="cap_min">'[1]AER Inputs'!$D$7</definedName>
    <definedName name="cap_min1">#REF!</definedName>
    <definedName name="cap_min2">#REF!</definedName>
    <definedName name="Connections">#REF!</definedName>
    <definedName name="cs_max">'[1]AER Inputs'!$D$9</definedName>
    <definedName name="cs_min">'[1]AER Inputs'!$D$10</definedName>
    <definedName name="CustomerNumbers">#REF!</definedName>
    <definedName name="CY">'[1]AER Inputs'!#REF!</definedName>
    <definedName name="dfsw">'[1]S-factor'!#REF!</definedName>
    <definedName name="Dr">'[2]4. Outputs to PTRM '!$G$306</definedName>
    <definedName name="Dv">'[2]4. Outputs to PTRM '!$G$304</definedName>
    <definedName name="e">[3]Strategies!$B$6:$Q$160</definedName>
    <definedName name="Emergency">#REF!</definedName>
    <definedName name="ExpenditureOtherPersons">#REF!</definedName>
    <definedName name="ExpenditureSummary">#REF!</definedName>
    <definedName name="f">'[1]AER Inputs'!#REF!</definedName>
    <definedName name="FeeBasedServices">#REF!</definedName>
    <definedName name="Financial_years">'[1]AER Inputs'!#REF!</definedName>
    <definedName name="FY">'[1]AER Inputs'!#REF!</definedName>
    <definedName name="ics_max">'[1]AER Inputs'!$D$12</definedName>
    <definedName name="ics_min">'[1]AER Inputs'!$D$13</definedName>
    <definedName name="Interruptions">#REF!</definedName>
    <definedName name="Labour">#REF!</definedName>
    <definedName name="Maintenance">#REF!</definedName>
    <definedName name="max">'[1]S-factor'!#REF!</definedName>
    <definedName name="MaxDemandNetworkLevel">#REF!</definedName>
    <definedName name="MaxDemandUtilisation">#REF!</definedName>
    <definedName name="Metering">#REF!</definedName>
    <definedName name="min">'[1]S-factor'!#REF!</definedName>
    <definedName name="NonNetwork">#REF!</definedName>
    <definedName name="OHEADCOND1">#REF!</definedName>
    <definedName name="OHEADCOND2">#REF!</definedName>
    <definedName name="OTHER1">#REF!</definedName>
    <definedName name="OTHER2">#REF!</definedName>
    <definedName name="Outages">#REF!</definedName>
    <definedName name="Overheads">#REF!</definedName>
    <definedName name="P_0">#REF!</definedName>
    <definedName name="POLES1">#REF!</definedName>
    <definedName name="POLES2">#REF!</definedName>
    <definedName name="POLETOP1">#REF!</definedName>
    <definedName name="POLETOP2">#REF!</definedName>
    <definedName name="pretax_WACC">#REF!</definedName>
    <definedName name="_xlnm.Print_Area" localSheetId="5">'AER Summary'!$A:$I</definedName>
    <definedName name="_xlnm.Print_Area" localSheetId="7">'Fee Breakdown'!$A$1:$AE$22</definedName>
    <definedName name="_xlnm.Print_Area" localSheetId="1">'Market Ops % Opex Allocations'!$B$2:$Z$109</definedName>
    <definedName name="_xlnm.Print_Area" localSheetId="2">'Market Ops Unit Rates'!$B$2:$AH$102</definedName>
    <definedName name="Project_Lead_Times">'[4]Lead times'!$A$7:$D$23</definedName>
    <definedName name="Project_Lead_Times_Local">'[5]Lead times'!$A$5:$D$22</definedName>
    <definedName name="Provisions">#REF!</definedName>
    <definedName name="PUBLICLIGHT1">#REF!</definedName>
    <definedName name="PUBLICLIGHT2">#REF!</definedName>
    <definedName name="PublicLighting">#REF!</definedName>
    <definedName name="qryXLDateListOutput">#REF!</definedName>
    <definedName name="qryXLOutput">#REF!</definedName>
    <definedName name="qryXLOutputAssetClass">#REF!</definedName>
    <definedName name="qryXLOutputAssetClassGroups">#REF!</definedName>
    <definedName name="QuotedServices">#REF!</definedName>
    <definedName name="REPDEF1">#REF!</definedName>
    <definedName name="REPDEF2">#REF!</definedName>
    <definedName name="Repex">#REF!</definedName>
    <definedName name="S_1">'[1]S-factor'!#REF!</definedName>
    <definedName name="S_10">'[1]S-factor'!#REF!</definedName>
    <definedName name="S_11">'[1]S-factor'!#REF!</definedName>
    <definedName name="S_12">'[1]S-factor'!#REF!</definedName>
    <definedName name="S_13">'[1]S-factor'!#REF!</definedName>
    <definedName name="S_14">'[1]S-factor'!#REF!</definedName>
    <definedName name="S_15">'[1]S-factor'!#REF!</definedName>
    <definedName name="S_16">'[1]S-factor'!#REF!</definedName>
    <definedName name="S_17">'[1]S-factor'!#REF!</definedName>
    <definedName name="S_18">'[1]S-factor'!#REF!</definedName>
    <definedName name="S_19">'[1]S-factor'!#REF!</definedName>
    <definedName name="S_2">'[1]S-factor'!#REF!</definedName>
    <definedName name="S_20">'[1]S-factor'!#REF!</definedName>
    <definedName name="S_21">'[1]S-factor'!#REF!</definedName>
    <definedName name="S_22">'[1]S-factor'!#REF!</definedName>
    <definedName name="S_23">'[1]S-factor'!#REF!</definedName>
    <definedName name="S_24">'[1]S-factor'!#REF!</definedName>
    <definedName name="S_3">'[1]S-factor'!#REF!</definedName>
    <definedName name="S_4">'[1]S-factor'!#REF!</definedName>
    <definedName name="S_5">'[1]S-factor'!#REF!</definedName>
    <definedName name="S_6">'[1]S-factor'!#REF!</definedName>
    <definedName name="S_7">'[1]S-factor'!#REF!</definedName>
    <definedName name="S_8">'[1]S-factor'!#REF!</definedName>
    <definedName name="S_9">'[1]S-factor'!#REF!</definedName>
    <definedName name="S_dash_1">'[1]S-factor'!#REF!</definedName>
    <definedName name="Sb_1">'[1]S-factor'!#REF!</definedName>
    <definedName name="Sb_10">'[1]S-factor'!#REF!</definedName>
    <definedName name="Sb_11">'[1]S-factor'!#REF!</definedName>
    <definedName name="Sb_12">'[1]S-factor'!#REF!</definedName>
    <definedName name="Sb_13">'[1]S-factor'!#REF!</definedName>
    <definedName name="Sb_14">'[1]S-factor'!#REF!</definedName>
    <definedName name="Sb_15">'[1]S-factor'!#REF!</definedName>
    <definedName name="Sb_16">'[1]S-factor'!#REF!</definedName>
    <definedName name="Sb_17">'[1]S-factor'!#REF!</definedName>
    <definedName name="Sb_18">'[1]S-factor'!#REF!</definedName>
    <definedName name="Sb_19">'[1]S-factor'!#REF!</definedName>
    <definedName name="Sb_2">'[1]S-factor'!#REF!</definedName>
    <definedName name="Sb_20">'[1]S-factor'!#REF!</definedName>
    <definedName name="Sb_21">'[1]S-factor'!#REF!</definedName>
    <definedName name="Sb_22">'[1]S-factor'!#REF!</definedName>
    <definedName name="Sb_23">'[1]S-factor'!#REF!</definedName>
    <definedName name="Sb_24">'[1]S-factor'!#REF!</definedName>
    <definedName name="Sb_3">'[1]S-factor'!#REF!</definedName>
    <definedName name="Sb_4">'[1]S-factor'!#REF!</definedName>
    <definedName name="Sb_5">'[1]S-factor'!#REF!</definedName>
    <definedName name="Sb_6">'[1]S-factor'!#REF!</definedName>
    <definedName name="Sb_7">'[1]S-factor'!#REF!</definedName>
    <definedName name="Sb_8">'[1]S-factor'!#REF!</definedName>
    <definedName name="Sb_9">'[1]S-factor'!#REF!</definedName>
    <definedName name="Sbar_1">'[1]S-factor'!#REF!</definedName>
    <definedName name="Sbar_10">'[1]S-factor'!#REF!</definedName>
    <definedName name="Sbar_11">'[1]S-factor'!#REF!</definedName>
    <definedName name="Sbar_12">'[1]S-factor'!#REF!</definedName>
    <definedName name="Sbar_13">'[1]S-factor'!#REF!</definedName>
    <definedName name="Sbar_14">'[1]S-factor'!#REF!</definedName>
    <definedName name="Sbar_15">'[1]S-factor'!#REF!</definedName>
    <definedName name="Sbar_16">'[1]S-factor'!#REF!</definedName>
    <definedName name="Sbar_17">'[1]S-factor'!#REF!</definedName>
    <definedName name="Sbar_18">'[1]S-factor'!#REF!</definedName>
    <definedName name="Sbar_19">'[1]S-factor'!#REF!</definedName>
    <definedName name="Sbar_2">'[1]S-factor'!#REF!</definedName>
    <definedName name="Sbar_20">'[1]S-factor'!#REF!</definedName>
    <definedName name="Sbar_3">'[1]S-factor'!#REF!</definedName>
    <definedName name="Sbar_4">'[1]S-factor'!#REF!</definedName>
    <definedName name="Sbar_5">'[1]S-factor'!#REF!</definedName>
    <definedName name="Sbar_6">'[1]S-factor'!#REF!</definedName>
    <definedName name="Sbar_7">'[1]S-factor'!#REF!</definedName>
    <definedName name="Sbar_8">'[1]S-factor'!#REF!</definedName>
    <definedName name="Sbar_9">'[1]S-factor'!#REF!</definedName>
    <definedName name="SCADA1">#REF!</definedName>
    <definedName name="SCADA2">#REF!</definedName>
    <definedName name="sdafsaf">#REF!</definedName>
    <definedName name="sdash_1">'[1]S-factor'!#REF!</definedName>
    <definedName name="Sdash_10">'[1]S-factor'!#REF!</definedName>
    <definedName name="Sdash_11">'[1]S-factor'!#REF!</definedName>
    <definedName name="Sdash_12">'[1]S-factor'!#REF!</definedName>
    <definedName name="Sdash_13">'[1]S-factor'!#REF!</definedName>
    <definedName name="Sdash_14">'[1]S-factor'!#REF!</definedName>
    <definedName name="Sdash_15">'[1]S-factor'!#REF!</definedName>
    <definedName name="Sdash_16">'[1]S-factor'!#REF!</definedName>
    <definedName name="Sdash_17">'[1]S-factor'!#REF!</definedName>
    <definedName name="Sdash_18">'[1]S-factor'!#REF!</definedName>
    <definedName name="Sdash_19">'[1]S-factor'!#REF!</definedName>
    <definedName name="Sdash_2">'[1]S-factor'!#REF!</definedName>
    <definedName name="Sdash_20">'[1]S-factor'!#REF!</definedName>
    <definedName name="Sdash_21">'[1]S-factor'!#REF!</definedName>
    <definedName name="Sdash_22">'[1]S-factor'!#REF!</definedName>
    <definedName name="Sdash_23">'[1]S-factor'!#REF!</definedName>
    <definedName name="Sdash_24">'[1]S-factor'!#REF!</definedName>
    <definedName name="Sdash_3">'[1]S-factor'!#REF!</definedName>
    <definedName name="Sdash_4">'[1]S-factor'!#REF!</definedName>
    <definedName name="Sdash_5">'[1]S-factor'!#REF!</definedName>
    <definedName name="Sdash_6">'[1]S-factor'!#REF!</definedName>
    <definedName name="Sdash_7">'[1]S-factor'!#REF!</definedName>
    <definedName name="Sdash_8">'[1]S-factor'!#REF!</definedName>
    <definedName name="Sdash_9">'[1]S-factor'!#REF!</definedName>
    <definedName name="Sdoubleprime_1">'[1]S-factor'!#REF!</definedName>
    <definedName name="Sdoubleprime_10">'[1]S-factor'!#REF!</definedName>
    <definedName name="Sdoubleprime_11">'[1]S-factor'!#REF!</definedName>
    <definedName name="Sdoubleprime_12">'[1]S-factor'!#REF!</definedName>
    <definedName name="Sdoubleprime_13">'[1]S-factor'!#REF!</definedName>
    <definedName name="Sdoubleprime_14">'[1]S-factor'!#REF!</definedName>
    <definedName name="Sdoubleprime_15">'[1]S-factor'!#REF!</definedName>
    <definedName name="Sdoubleprime_16">'[1]S-factor'!#REF!</definedName>
    <definedName name="Sdoubleprime_17">'[1]S-factor'!#REF!</definedName>
    <definedName name="Sdoubleprime_18">'[1]S-factor'!#REF!</definedName>
    <definedName name="Sdoubleprime_19">'[1]S-factor'!#REF!</definedName>
    <definedName name="Sdoubleprime_2">'[1]S-factor'!#REF!</definedName>
    <definedName name="Sdoubleprime_20">'[1]S-factor'!#REF!</definedName>
    <definedName name="Sdoubleprime_3">'[1]S-factor'!#REF!</definedName>
    <definedName name="Sdoubleprime_4">'[1]S-factor'!#REF!</definedName>
    <definedName name="Sdoubleprime_5">'[1]S-factor'!#REF!</definedName>
    <definedName name="Sdoubleprime_6">'[1]S-factor'!#REF!</definedName>
    <definedName name="Sdoubleprime_7">'[1]S-factor'!#REF!</definedName>
    <definedName name="Sdoubleprime_8">'[1]S-factor'!#REF!</definedName>
    <definedName name="Sdoubleprime_9">'[1]S-factor'!#REF!</definedName>
    <definedName name="SERV1">#REF!</definedName>
    <definedName name="SERV2">#REF!</definedName>
    <definedName name="SGEAR1">#REF!</definedName>
    <definedName name="SGEAR2">#REF!</definedName>
    <definedName name="Source_Cost">'[6]Source Data'!$A$58:$AG$381</definedName>
    <definedName name="Sprime_1">'[1]S-factor'!#REF!</definedName>
    <definedName name="Sprime_10">'[1]S-factor'!#REF!</definedName>
    <definedName name="Sprime_11">'[1]S-factor'!#REF!</definedName>
    <definedName name="Sprime_12">'[1]S-factor'!#REF!</definedName>
    <definedName name="Sprime_13">'[1]S-factor'!#REF!</definedName>
    <definedName name="Sprime_14">'[1]S-factor'!#REF!</definedName>
    <definedName name="Sprime_15">'[1]S-factor'!#REF!</definedName>
    <definedName name="Sprime_16">'[1]S-factor'!#REF!</definedName>
    <definedName name="Sprime_17">'[1]S-factor'!#REF!</definedName>
    <definedName name="Sprime_18">'[1]S-factor'!#REF!</definedName>
    <definedName name="Sprime_19">'[1]S-factor'!#REF!</definedName>
    <definedName name="Sprime_2">'[1]S-factor'!#REF!</definedName>
    <definedName name="Sprime_20">'[1]S-factor'!#REF!</definedName>
    <definedName name="Sprime_3">'[1]S-factor'!#REF!</definedName>
    <definedName name="Sprime_4">'[1]S-factor'!#REF!</definedName>
    <definedName name="Sprime_5">'[1]S-factor'!#REF!</definedName>
    <definedName name="Sprime_6">'[1]S-factor'!#REF!</definedName>
    <definedName name="Sprime_7">'[1]S-factor'!#REF!</definedName>
    <definedName name="Sprime_8">'[1]S-factor'!#REF!</definedName>
    <definedName name="Sprime_9">'[1]S-factor'!#REF!</definedName>
    <definedName name="Strategies">[7]Strategies!$B$7:$Q$141</definedName>
    <definedName name="SustainedInterruptions">#REF!</definedName>
    <definedName name="TAB_2111">#REF!</definedName>
    <definedName name="TM1REBUILDOPTION">1</definedName>
    <definedName name="TRANS1">#REF!</definedName>
    <definedName name="TRANS2">#REF!</definedName>
    <definedName name="UGRNDCAB1">#REF!</definedName>
    <definedName name="UGRNDCAB2">#REF!</definedName>
    <definedName name="VCR_CBD">'[1]AER Inputs'!#REF!</definedName>
    <definedName name="VCR_CBD1">#REF!</definedName>
    <definedName name="VCR_CBD2">#REF!</definedName>
    <definedName name="VCR_longrural">'[1]AER Inputs'!#REF!</definedName>
    <definedName name="VCR_longrural1">#REF!</definedName>
    <definedName name="VCR_longrural2">#REF!</definedName>
    <definedName name="VCR_shortrural">'[1]AER Inputs'!#REF!</definedName>
    <definedName name="VCR_shortrural1">#REF!</definedName>
    <definedName name="VCR_shortrural2">#REF!</definedName>
    <definedName name="VCR_urban">'[1]AER Inputs'!#REF!</definedName>
    <definedName name="VCR_urban1">#REF!</definedName>
    <definedName name="VCR_urban2">#REF!</definedName>
    <definedName name="VegetationManagement">#REF!</definedName>
    <definedName name="WACC1">#REF!</definedName>
    <definedName name="WACC2">#REF!</definedName>
    <definedName name="X_0">#REF!</definedName>
    <definedName name="X_1">#REF!</definedName>
    <definedName name="X_2">#REF!</definedName>
    <definedName name="X_3">#REF!</definedName>
    <definedName name="X_4">#REF!</definedName>
    <definedName name="X0_1">#REF!</definedName>
    <definedName name="X0_2">#REF!</definedName>
    <definedName name="X0_3">#REF!</definedName>
    <definedName name="X0_32">#REF!</definedName>
    <definedName name="Years">'[1]AER Inputs'!#REF!</definedName>
  </definedNames>
  <calcPr calcId="145621" calcMode="manual" concurrentCalc="0"/>
</workbook>
</file>

<file path=xl/calcChain.xml><?xml version="1.0" encoding="utf-8"?>
<calcChain xmlns="http://schemas.openxmlformats.org/spreadsheetml/2006/main">
  <c r="K71" i="13" l="1"/>
  <c r="K52" i="13"/>
  <c r="R17" i="11"/>
  <c r="K62" i="13"/>
  <c r="X17" i="11"/>
  <c r="AD17" i="11"/>
  <c r="AD19" i="11"/>
  <c r="J71" i="13"/>
  <c r="J52" i="13"/>
  <c r="Q17" i="11"/>
  <c r="J62" i="13"/>
  <c r="W17" i="11"/>
  <c r="AC17" i="11"/>
  <c r="AC19" i="11"/>
  <c r="I71" i="13"/>
  <c r="I52" i="13"/>
  <c r="P17" i="11"/>
  <c r="I62" i="13"/>
  <c r="V17" i="11"/>
  <c r="AB17" i="11"/>
  <c r="AB19" i="11"/>
  <c r="H71" i="13"/>
  <c r="H52" i="13"/>
  <c r="O17" i="11"/>
  <c r="H62" i="13"/>
  <c r="U17" i="11"/>
  <c r="AA17" i="11"/>
  <c r="AA19" i="11"/>
  <c r="G71" i="13"/>
  <c r="G52" i="13"/>
  <c r="N17" i="11"/>
  <c r="G62" i="13"/>
  <c r="T17" i="11"/>
  <c r="Z17" i="11"/>
  <c r="Z19" i="11"/>
  <c r="X19" i="11"/>
  <c r="W19" i="11"/>
  <c r="V19" i="11"/>
  <c r="U19" i="11"/>
  <c r="T19" i="11"/>
  <c r="R19" i="11"/>
  <c r="Q19" i="11"/>
  <c r="P19" i="11"/>
  <c r="O19" i="11"/>
  <c r="N19" i="11"/>
  <c r="J39" i="13"/>
  <c r="K29" i="13"/>
  <c r="G29" i="13"/>
  <c r="J24" i="13"/>
  <c r="J19" i="13"/>
  <c r="K9" i="13"/>
  <c r="B9" i="13"/>
  <c r="B17" i="11"/>
  <c r="B9" i="11"/>
  <c r="F29" i="13"/>
  <c r="E23" i="8"/>
  <c r="F23" i="8"/>
  <c r="G23" i="8"/>
  <c r="H23" i="8"/>
  <c r="G24" i="8"/>
  <c r="H24" i="8"/>
  <c r="H29" i="13"/>
  <c r="I17" i="11"/>
  <c r="I29" i="13"/>
  <c r="J17" i="11"/>
  <c r="J29" i="13"/>
  <c r="K17" i="11"/>
  <c r="L17" i="11"/>
  <c r="H17" i="11"/>
  <c r="F17" i="11"/>
  <c r="F9" i="11"/>
  <c r="E9" i="11"/>
  <c r="L55" i="19"/>
  <c r="L56" i="19"/>
  <c r="L57" i="19"/>
  <c r="L58" i="19"/>
  <c r="L59" i="19"/>
  <c r="L60" i="19"/>
  <c r="L48" i="19"/>
  <c r="L49" i="19"/>
  <c r="L50" i="19"/>
  <c r="L51" i="19"/>
  <c r="L52" i="19"/>
  <c r="L53" i="19"/>
  <c r="L62" i="19"/>
  <c r="E98" i="17"/>
  <c r="F97" i="17"/>
  <c r="K27" i="17"/>
  <c r="Y27" i="17"/>
  <c r="K28" i="17"/>
  <c r="Y28" i="17"/>
  <c r="K29" i="17"/>
  <c r="Y29" i="17"/>
  <c r="K30" i="17"/>
  <c r="Y30" i="17"/>
  <c r="K31" i="17"/>
  <c r="Y31" i="17"/>
  <c r="K32" i="17"/>
  <c r="Y32" i="17"/>
  <c r="K33" i="17"/>
  <c r="Y33" i="17"/>
  <c r="K34" i="17"/>
  <c r="Y34" i="17"/>
  <c r="K35" i="17"/>
  <c r="Y35" i="17"/>
  <c r="K36" i="17"/>
  <c r="Y36" i="17"/>
  <c r="K37" i="17"/>
  <c r="Y37" i="17"/>
  <c r="K38" i="17"/>
  <c r="Y38" i="17"/>
  <c r="K39" i="17"/>
  <c r="Y39" i="17"/>
  <c r="K40" i="17"/>
  <c r="Y40" i="17"/>
  <c r="K41" i="17"/>
  <c r="Y41" i="17"/>
  <c r="K42" i="17"/>
  <c r="Y42" i="17"/>
  <c r="K43" i="17"/>
  <c r="Y43" i="17"/>
  <c r="K44" i="17"/>
  <c r="Y44" i="17"/>
  <c r="Y45" i="17"/>
  <c r="Z27" i="17"/>
  <c r="Z30" i="17"/>
  <c r="Z48" i="17"/>
  <c r="G101" i="17"/>
  <c r="F96" i="17"/>
  <c r="L70" i="17"/>
  <c r="L71" i="17"/>
  <c r="L72" i="17"/>
  <c r="L73" i="17"/>
  <c r="L74" i="17"/>
  <c r="L75" i="17"/>
  <c r="L76" i="17"/>
  <c r="L77" i="17"/>
  <c r="L78" i="17"/>
  <c r="L79" i="17"/>
  <c r="L80" i="17"/>
  <c r="L81" i="17"/>
  <c r="L82" i="17"/>
  <c r="L83" i="17"/>
  <c r="L84" i="17"/>
  <c r="L85" i="17"/>
  <c r="L86" i="17"/>
  <c r="L87" i="17"/>
  <c r="L88" i="17"/>
  <c r="M70" i="17"/>
  <c r="D66" i="17"/>
  <c r="E65" i="17"/>
  <c r="N70" i="17"/>
  <c r="E64" i="17"/>
  <c r="K45" i="17"/>
  <c r="L27" i="17"/>
  <c r="I70" i="17"/>
  <c r="P70" i="17"/>
  <c r="V27" i="17"/>
  <c r="M73" i="17"/>
  <c r="N73" i="17"/>
  <c r="L30" i="17"/>
  <c r="I73" i="17"/>
  <c r="P73" i="17"/>
  <c r="V30" i="17"/>
  <c r="V48" i="17"/>
  <c r="F101" i="17"/>
  <c r="H101" i="17"/>
  <c r="F12" i="17"/>
  <c r="Q27" i="17"/>
  <c r="Q28" i="17"/>
  <c r="Q29" i="17"/>
  <c r="Q30" i="17"/>
  <c r="Q31" i="17"/>
  <c r="Q32" i="17"/>
  <c r="Q33" i="17"/>
  <c r="Q34" i="17"/>
  <c r="Q35" i="17"/>
  <c r="Q36" i="17"/>
  <c r="Q37" i="17"/>
  <c r="Q38" i="17"/>
  <c r="Q39" i="17"/>
  <c r="Q40" i="17"/>
  <c r="Q41" i="17"/>
  <c r="Q42" i="17"/>
  <c r="Q43" i="17"/>
  <c r="Q44" i="17"/>
  <c r="Q45" i="17"/>
  <c r="R27" i="17"/>
  <c r="R30" i="17"/>
  <c r="R48" i="17"/>
  <c r="E12" i="17"/>
  <c r="O37" i="19"/>
  <c r="H37" i="19"/>
  <c r="L37" i="19"/>
  <c r="Z37" i="19"/>
  <c r="O38" i="19"/>
  <c r="H38" i="19"/>
  <c r="L38" i="19"/>
  <c r="Z38" i="19"/>
  <c r="H39" i="19"/>
  <c r="L39" i="19"/>
  <c r="Z39" i="19"/>
  <c r="O40" i="19"/>
  <c r="H40" i="19"/>
  <c r="L40" i="19"/>
  <c r="Z40" i="19"/>
  <c r="O41" i="19"/>
  <c r="H41" i="19"/>
  <c r="L41" i="19"/>
  <c r="Z41" i="19"/>
  <c r="Z42" i="19"/>
  <c r="O30" i="19"/>
  <c r="H30" i="19"/>
  <c r="L30" i="19"/>
  <c r="Z30" i="19"/>
  <c r="O31" i="19"/>
  <c r="H31" i="19"/>
  <c r="L31" i="19"/>
  <c r="Z31" i="19"/>
  <c r="O32" i="19"/>
  <c r="H32" i="19"/>
  <c r="L32" i="19"/>
  <c r="Z32" i="19"/>
  <c r="O33" i="19"/>
  <c r="H33" i="19"/>
  <c r="L33" i="19"/>
  <c r="Z33" i="19"/>
  <c r="O34" i="19"/>
  <c r="H34" i="19"/>
  <c r="L34" i="19"/>
  <c r="Z34" i="19"/>
  <c r="Z35" i="19"/>
  <c r="Z44" i="19"/>
  <c r="Z68" i="19"/>
  <c r="Z70" i="19"/>
  <c r="Z71" i="19"/>
  <c r="C12" i="19"/>
  <c r="J42" i="13"/>
  <c r="F52" i="13"/>
  <c r="K64" i="13"/>
  <c r="O55" i="19"/>
  <c r="Z55" i="19"/>
  <c r="O56" i="19"/>
  <c r="Z56" i="19"/>
  <c r="O57" i="19"/>
  <c r="Z57" i="19"/>
  <c r="O58" i="19"/>
  <c r="Z58" i="19"/>
  <c r="O59" i="19"/>
  <c r="Z59" i="19"/>
  <c r="Z60" i="19"/>
  <c r="O48" i="19"/>
  <c r="Z48" i="19"/>
  <c r="O49" i="19"/>
  <c r="Z49" i="19"/>
  <c r="O50" i="19"/>
  <c r="Z50" i="19"/>
  <c r="O51" i="19"/>
  <c r="Z51" i="19"/>
  <c r="O52" i="19"/>
  <c r="Z52" i="19"/>
  <c r="Z53" i="19"/>
  <c r="Z62" i="19"/>
  <c r="R37" i="17"/>
  <c r="R38" i="17"/>
  <c r="R39" i="17"/>
  <c r="R40" i="17"/>
  <c r="R52" i="17"/>
  <c r="E16" i="17"/>
  <c r="M37" i="19"/>
  <c r="M55" i="19"/>
  <c r="X55" i="19"/>
  <c r="M38" i="19"/>
  <c r="M56" i="19"/>
  <c r="X56" i="19"/>
  <c r="M40" i="19"/>
  <c r="M58" i="19"/>
  <c r="X58" i="19"/>
  <c r="M41" i="19"/>
  <c r="M59" i="19"/>
  <c r="X59" i="19"/>
  <c r="N55" i="19"/>
  <c r="Y55" i="19"/>
  <c r="N56" i="19"/>
  <c r="Y56" i="19"/>
  <c r="N57" i="19"/>
  <c r="Y57" i="19"/>
  <c r="N58" i="19"/>
  <c r="Y58" i="19"/>
  <c r="N59" i="19"/>
  <c r="Y59" i="19"/>
  <c r="Y60" i="19"/>
  <c r="F95" i="17"/>
  <c r="E105" i="17"/>
  <c r="M80" i="17"/>
  <c r="N80" i="17"/>
  <c r="L37" i="17"/>
  <c r="I80" i="17"/>
  <c r="P80" i="17"/>
  <c r="V37" i="17"/>
  <c r="M81" i="17"/>
  <c r="N81" i="17"/>
  <c r="L38" i="17"/>
  <c r="I81" i="17"/>
  <c r="P81" i="17"/>
  <c r="V38" i="17"/>
  <c r="M82" i="17"/>
  <c r="N82" i="17"/>
  <c r="L39" i="17"/>
  <c r="I82" i="17"/>
  <c r="P82" i="17"/>
  <c r="V39" i="17"/>
  <c r="M83" i="17"/>
  <c r="N83" i="17"/>
  <c r="L40" i="17"/>
  <c r="I83" i="17"/>
  <c r="P83" i="17"/>
  <c r="V40" i="17"/>
  <c r="V52" i="17"/>
  <c r="F105" i="17"/>
  <c r="Z37" i="17"/>
  <c r="Z38" i="17"/>
  <c r="Z39" i="17"/>
  <c r="Z40" i="17"/>
  <c r="Z52" i="17"/>
  <c r="G105" i="17"/>
  <c r="H105" i="17"/>
  <c r="F16" i="17"/>
  <c r="N30" i="19"/>
  <c r="N48" i="19"/>
  <c r="Y48" i="19"/>
  <c r="N31" i="19"/>
  <c r="N49" i="19"/>
  <c r="Y49" i="19"/>
  <c r="N32" i="19"/>
  <c r="N50" i="19"/>
  <c r="Y50" i="19"/>
  <c r="N33" i="19"/>
  <c r="N51" i="19"/>
  <c r="Y51" i="19"/>
  <c r="N34" i="19"/>
  <c r="N52" i="19"/>
  <c r="Y52" i="19"/>
  <c r="Y53" i="19"/>
  <c r="Y62" i="19"/>
  <c r="R28" i="17"/>
  <c r="R31" i="17"/>
  <c r="R49" i="17"/>
  <c r="E13" i="17"/>
  <c r="P37" i="19"/>
  <c r="P55" i="19"/>
  <c r="AA55" i="19"/>
  <c r="P38" i="19"/>
  <c r="P56" i="19"/>
  <c r="AA56" i="19"/>
  <c r="P57" i="19"/>
  <c r="AA57" i="19"/>
  <c r="P40" i="19"/>
  <c r="P58" i="19"/>
  <c r="AA58" i="19"/>
  <c r="P41" i="19"/>
  <c r="P59" i="19"/>
  <c r="AA59" i="19"/>
  <c r="AA60" i="19"/>
  <c r="M71" i="17"/>
  <c r="N71" i="17"/>
  <c r="L28" i="17"/>
  <c r="I71" i="17"/>
  <c r="P71" i="17"/>
  <c r="V28" i="17"/>
  <c r="M74" i="17"/>
  <c r="N74" i="17"/>
  <c r="L31" i="17"/>
  <c r="I74" i="17"/>
  <c r="P74" i="17"/>
  <c r="V31" i="17"/>
  <c r="V49" i="17"/>
  <c r="F102" i="17"/>
  <c r="Z28" i="17"/>
  <c r="Z31" i="17"/>
  <c r="Z49" i="17"/>
  <c r="G102" i="17"/>
  <c r="H102" i="17"/>
  <c r="F13" i="17"/>
  <c r="P30" i="19"/>
  <c r="P48" i="19"/>
  <c r="AA48" i="19"/>
  <c r="P31" i="19"/>
  <c r="P49" i="19"/>
  <c r="AA49" i="19"/>
  <c r="P32" i="19"/>
  <c r="P50" i="19"/>
  <c r="AA50" i="19"/>
  <c r="P33" i="19"/>
  <c r="P51" i="19"/>
  <c r="AA51" i="19"/>
  <c r="P34" i="19"/>
  <c r="P52" i="19"/>
  <c r="AA52" i="19"/>
  <c r="AA53" i="19"/>
  <c r="AA62" i="19"/>
  <c r="R29" i="17"/>
  <c r="R32" i="17"/>
  <c r="R50" i="17"/>
  <c r="E14" i="17"/>
  <c r="Q37" i="19"/>
  <c r="Q55" i="19"/>
  <c r="AB55" i="19"/>
  <c r="Q38" i="19"/>
  <c r="Q56" i="19"/>
  <c r="AB56" i="19"/>
  <c r="Q57" i="19"/>
  <c r="AB57" i="19"/>
  <c r="Q40" i="19"/>
  <c r="Q58" i="19"/>
  <c r="AB58" i="19"/>
  <c r="Q41" i="19"/>
  <c r="Q59" i="19"/>
  <c r="AB59" i="19"/>
  <c r="AB60" i="19"/>
  <c r="M72" i="17"/>
  <c r="N72" i="17"/>
  <c r="L29" i="17"/>
  <c r="I72" i="17"/>
  <c r="P72" i="17"/>
  <c r="V29" i="17"/>
  <c r="M75" i="17"/>
  <c r="N75" i="17"/>
  <c r="L32" i="17"/>
  <c r="I75" i="17"/>
  <c r="P75" i="17"/>
  <c r="V32" i="17"/>
  <c r="V50" i="17"/>
  <c r="F103" i="17"/>
  <c r="Z29" i="17"/>
  <c r="Z32" i="17"/>
  <c r="Z50" i="17"/>
  <c r="G103" i="17"/>
  <c r="H103" i="17"/>
  <c r="F14" i="17"/>
  <c r="Q30" i="19"/>
  <c r="Q48" i="19"/>
  <c r="AB48" i="19"/>
  <c r="Q31" i="19"/>
  <c r="Q49" i="19"/>
  <c r="AB49" i="19"/>
  <c r="Q32" i="19"/>
  <c r="Q50" i="19"/>
  <c r="AB50" i="19"/>
  <c r="Q33" i="19"/>
  <c r="Q51" i="19"/>
  <c r="AB51" i="19"/>
  <c r="Q34" i="19"/>
  <c r="Q52" i="19"/>
  <c r="AB52" i="19"/>
  <c r="AB53" i="19"/>
  <c r="AB62" i="19"/>
  <c r="R42" i="17"/>
  <c r="R43" i="17"/>
  <c r="R54" i="17"/>
  <c r="E18" i="17"/>
  <c r="R37" i="19"/>
  <c r="R55" i="19"/>
  <c r="AC55" i="19"/>
  <c r="R38" i="19"/>
  <c r="R56" i="19"/>
  <c r="AC56" i="19"/>
  <c r="R57" i="19"/>
  <c r="AC57" i="19"/>
  <c r="R40" i="19"/>
  <c r="R58" i="19"/>
  <c r="AC58" i="19"/>
  <c r="R41" i="19"/>
  <c r="R59" i="19"/>
  <c r="AC59" i="19"/>
  <c r="AC60" i="19"/>
  <c r="M85" i="17"/>
  <c r="N85" i="17"/>
  <c r="L42" i="17"/>
  <c r="I85" i="17"/>
  <c r="P85" i="17"/>
  <c r="V42" i="17"/>
  <c r="M86" i="17"/>
  <c r="N86" i="17"/>
  <c r="L43" i="17"/>
  <c r="I86" i="17"/>
  <c r="P86" i="17"/>
  <c r="V43" i="17"/>
  <c r="V54" i="17"/>
  <c r="F107" i="17"/>
  <c r="Z42" i="17"/>
  <c r="Z43" i="17"/>
  <c r="Z54" i="17"/>
  <c r="G107" i="17"/>
  <c r="H107" i="17"/>
  <c r="F18" i="17"/>
  <c r="R30" i="19"/>
  <c r="R48" i="19"/>
  <c r="AC48" i="19"/>
  <c r="R31" i="19"/>
  <c r="R49" i="19"/>
  <c r="AC49" i="19"/>
  <c r="R32" i="19"/>
  <c r="R50" i="19"/>
  <c r="AC50" i="19"/>
  <c r="R33" i="19"/>
  <c r="R51" i="19"/>
  <c r="AC51" i="19"/>
  <c r="R34" i="19"/>
  <c r="R52" i="19"/>
  <c r="AC52" i="19"/>
  <c r="AC53" i="19"/>
  <c r="AC62" i="19"/>
  <c r="R44" i="17"/>
  <c r="R55" i="17"/>
  <c r="E19" i="17"/>
  <c r="S37" i="19"/>
  <c r="S55" i="19"/>
  <c r="AD55" i="19"/>
  <c r="S38" i="19"/>
  <c r="S56" i="19"/>
  <c r="AD56" i="19"/>
  <c r="S57" i="19"/>
  <c r="AD57" i="19"/>
  <c r="S40" i="19"/>
  <c r="S58" i="19"/>
  <c r="AD58" i="19"/>
  <c r="S41" i="19"/>
  <c r="S59" i="19"/>
  <c r="AD59" i="19"/>
  <c r="AD60" i="19"/>
  <c r="V44" i="17"/>
  <c r="V55" i="17"/>
  <c r="F108" i="17"/>
  <c r="Z44" i="17"/>
  <c r="Z55" i="17"/>
  <c r="G108" i="17"/>
  <c r="H108" i="17"/>
  <c r="F19" i="17"/>
  <c r="S30" i="19"/>
  <c r="S48" i="19"/>
  <c r="AD48" i="19"/>
  <c r="S31" i="19"/>
  <c r="S49" i="19"/>
  <c r="AD49" i="19"/>
  <c r="S32" i="19"/>
  <c r="S50" i="19"/>
  <c r="AD50" i="19"/>
  <c r="S33" i="19"/>
  <c r="S51" i="19"/>
  <c r="AD51" i="19"/>
  <c r="S34" i="19"/>
  <c r="S52" i="19"/>
  <c r="AD52" i="19"/>
  <c r="AD53" i="19"/>
  <c r="AD62" i="19"/>
  <c r="R33" i="17"/>
  <c r="R34" i="17"/>
  <c r="R35" i="17"/>
  <c r="R36" i="17"/>
  <c r="R51" i="17"/>
  <c r="E15" i="17"/>
  <c r="T37" i="19"/>
  <c r="T55" i="19"/>
  <c r="AE55" i="19"/>
  <c r="T38" i="19"/>
  <c r="T56" i="19"/>
  <c r="AE56" i="19"/>
  <c r="T57" i="19"/>
  <c r="AE57" i="19"/>
  <c r="T40" i="19"/>
  <c r="T58" i="19"/>
  <c r="AE58" i="19"/>
  <c r="T41" i="19"/>
  <c r="T59" i="19"/>
  <c r="AE59" i="19"/>
  <c r="AE60" i="19"/>
  <c r="M76" i="17"/>
  <c r="N76" i="17"/>
  <c r="L33" i="17"/>
  <c r="I76" i="17"/>
  <c r="P76" i="17"/>
  <c r="V33" i="17"/>
  <c r="M77" i="17"/>
  <c r="N77" i="17"/>
  <c r="L34" i="17"/>
  <c r="I77" i="17"/>
  <c r="P77" i="17"/>
  <c r="V34" i="17"/>
  <c r="M78" i="17"/>
  <c r="N78" i="17"/>
  <c r="L35" i="17"/>
  <c r="I78" i="17"/>
  <c r="P78" i="17"/>
  <c r="V35" i="17"/>
  <c r="M79" i="17"/>
  <c r="N79" i="17"/>
  <c r="L36" i="17"/>
  <c r="I79" i="17"/>
  <c r="P79" i="17"/>
  <c r="V36" i="17"/>
  <c r="V51" i="17"/>
  <c r="F104" i="17"/>
  <c r="Z33" i="17"/>
  <c r="Z34" i="17"/>
  <c r="Z35" i="17"/>
  <c r="Z36" i="17"/>
  <c r="Z51" i="17"/>
  <c r="G104" i="17"/>
  <c r="H104" i="17"/>
  <c r="F15" i="17"/>
  <c r="T30" i="19"/>
  <c r="T48" i="19"/>
  <c r="AE48" i="19"/>
  <c r="T31" i="19"/>
  <c r="T49" i="19"/>
  <c r="AE49" i="19"/>
  <c r="T32" i="19"/>
  <c r="T50" i="19"/>
  <c r="AE50" i="19"/>
  <c r="T33" i="19"/>
  <c r="T51" i="19"/>
  <c r="AE51" i="19"/>
  <c r="T34" i="19"/>
  <c r="T52" i="19"/>
  <c r="AE52" i="19"/>
  <c r="AE53" i="19"/>
  <c r="AE62" i="19"/>
  <c r="R41" i="17"/>
  <c r="R53" i="17"/>
  <c r="E17" i="17"/>
  <c r="U37" i="19"/>
  <c r="U55" i="19"/>
  <c r="AF55" i="19"/>
  <c r="U38" i="19"/>
  <c r="U56" i="19"/>
  <c r="AF56" i="19"/>
  <c r="U57" i="19"/>
  <c r="AF57" i="19"/>
  <c r="U40" i="19"/>
  <c r="U58" i="19"/>
  <c r="AF58" i="19"/>
  <c r="U41" i="19"/>
  <c r="U59" i="19"/>
  <c r="AF59" i="19"/>
  <c r="AF60" i="19"/>
  <c r="M84" i="17"/>
  <c r="N84" i="17"/>
  <c r="L41" i="17"/>
  <c r="I84" i="17"/>
  <c r="P84" i="17"/>
  <c r="V41" i="17"/>
  <c r="V53" i="17"/>
  <c r="F106" i="17"/>
  <c r="Z41" i="17"/>
  <c r="Z53" i="17"/>
  <c r="G106" i="17"/>
  <c r="H106" i="17"/>
  <c r="F17" i="17"/>
  <c r="U30" i="19"/>
  <c r="U48" i="19"/>
  <c r="AF48" i="19"/>
  <c r="U31" i="19"/>
  <c r="U49" i="19"/>
  <c r="AF49" i="19"/>
  <c r="U32" i="19"/>
  <c r="U50" i="19"/>
  <c r="AF50" i="19"/>
  <c r="U33" i="19"/>
  <c r="U51" i="19"/>
  <c r="AF51" i="19"/>
  <c r="U34" i="19"/>
  <c r="U52" i="19"/>
  <c r="AF52" i="19"/>
  <c r="AF53" i="19"/>
  <c r="AF62" i="19"/>
  <c r="L19" i="11"/>
  <c r="K19" i="11"/>
  <c r="J19" i="11"/>
  <c r="I19" i="11"/>
  <c r="H19" i="11"/>
  <c r="J53" i="17"/>
  <c r="J51" i="17"/>
  <c r="J55" i="17"/>
  <c r="J54" i="17"/>
  <c r="M57" i="19"/>
  <c r="X57" i="19"/>
  <c r="J44" i="13"/>
  <c r="J46" i="13"/>
  <c r="G53" i="13"/>
  <c r="F53" i="13"/>
  <c r="K73" i="13"/>
  <c r="F19" i="11"/>
  <c r="G25" i="8"/>
  <c r="K53" i="13"/>
  <c r="L9" i="11"/>
  <c r="AD9" i="11"/>
  <c r="J53" i="13"/>
  <c r="K9" i="11"/>
  <c r="AC9" i="11"/>
  <c r="I53" i="13"/>
  <c r="J9" i="11"/>
  <c r="AB9" i="11"/>
  <c r="H53" i="13"/>
  <c r="I9" i="11"/>
  <c r="AA9" i="11"/>
  <c r="H9" i="11"/>
  <c r="Z9" i="11"/>
  <c r="AG98" i="19"/>
  <c r="AF98" i="19"/>
  <c r="AE98" i="19"/>
  <c r="AD98" i="19"/>
  <c r="AC98" i="19"/>
  <c r="AB98" i="19"/>
  <c r="AA98" i="19"/>
  <c r="K53" i="17"/>
  <c r="AF70" i="19"/>
  <c r="K51" i="17"/>
  <c r="AE70" i="19"/>
  <c r="K55" i="17"/>
  <c r="AD70" i="19"/>
  <c r="K54" i="17"/>
  <c r="AC70" i="19"/>
  <c r="AB70" i="19"/>
  <c r="AA70" i="19"/>
  <c r="AA87" i="19"/>
  <c r="AB87" i="19"/>
  <c r="AC87" i="19"/>
  <c r="AC93" i="19"/>
  <c r="AA88" i="19"/>
  <c r="AB88" i="19"/>
  <c r="AC88" i="19"/>
  <c r="AC94" i="19"/>
  <c r="AA89" i="19"/>
  <c r="AB89" i="19"/>
  <c r="AC89" i="19"/>
  <c r="AC95" i="19"/>
  <c r="AC96" i="19"/>
  <c r="AC99" i="19"/>
  <c r="AD87" i="19"/>
  <c r="AD93" i="19"/>
  <c r="AD88" i="19"/>
  <c r="AD94" i="19"/>
  <c r="AD89" i="19"/>
  <c r="AD95" i="19"/>
  <c r="AD96" i="19"/>
  <c r="AD99" i="19"/>
  <c r="AE87" i="19"/>
  <c r="AE93" i="19"/>
  <c r="AE88" i="19"/>
  <c r="AE94" i="19"/>
  <c r="AE89" i="19"/>
  <c r="AE95" i="19"/>
  <c r="AE96" i="19"/>
  <c r="AE99" i="19"/>
  <c r="AF87" i="19"/>
  <c r="AF93" i="19"/>
  <c r="AF88" i="19"/>
  <c r="AF94" i="19"/>
  <c r="AF89" i="19"/>
  <c r="AF95" i="19"/>
  <c r="AF96" i="19"/>
  <c r="AF99" i="19"/>
  <c r="AG87" i="19"/>
  <c r="AG93" i="19"/>
  <c r="AG88" i="19"/>
  <c r="AG94" i="19"/>
  <c r="AG89" i="19"/>
  <c r="AG95" i="19"/>
  <c r="AG96" i="19"/>
  <c r="AG99" i="19"/>
  <c r="AG101" i="19"/>
  <c r="C19" i="19"/>
  <c r="AB95" i="19"/>
  <c r="AB94" i="19"/>
  <c r="AB93" i="19"/>
  <c r="AB96" i="19"/>
  <c r="AB99" i="19"/>
  <c r="AA93" i="19"/>
  <c r="AA94" i="19"/>
  <c r="AA95" i="19"/>
  <c r="AA96" i="19"/>
  <c r="AA99" i="19"/>
  <c r="AG90" i="19"/>
  <c r="AF90" i="19"/>
  <c r="AE90" i="19"/>
  <c r="AD90" i="19"/>
  <c r="AC90" i="19"/>
  <c r="AB90" i="19"/>
  <c r="AA90" i="19"/>
  <c r="Y68" i="19"/>
  <c r="Y71" i="19"/>
  <c r="C20" i="19"/>
  <c r="AD37" i="19"/>
  <c r="AD38" i="19"/>
  <c r="AD39" i="19"/>
  <c r="AD40" i="19"/>
  <c r="AD41" i="19"/>
  <c r="AD42" i="19"/>
  <c r="AD30" i="19"/>
  <c r="AD31" i="19"/>
  <c r="AD32" i="19"/>
  <c r="AD33" i="19"/>
  <c r="AD34" i="19"/>
  <c r="AD35" i="19"/>
  <c r="AD44" i="19"/>
  <c r="AD68" i="19"/>
  <c r="AD71" i="19"/>
  <c r="C18" i="19"/>
  <c r="AC37" i="19"/>
  <c r="AC38" i="19"/>
  <c r="AC39" i="19"/>
  <c r="AC40" i="19"/>
  <c r="AC41" i="19"/>
  <c r="AC42" i="19"/>
  <c r="AC30" i="19"/>
  <c r="AC31" i="19"/>
  <c r="AC32" i="19"/>
  <c r="AC33" i="19"/>
  <c r="AC34" i="19"/>
  <c r="AC35" i="19"/>
  <c r="AC44" i="19"/>
  <c r="AC68" i="19"/>
  <c r="AC71" i="19"/>
  <c r="C17" i="19"/>
  <c r="AE37" i="19"/>
  <c r="AE38" i="19"/>
  <c r="AE39" i="19"/>
  <c r="AE40" i="19"/>
  <c r="AE41" i="19"/>
  <c r="AE42" i="19"/>
  <c r="AE30" i="19"/>
  <c r="AE31" i="19"/>
  <c r="AE32" i="19"/>
  <c r="AE33" i="19"/>
  <c r="AE34" i="19"/>
  <c r="AE35" i="19"/>
  <c r="AE44" i="19"/>
  <c r="AE68" i="19"/>
  <c r="AF37" i="19"/>
  <c r="AF38" i="19"/>
  <c r="AF39" i="19"/>
  <c r="AF40" i="19"/>
  <c r="AF41" i="19"/>
  <c r="AF42" i="19"/>
  <c r="AF30" i="19"/>
  <c r="AF31" i="19"/>
  <c r="AF32" i="19"/>
  <c r="AF33" i="19"/>
  <c r="AF34" i="19"/>
  <c r="AF35" i="19"/>
  <c r="AF44" i="19"/>
  <c r="AF68" i="19"/>
  <c r="AG68" i="19"/>
  <c r="AG70" i="19"/>
  <c r="AG71" i="19"/>
  <c r="C16" i="19"/>
  <c r="C15" i="19"/>
  <c r="AB37" i="19"/>
  <c r="AB38" i="19"/>
  <c r="AB39" i="19"/>
  <c r="AB40" i="19"/>
  <c r="AB41" i="19"/>
  <c r="AB42" i="19"/>
  <c r="AB30" i="19"/>
  <c r="AB31" i="19"/>
  <c r="AB32" i="19"/>
  <c r="AB33" i="19"/>
  <c r="AB34" i="19"/>
  <c r="AB35" i="19"/>
  <c r="AB44" i="19"/>
  <c r="AB68" i="19"/>
  <c r="AB71" i="19"/>
  <c r="C14" i="19"/>
  <c r="AA37" i="19"/>
  <c r="AA38" i="19"/>
  <c r="AA39" i="19"/>
  <c r="AA40" i="19"/>
  <c r="AA41" i="19"/>
  <c r="AA42" i="19"/>
  <c r="AA30" i="19"/>
  <c r="AA31" i="19"/>
  <c r="AA32" i="19"/>
  <c r="AA33" i="19"/>
  <c r="AA34" i="19"/>
  <c r="AA35" i="19"/>
  <c r="AA44" i="19"/>
  <c r="AA68" i="19"/>
  <c r="AA71" i="19"/>
  <c r="C13" i="19"/>
  <c r="G30" i="19"/>
  <c r="V30" i="19"/>
  <c r="X30" i="19"/>
  <c r="Y30" i="19"/>
  <c r="AG30" i="19"/>
  <c r="AH30" i="19"/>
  <c r="G31" i="19"/>
  <c r="V31" i="19"/>
  <c r="X31" i="19"/>
  <c r="Y31" i="19"/>
  <c r="AG31" i="19"/>
  <c r="AH31" i="19"/>
  <c r="G32" i="19"/>
  <c r="V32" i="19"/>
  <c r="X32" i="19"/>
  <c r="Y32" i="19"/>
  <c r="AG32" i="19"/>
  <c r="AH32" i="19"/>
  <c r="G33" i="19"/>
  <c r="V33" i="19"/>
  <c r="X33" i="19"/>
  <c r="Y33" i="19"/>
  <c r="AG33" i="19"/>
  <c r="AH33" i="19"/>
  <c r="G34" i="19"/>
  <c r="V34" i="19"/>
  <c r="X34" i="19"/>
  <c r="Y34" i="19"/>
  <c r="AG34" i="19"/>
  <c r="AH34" i="19"/>
  <c r="E35" i="19"/>
  <c r="F35" i="19"/>
  <c r="G35" i="19"/>
  <c r="H35" i="19"/>
  <c r="J35" i="19"/>
  <c r="L35" i="19"/>
  <c r="X35" i="19"/>
  <c r="Y35" i="19"/>
  <c r="AG35" i="19"/>
  <c r="AH35" i="19"/>
  <c r="G37" i="19"/>
  <c r="V37" i="19"/>
  <c r="X37" i="19"/>
  <c r="Y37" i="19"/>
  <c r="AG37" i="19"/>
  <c r="AH37" i="19"/>
  <c r="G38" i="19"/>
  <c r="V38" i="19"/>
  <c r="X38" i="19"/>
  <c r="Y38" i="19"/>
  <c r="AG38" i="19"/>
  <c r="AH38" i="19"/>
  <c r="G39" i="19"/>
  <c r="V39" i="19"/>
  <c r="X39" i="19"/>
  <c r="Y39" i="19"/>
  <c r="AG39" i="19"/>
  <c r="AH39" i="19"/>
  <c r="G40" i="19"/>
  <c r="V40" i="19"/>
  <c r="X40" i="19"/>
  <c r="Y40" i="19"/>
  <c r="AG40" i="19"/>
  <c r="AH40" i="19"/>
  <c r="G41" i="19"/>
  <c r="V41" i="19"/>
  <c r="X41" i="19"/>
  <c r="Y41" i="19"/>
  <c r="AG41" i="19"/>
  <c r="AH41" i="19"/>
  <c r="E42" i="19"/>
  <c r="F42" i="19"/>
  <c r="G42" i="19"/>
  <c r="H42" i="19"/>
  <c r="J42" i="19"/>
  <c r="L42" i="19"/>
  <c r="X42" i="19"/>
  <c r="Y42" i="19"/>
  <c r="AG42" i="19"/>
  <c r="AH42" i="19"/>
  <c r="E44" i="19"/>
  <c r="F44" i="19"/>
  <c r="G44" i="19"/>
  <c r="H44" i="19"/>
  <c r="J44" i="19"/>
  <c r="L44" i="19"/>
  <c r="X44" i="19"/>
  <c r="Y44" i="19"/>
  <c r="AG44" i="19"/>
  <c r="AH44" i="19"/>
  <c r="AG45" i="19"/>
  <c r="M48" i="19"/>
  <c r="V48" i="19"/>
  <c r="X48" i="19"/>
  <c r="AG48" i="19"/>
  <c r="AH48" i="19"/>
  <c r="M49" i="19"/>
  <c r="V49" i="19"/>
  <c r="X49" i="19"/>
  <c r="AG49" i="19"/>
  <c r="AH49" i="19"/>
  <c r="M50" i="19"/>
  <c r="V50" i="19"/>
  <c r="X50" i="19"/>
  <c r="AG50" i="19"/>
  <c r="AH50" i="19"/>
  <c r="M51" i="19"/>
  <c r="V51" i="19"/>
  <c r="X51" i="19"/>
  <c r="AG51" i="19"/>
  <c r="AH51" i="19"/>
  <c r="M52" i="19"/>
  <c r="V52" i="19"/>
  <c r="X52" i="19"/>
  <c r="AG52" i="19"/>
  <c r="AH52" i="19"/>
  <c r="X53" i="19"/>
  <c r="AG53" i="19"/>
  <c r="AH53" i="19"/>
  <c r="V55" i="19"/>
  <c r="AG55" i="19"/>
  <c r="AH55" i="19"/>
  <c r="V56" i="19"/>
  <c r="AG56" i="19"/>
  <c r="AH56" i="19"/>
  <c r="V57" i="19"/>
  <c r="AG57" i="19"/>
  <c r="AH57" i="19"/>
  <c r="V58" i="19"/>
  <c r="AG58" i="19"/>
  <c r="AH58" i="19"/>
  <c r="V59" i="19"/>
  <c r="AG59" i="19"/>
  <c r="AH59" i="19"/>
  <c r="X60" i="19"/>
  <c r="AG60" i="19"/>
  <c r="AH60" i="19"/>
  <c r="X62" i="19"/>
  <c r="AG62" i="19"/>
  <c r="AH62" i="19"/>
  <c r="AG63" i="19"/>
  <c r="X68" i="19"/>
  <c r="AE71" i="19"/>
  <c r="AF71" i="19"/>
  <c r="G109" i="17"/>
  <c r="G110" i="17"/>
  <c r="F109" i="17"/>
  <c r="F110" i="17"/>
  <c r="E109" i="17"/>
  <c r="E110" i="17"/>
  <c r="H109" i="17"/>
  <c r="F98" i="17"/>
  <c r="P88" i="17"/>
  <c r="M87" i="17"/>
  <c r="N87" i="17"/>
  <c r="N88" i="17"/>
  <c r="M88" i="17"/>
  <c r="I88" i="17"/>
  <c r="E66" i="17"/>
  <c r="U45" i="17"/>
  <c r="Z45" i="17"/>
  <c r="V45" i="17"/>
  <c r="Z56" i="17"/>
  <c r="Z57" i="17"/>
  <c r="Y48" i="17"/>
  <c r="Y49" i="17"/>
  <c r="Y50" i="17"/>
  <c r="Y51" i="17"/>
  <c r="Y52" i="17"/>
  <c r="Y53" i="17"/>
  <c r="Y54" i="17"/>
  <c r="Y55" i="17"/>
  <c r="Y56" i="17"/>
  <c r="Y57" i="17"/>
  <c r="V56" i="17"/>
  <c r="V57" i="17"/>
  <c r="U48" i="17"/>
  <c r="U49" i="17"/>
  <c r="U50" i="17"/>
  <c r="U51" i="17"/>
  <c r="U52" i="17"/>
  <c r="U53" i="17"/>
  <c r="U54" i="17"/>
  <c r="U55" i="17"/>
  <c r="U56" i="17"/>
  <c r="U57" i="17"/>
  <c r="R56" i="17"/>
  <c r="R45" i="17"/>
  <c r="R57" i="17"/>
  <c r="Q48" i="17"/>
  <c r="Q49" i="17"/>
  <c r="Q50" i="17"/>
  <c r="Q51" i="17"/>
  <c r="Q52" i="17"/>
  <c r="Q53" i="17"/>
  <c r="Q54" i="17"/>
  <c r="Q55" i="17"/>
  <c r="Q56" i="17"/>
  <c r="Q57" i="17"/>
  <c r="L48" i="17"/>
  <c r="L49" i="17"/>
  <c r="L50" i="17"/>
  <c r="L51" i="17"/>
  <c r="L52" i="17"/>
  <c r="L53" i="17"/>
  <c r="L54" i="17"/>
  <c r="L55" i="17"/>
  <c r="L56" i="17"/>
  <c r="L45" i="17"/>
  <c r="L57" i="17"/>
  <c r="K48" i="17"/>
  <c r="K49" i="17"/>
  <c r="K50" i="17"/>
  <c r="K52" i="17"/>
  <c r="K56" i="17"/>
  <c r="K57" i="17"/>
  <c r="J48" i="17"/>
  <c r="J49" i="17"/>
  <c r="J50" i="17"/>
  <c r="J52" i="17"/>
  <c r="J56" i="17"/>
  <c r="J45" i="17"/>
  <c r="J57" i="17"/>
  <c r="I48" i="17"/>
  <c r="I49" i="17"/>
  <c r="I50" i="17"/>
  <c r="I51" i="17"/>
  <c r="I52" i="17"/>
  <c r="I53" i="17"/>
  <c r="I54" i="17"/>
  <c r="I55" i="17"/>
  <c r="I56" i="17"/>
  <c r="I45" i="17"/>
  <c r="I57" i="17"/>
  <c r="B5" i="11"/>
  <c r="Z11" i="11"/>
  <c r="C31" i="8"/>
  <c r="AA11" i="11"/>
  <c r="D31" i="8"/>
  <c r="AB11" i="11"/>
  <c r="E31" i="8"/>
  <c r="AC11" i="11"/>
  <c r="F31" i="8"/>
  <c r="AD11" i="11"/>
  <c r="G31" i="8"/>
  <c r="H31" i="8"/>
  <c r="E8" i="8"/>
  <c r="F8" i="8"/>
  <c r="G8" i="8"/>
  <c r="H8" i="8"/>
  <c r="D8" i="8"/>
  <c r="B3" i="13"/>
  <c r="D37" i="8"/>
  <c r="E37" i="8"/>
  <c r="F37" i="8"/>
  <c r="G37" i="8"/>
  <c r="C37" i="8"/>
  <c r="D34" i="8"/>
  <c r="E34" i="8"/>
  <c r="F34" i="8"/>
  <c r="G34" i="8"/>
  <c r="C34" i="8"/>
  <c r="D33" i="8"/>
  <c r="E33" i="8"/>
  <c r="F33" i="8"/>
  <c r="G33" i="8"/>
  <c r="C33" i="8"/>
  <c r="C3" i="11"/>
  <c r="K55" i="13"/>
  <c r="J55" i="13"/>
  <c r="I55" i="13"/>
  <c r="H55" i="13"/>
  <c r="H33" i="8"/>
  <c r="H34" i="8"/>
  <c r="H35" i="8"/>
  <c r="G35" i="8"/>
  <c r="F35" i="8"/>
  <c r="E35" i="8"/>
  <c r="D35" i="8"/>
  <c r="C35" i="8"/>
  <c r="C43" i="8"/>
  <c r="D43" i="8"/>
  <c r="E43" i="8"/>
  <c r="F43" i="8"/>
  <c r="G43" i="8"/>
  <c r="H43" i="8"/>
  <c r="H25" i="8"/>
  <c r="H37" i="8"/>
  <c r="D3" i="9"/>
</calcChain>
</file>

<file path=xl/comments1.xml><?xml version="1.0" encoding="utf-8"?>
<comments xmlns="http://schemas.openxmlformats.org/spreadsheetml/2006/main">
  <authors>
    <author>moorsc</author>
  </authors>
  <commentList>
    <comment ref="M39" authorId="0">
      <text>
        <r>
          <rPr>
            <b/>
            <sz val="9"/>
            <color indexed="81"/>
            <rFont val="Tahoma"/>
            <family val="2"/>
          </rPr>
          <t>moorsc:</t>
        </r>
        <r>
          <rPr>
            <sz val="9"/>
            <color indexed="81"/>
            <rFont val="Tahoma"/>
            <family val="2"/>
          </rPr>
          <t xml:space="preserve">
These contractor costs relate to the outsourced meter reading contract and therefore are 100% allocated to Meter Reading.</t>
        </r>
      </text>
    </comment>
  </commentList>
</comments>
</file>

<file path=xl/sharedStrings.xml><?xml version="1.0" encoding="utf-8"?>
<sst xmlns="http://schemas.openxmlformats.org/spreadsheetml/2006/main" count="597" uniqueCount="258">
  <si>
    <t>Service:</t>
  </si>
  <si>
    <t>Total</t>
  </si>
  <si>
    <t>Historical Revenue</t>
  </si>
  <si>
    <t>Description</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</si>
  <si>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</si>
  <si>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</si>
  <si>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</si>
  <si>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</si>
  <si>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</si>
  <si>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</si>
  <si>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</si>
  <si>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</si>
  <si>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</si>
  <si>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</si>
  <si>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</si>
  <si>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</si>
  <si>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</si>
  <si>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</si>
  <si>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</si>
  <si>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</si>
  <si>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</si>
  <si>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</si>
  <si>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</si>
  <si>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Indirect Costs (Nominal)</t>
  </si>
  <si>
    <t>Hours</t>
  </si>
  <si>
    <t>No. of People</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</si>
  <si>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</si>
  <si>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</si>
  <si>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</si>
  <si>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</si>
  <si>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</si>
  <si>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</si>
  <si>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</si>
  <si>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</si>
  <si>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</si>
  <si>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</si>
  <si>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</si>
  <si>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</si>
  <si>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</si>
  <si>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</si>
  <si>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</si>
  <si>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</si>
  <si>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</si>
  <si>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</si>
  <si>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</si>
  <si>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</si>
  <si>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Total Volumes</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</si>
  <si>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</si>
  <si>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</si>
  <si>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</si>
  <si>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</si>
  <si>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</si>
  <si>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</si>
  <si>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</si>
  <si>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</si>
  <si>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</si>
  <si>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</si>
  <si>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</si>
  <si>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Current Fee (Excl GST):</t>
  </si>
  <si>
    <t>Proposed Fee (Excl GST):</t>
  </si>
  <si>
    <t>Forecast Operating Expenditure</t>
  </si>
  <si>
    <t>Proposed Revenue (Nominal)</t>
  </si>
  <si>
    <t>Service Orders</t>
  </si>
  <si>
    <t>Category</t>
  </si>
  <si>
    <t>Disconnections - At Meter Box</t>
  </si>
  <si>
    <t>Y</t>
  </si>
  <si>
    <t>Disconnections - Meter Load Tail (Technical)</t>
  </si>
  <si>
    <t>Disconnections - Site Visit</t>
  </si>
  <si>
    <t>Reconnections - At Meter Box</t>
  </si>
  <si>
    <t>Reconnections - Meter Load Tail (Technical)</t>
  </si>
  <si>
    <t>Reconnections - Site Visit</t>
  </si>
  <si>
    <t>ZI2 - AD-HOC INVESTIGATION (70% recoverable)</t>
  </si>
  <si>
    <t>Special Meter Read</t>
  </si>
  <si>
    <t>ZI3 - ACCOUNT/ENERGY AUDIT (Other Retailers)</t>
  </si>
  <si>
    <t>ZM1 - READ &amp; REPORT (90% Recoverable)</t>
  </si>
  <si>
    <t>ZM4 - READ &amp; BILL (TRANSFER)</t>
  </si>
  <si>
    <t>ZI2 - AD-HOC INVESTIGATION (30% unrecoverable)</t>
  </si>
  <si>
    <t>Meter Data Services</t>
  </si>
  <si>
    <t>N</t>
  </si>
  <si>
    <t>ZI3 - ACCOUNT/ENERGY AUDIT (Endeavour Energy)</t>
  </si>
  <si>
    <t>ZM1 - READ &amp; REPORT (10% unrecoverable)</t>
  </si>
  <si>
    <t>ZM3 - READ &amp; BILL (GENERAL)</t>
  </si>
  <si>
    <t>ZM2 - READ &amp; BILL (FINAL)</t>
  </si>
  <si>
    <t>Move In / Move Out Meter Reads</t>
  </si>
  <si>
    <t>ZT1 - OP1 to OP2</t>
  </si>
  <si>
    <t>Off Peak Conversion</t>
  </si>
  <si>
    <t>ZT2 - OP2 to OP1</t>
  </si>
  <si>
    <t>Network Tariff Transfers (Not a service Order)</t>
  </si>
  <si>
    <t>Network Tariff Transfers</t>
  </si>
  <si>
    <t>Service
Order %</t>
  </si>
  <si>
    <t>Chargeable to Retailer (Y/N)</t>
  </si>
  <si>
    <t>% Recoverable from Retailer</t>
  </si>
  <si>
    <t>Disco / Recos - At Meter Box</t>
  </si>
  <si>
    <t>Disco / Recos - Site Visit</t>
  </si>
  <si>
    <t>FIELD OPERATIONS</t>
  </si>
  <si>
    <t>Avg Minutes per job</t>
  </si>
  <si>
    <t>Total minutes</t>
  </si>
  <si>
    <t>Service Order weightings</t>
  </si>
  <si>
    <t>FIELD OPERATIONS ADMIN</t>
  </si>
  <si>
    <t>TRANSFER SOLUTIONS ADMIN</t>
  </si>
  <si>
    <t>Alternative Control Services Category</t>
  </si>
  <si>
    <t>Field Operations Administration</t>
  </si>
  <si>
    <t>Other Staff x 7</t>
  </si>
  <si>
    <t>Staff Type</t>
  </si>
  <si>
    <t>Service Order Schedulers</t>
  </si>
  <si>
    <t>%</t>
  </si>
  <si>
    <t>No. of Staff</t>
  </si>
  <si>
    <t>The remaining staff are involved in the general administration of Field Operations.</t>
  </si>
  <si>
    <t>Service Order Schedulers are predominantly involved in the scheduling of work to ensure all service orders are actioned. Their costs should be allocated based on service order volumes on the assumption that each service order takes the same amount of time to schedule.</t>
  </si>
  <si>
    <t>Other Staff Weightings</t>
  </si>
  <si>
    <t>Not a service order</t>
  </si>
  <si>
    <t>Average minutes per job</t>
  </si>
  <si>
    <t>Other Staff</t>
  </si>
  <si>
    <t>Field Operations Admin</t>
  </si>
  <si>
    <t>Allocations for Field Operations Administration</t>
  </si>
  <si>
    <t>Field Operations</t>
  </si>
  <si>
    <t>Market Operations Admin</t>
  </si>
  <si>
    <t>Headcount</t>
  </si>
  <si>
    <t>% Allocations</t>
  </si>
  <si>
    <t>Meter Reading Admin</t>
  </si>
  <si>
    <t>Field Ops Admin</t>
  </si>
  <si>
    <t>Transfer Solutions</t>
  </si>
  <si>
    <t>Meter Reading Administration</t>
  </si>
  <si>
    <t>SUMMARY OF OPEX ALLOCATIONS</t>
  </si>
  <si>
    <t>Refer to below for Field Operations Administration allocations</t>
  </si>
  <si>
    <t>Market Operations Opex % Allocations</t>
  </si>
  <si>
    <t>Market Operations Unit Rates</t>
  </si>
  <si>
    <t>Average Type 6 Service Customer Numbers</t>
  </si>
  <si>
    <t>NOMINAL $</t>
  </si>
  <si>
    <t>Growth rate on Other Costs (as per SCI)</t>
  </si>
  <si>
    <t>Refer below</t>
  </si>
  <si>
    <t>Unit Rate</t>
  </si>
  <si>
    <t>Volumes (Total Volumes)</t>
  </si>
  <si>
    <t>SO Volumes</t>
  </si>
  <si>
    <t>Volume Driver</t>
  </si>
  <si>
    <t>Special Meter Reads</t>
  </si>
  <si>
    <t>Network tariff change request</t>
  </si>
  <si>
    <t>Check</t>
  </si>
  <si>
    <t>TOTAL</t>
  </si>
  <si>
    <t>OPERATING EXPENDITURE $ ALLOCATIONS</t>
  </si>
  <si>
    <t>OPERATING EXPENDITURE % ALLOCATIONS</t>
  </si>
  <si>
    <t>Operating Expenditure</t>
  </si>
  <si>
    <t>Market Operations</t>
  </si>
  <si>
    <t>S620 - Field Operations</t>
  </si>
  <si>
    <t>Other Expenses</t>
  </si>
  <si>
    <t>IT&amp;T Expenses</t>
  </si>
  <si>
    <t>Contractors &amp; Consultants</t>
  </si>
  <si>
    <t>Materials</t>
  </si>
  <si>
    <t>Labour</t>
  </si>
  <si>
    <t>S610 - Market Operations Admin</t>
  </si>
  <si>
    <t>2012/13
Year</t>
  </si>
  <si>
    <t>2011/12 Actuals</t>
  </si>
  <si>
    <t>Expense Category</t>
  </si>
  <si>
    <t>Org Unit</t>
  </si>
  <si>
    <t>Recos / Discos
(Meter Box)</t>
  </si>
  <si>
    <t>Recos / Discos
(Meter Load Tail)</t>
  </si>
  <si>
    <t>% ALLOCATIONS</t>
  </si>
  <si>
    <t>Off Peak Conversions</t>
  </si>
  <si>
    <t>Disco / Recos - Meter Load Tail</t>
  </si>
  <si>
    <t>Move in / move out meter reads</t>
  </si>
  <si>
    <t>Meter Reading</t>
  </si>
  <si>
    <t>Direct Unit Rate</t>
  </si>
  <si>
    <t>Meter reading unit rates will be calculated differently because prior year contractor costs are distorted due to the higher volume of meter reads that took place to catch up with the backlog Endeavour experienced due to industrial disputes surrounding the outsourcing of meter reading.</t>
  </si>
  <si>
    <t>2012/13 Actuals (Contractor Costs)</t>
  </si>
  <si>
    <t>2012/13 Actuals (Labour Costs)</t>
  </si>
  <si>
    <t>2012/13 Actuals (Other Costs)</t>
  </si>
  <si>
    <t>* Recos / Discos
(Meter Box)</t>
  </si>
  <si>
    <t>* Recos / Discos
(Meter Load Tail)</t>
  </si>
  <si>
    <t>*  The unit rate for disconnections (Meter box and meter load tail) includes the recovery of costs for both disconnections and reconnections. As this fee will only be charged on disconnections, the unit rate was calculated by dividing opex (including disconnections &amp; reconnections) by the disconnection volumes only.</t>
  </si>
  <si>
    <t>Average Unit Rates - 2012/13 Dollars</t>
  </si>
  <si>
    <t>Market Operations Direct Opex Unit Rate</t>
  </si>
  <si>
    <t>Hourly Rate</t>
  </si>
  <si>
    <t>Unit rate (excl overheads)</t>
  </si>
  <si>
    <t>Unit rate (incl overheads)</t>
  </si>
  <si>
    <t xml:space="preserve">The average unit rate in 2012/13 real dollars is converted to nominal dollars for each year in the next regulatory period using the nominal conversion factor derived from the CAM.  </t>
  </si>
  <si>
    <t>Based on the following unit rates for the 2015-19 regulatory period</t>
  </si>
  <si>
    <t>Average Unit Rates - Forecast Nominal</t>
  </si>
  <si>
    <t>Labour Growth</t>
  </si>
  <si>
    <t>2008/09</t>
  </si>
  <si>
    <t>Assumed annual labour growth</t>
  </si>
  <si>
    <t>2011/12
(Sep 11 - Jun 12
10 months)</t>
  </si>
  <si>
    <t>2012/13
(Jul 12 - Jun 13
12 months)</t>
  </si>
  <si>
    <t>Summary by Alternative Control Service</t>
  </si>
  <si>
    <r>
      <rPr>
        <b/>
        <sz val="10"/>
        <color theme="1"/>
        <rFont val="Calibri"/>
        <family val="2"/>
        <scheme val="minor"/>
      </rPr>
      <t>Background:</t>
    </r>
    <r>
      <rPr>
        <sz val="10"/>
        <color theme="1"/>
        <rFont val="Calibri"/>
        <family val="2"/>
        <scheme val="minor"/>
      </rPr>
      <t xml:space="preserve"> The majority of work undertaken by the Field Operations, Field Operations Admin and Transfer Solutions Admin groups is driven by service orders which are raised through a system called MBS which logs and notifies Market Operations of the work required. Service orders are raised by either a Retailer or by Endeavour Energy for internal investigation purposes. MBS was only introduced in September 2011 and therefore historical volumes only exist for 22 months (September 2011 - June 2013). In order to calculate operating expenditure percentage allocations for each of the Alternative Control Services relevant to these sections the following process was undertaken:
-  Market Operations provided volumes for all of the service orders carried out within the branch (volumes for Network Tariff Transfers were provided by Finance) for the 22 month period September 2011 to June 2013;
-  Market Operations classified each of the service orders into the applicable Alternative Control Services category;
-  Market Operations identified what % of service orders were recoverable from the Retailer. When a service order is not recoverable from the Retailer it indicates that it was raised for Endeavour Energy's internal investigation purposes and is classified as "Meter Data Services";
-  For all the groups within the Market Operations branch an average time was estimated to carry out each service order type to allow the opex % allocations to take into account the time required to carry out each service activity; and
-  Opex allocation percentages were calculated for each section based on a combination of service order volumes, time-to-complete estimates and headcount.
</t>
    </r>
  </si>
  <si>
    <t>In order to derive an operating expenditure allocation percentage for the Field Operations Administration group an analysis of the type of work being carried by staff out within this section was performed. Based on information provided by Market Operations, Field Operations Administration is made up of 10 staff, broken into Service Order Schedulers and Other Staff. This differentiation of staff type is used to calculate operating expenditure allocation percentage for the Field Operations Administration section.</t>
  </si>
  <si>
    <t>1. Calculate operating expenditure allocation percentages using service order volumes, time-to-complete estimates and headcount for Field Operations, Field Operations Admin and Transfer Solutions Admin.</t>
  </si>
  <si>
    <t>2. Calculate operating expenditure allocation percentages for the Market Operations Administration section which is the combination of the Meter Reading Ammonisation, Field Operations Administration and Transfer Solutions Administration groups.</t>
  </si>
  <si>
    <t>In order to derive operating expenditure allocation percentages for the Market Operations Administration section, it is necessary to combine the allocation percentages for the Meter Reading Ammonisation, Field Operations Administration and Transfer Solutions Administration groups, and adjust for the relative headcount of each group.</t>
  </si>
  <si>
    <t>2011/12 Actuals
(Sep 11 - Jun 12)</t>
  </si>
  <si>
    <t>2011/12 Actuals
(2012/13 $)</t>
  </si>
  <si>
    <t>2011/12 Actuals
(Sep 11 - Jun 12) (2012/13 $)</t>
  </si>
  <si>
    <t>SO Volumes (Discos only)</t>
  </si>
  <si>
    <t>Tariff Changes  (Provided by Finance)</t>
  </si>
  <si>
    <r>
      <rPr>
        <b/>
        <sz val="10"/>
        <color theme="1"/>
        <rFont val="Calibri"/>
        <family val="2"/>
        <scheme val="minor"/>
      </rPr>
      <t xml:space="preserve">Background: </t>
    </r>
    <r>
      <rPr>
        <sz val="10"/>
        <color theme="1"/>
        <rFont val="Calibri"/>
        <family val="2"/>
        <scheme val="minor"/>
      </rPr>
      <t xml:space="preserve">The Market Operations branch within the People &amp; Services division is only involved in the provision of Alternative Control Services as defined in the AERs Framework &amp; Approach Paper March 2013 (i.e. either type 5 &amp; 6 metering reading and data services or ancillary network services). As a result, the operating expenditure for the entire branch can be split between the relevant type 5 &amp; 6 metering services and ancillary network services. In order to do this it is necessary to calculate percentage allocations between the relevant type 5 &amp; 6 metering services and/or ancillary network services for each section / team within the Market Operations branch.
</t>
    </r>
    <r>
      <rPr>
        <i/>
        <sz val="10"/>
        <color theme="1"/>
        <rFont val="Calibri"/>
        <family val="2"/>
        <scheme val="minor"/>
      </rPr>
      <t>Note: As the Market Operations branch does not utilise work orders which split operating expenditure between type 5 &amp; 6 metering services and ancillary network service activities, it is not possible to utilise work orders to calculate the operating expenditure related to the provision of individual Alternative Control Service activities.</t>
    </r>
    <r>
      <rPr>
        <sz val="10"/>
        <color theme="1"/>
        <rFont val="Calibri"/>
        <family val="2"/>
        <scheme val="minor"/>
      </rPr>
      <t xml:space="preserve">
The branch is made up of 2 main sections, Field Operations and Market Operations Administration, and operating expenditure allocation percentages have been calculated for each section. However, in order to derive the percentages at the section level, analysis was performed at the individual group level as each group's activity (and therefore cost) is driven by different factors. The 4 groups which were analysed are set out below:
- Meter Reading Administration (administer and manage the type 6 meter reading contract);
- Field Operations (undertake the field work required);
- Field Operations Administration (administer and manage the work performed by Field Operations); and
- Transfer Solutions Administration (administer and manage customer transfers).</t>
    </r>
  </si>
  <si>
    <r>
      <rPr>
        <b/>
        <sz val="10"/>
        <color theme="1"/>
        <rFont val="Calibri"/>
        <family val="2"/>
        <scheme val="minor"/>
      </rPr>
      <t xml:space="preserve">Aim: </t>
    </r>
    <r>
      <rPr>
        <sz val="10"/>
        <color theme="1"/>
        <rFont val="Calibri"/>
        <family val="2"/>
        <scheme val="minor"/>
      </rPr>
      <t>To develop percentage operating expenditure allocations which can be used to split Market Operations total operating expenditure between the type 5 &amp; 6 metering services and ancillary network services that the Market Operations branch perform. These percentages are  used to split the operating expenditure incurred by the Market Operations branch between the relevant Alternative Control Services and subsequently calculate unit rates for the provision of these services.</t>
    </r>
  </si>
  <si>
    <r>
      <rPr>
        <b/>
        <sz val="10"/>
        <color theme="1"/>
        <rFont val="Calibri"/>
        <family val="2"/>
        <scheme val="minor"/>
      </rPr>
      <t xml:space="preserve">Aim: </t>
    </r>
    <r>
      <rPr>
        <sz val="10"/>
        <color theme="1"/>
        <rFont val="Calibri"/>
        <family val="2"/>
        <scheme val="minor"/>
      </rPr>
      <t>To calculate unit rates in 2012/13 dollars for each of the Alternative Control Services performed by the Market Operations branch.</t>
    </r>
  </si>
  <si>
    <t>SUMMARY OF UNIT RATES</t>
  </si>
  <si>
    <t>Convert Labour from 2011/12 to 2012/13$ :</t>
  </si>
  <si>
    <t>Convert Non Labour from 2011/12 to 2012/13$ :</t>
  </si>
  <si>
    <t>22 months Opex (Sep 11 to Jun 13)</t>
  </si>
  <si>
    <t>Recos / Discos
(Site Visit)</t>
  </si>
  <si>
    <t>$ ALLOCATIONS - 22 MONTHS (Sep 11 to Jun 13)</t>
  </si>
  <si>
    <t>$ ALLOCATIONS - 2012/13 Only</t>
  </si>
  <si>
    <t>1. Split operating expenditure for 22 months (Sep 11 to Jun 13) and for 2012/13 only between the relevant Alternative Control Services based on the operating expenditure allocation percentages calculated in worksheet 'Market Ops % Opex Allocations'</t>
  </si>
  <si>
    <t>2. Calculate unit rates based on operating expenditure split between Alternative Control Services and relevant volumes</t>
  </si>
  <si>
    <t>Based on 2012/13 opex</t>
  </si>
  <si>
    <t>Based on 22 months opex (Sep 11 to Jun 13)</t>
  </si>
  <si>
    <t>Total move in/move out &amp; special meter reads</t>
  </si>
  <si>
    <t>2012/13 average of customers with type 6 service (provided by Commercial Manager Networks)</t>
  </si>
  <si>
    <t>#Meter Reading</t>
  </si>
  <si>
    <t># Meter Reading Unit Rates</t>
  </si>
  <si>
    <t>Manager Market Operations advised of a 15% increase in 2013/14 and then 5% for every year thereafter in the meter reading contract.</t>
  </si>
  <si>
    <t>Average for 5 year regulatory period:</t>
  </si>
  <si>
    <t>REAL 2012/13 $</t>
  </si>
  <si>
    <t>Unit Rate (2012/13 $)</t>
  </si>
  <si>
    <t>Growth rate on Labour Costs (as per SCI at time of calculation)</t>
  </si>
  <si>
    <t>Growth Rates (excluding impacts of volume increase)</t>
  </si>
  <si>
    <t>Growth rate on Meter Reading Contractor Rates</t>
  </si>
  <si>
    <t>Revenue related to this fee is predominantly billed through Endeavour Energy's Banner billing system and is extracted from the general ledger.
Revenue recognised in the GL for 2012/13 includes some revenue relating to 2011/12 financial year. After the sale of the retail business in 2011/12, there were complications / disputes relating to billing data and Origin Energy was not billed until 2012/13. The revenue may also be overstated as a credit note for $424,688 was issued in 2012/13 which was a negotiated settlement and did not relate to specific revenue.
In addition, revenue in 2011/12 and 2012/13 was impacted due to the fact that Origin were being billed manually instead of through the Banner billing system. Due to data limitations it was not always possible to determine what type of service had taken place and therefore what fee should have been charged. Due to these data limitations Endeavour took the conservative approach and did not invoice all potential revenue.</t>
  </si>
  <si>
    <t>All unit rates have been calculated in real 2012/13 dollars for comparison purposes. To estimate labour rates in real 2012/13 dollars for prior years, the actual salary increases for award staff in those years has been used.</t>
  </si>
  <si>
    <t>The average unit rate is inflated by the overhead factor derived from the CAM to calculate a unit rate inclusive of network and corporate overheads.</t>
  </si>
  <si>
    <t>Unit Rate (2012/13$) - Incl OH</t>
  </si>
  <si>
    <t>Unit Rate (2012/13$) - Excl OH</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</si>
  <si>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</si>
  <si>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</si>
  <si>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</si>
  <si>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</si>
  <si>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Below are the calculations used to derive the Market Operation unit rates. For some categories, other branches are involved in the provision of the service and therefore additional costs need to be included.</t>
  </si>
  <si>
    <t>There is no other branch involved in the provision of this service.</t>
  </si>
  <si>
    <t>2009-14 Current Fees</t>
  </si>
  <si>
    <t>Current fees approved by the AER for the 2009-14 regulatory period.</t>
  </si>
  <si>
    <t>Historic volumes</t>
  </si>
  <si>
    <t>Not Available</t>
  </si>
  <si>
    <t>Service order volumes from Market Operations branch.</t>
  </si>
  <si>
    <t>Pricing Mechanism:</t>
  </si>
  <si>
    <t>No definition provided.</t>
  </si>
  <si>
    <t>2) For those branches identified as contributing to the provision of this service, direct cost unit rates were developed in 2012/13 dollars by analysing historic operating expenditure and volumes and/or developing unit rates based on resource requirement assumptions and 2012/13 average labour rates for the individuals involved in the provision of the service.</t>
  </si>
  <si>
    <t>3) An overhead factor derived from Endeavour Energy's Cost Allocation Model ('CAM') was applied to the direct cost unit rate to calculate unit rates inclusive of network and corporate overheads. In addition, a 2012/13 real to nominal conversion factor derived from the CAM was applied to the unit rates to calculate proposed unit rates in nominal dollars over the 2015-19 regulatory period.</t>
  </si>
  <si>
    <t>Historic Operating Expenditure</t>
  </si>
  <si>
    <t>Refer to 'Maret Ops Unit Rates' worksheet.</t>
  </si>
  <si>
    <t>General ledger analysis</t>
  </si>
  <si>
    <t>Service order volumes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</si>
  <si>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</si>
  <si>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2012/13 volumes increased by 5% each year to reflect the growing customer base.</t>
  </si>
  <si>
    <t>Reconnections/Disconnections (Site Visit)</t>
  </si>
  <si>
    <t>Forecast volumes based on an assumption provided by Market Operations Manager of 5% year on year growth.</t>
  </si>
  <si>
    <t>2015-19 Pricing Methodology for Service (Summary)</t>
  </si>
  <si>
    <t>Per service order resulting in a site visit only</t>
  </si>
  <si>
    <t>$44 per service order resulting in a site visit only</t>
  </si>
  <si>
    <t xml:space="preserve">Historic revenue was extracted from Endeavour Energy's general ledger via an account code combination specifically set up to capture this revenue (as defined in the 2009-14 regulatory period).  Historic costs were estimated for 2012/13 based on analysing total Market Operations branch operating expenditure and identifying the proportion related to the provision of this service. Historic volumes are based on service order volumes related to the provision of this service. </t>
  </si>
  <si>
    <t>A site visit to a customer’s premises for the purpose of disconnecting the customer's supply of electricity for breach by the customer of a customer supply contract or a customer connection contract, or where a Retail supplier has requested that the supply to the customer be disconnected, and the disconnection does not occur on that occasion - for example, because of non payment of an amount due under the contract or non payment of a security, but Endeavour Energy does not proceed with disconnection because the customer produces evidence of payment of such amount or security, or access to the meter box cannot be obtained (through no act or omission of Endeavour Energy) and similar occurrences - a personal - visit fee will be charged.</t>
  </si>
  <si>
    <r>
      <rPr>
        <b/>
        <sz val="10"/>
        <color theme="1"/>
        <rFont val="Calibri"/>
        <family val="2"/>
        <scheme val="minor"/>
      </rPr>
      <t>Methodology:</t>
    </r>
    <r>
      <rPr>
        <sz val="10"/>
        <color theme="1"/>
        <rFont val="Calibri"/>
        <family val="2"/>
        <scheme val="minor"/>
      </rPr>
      <t xml:space="preserve"> In order to calculate unit rates for each of the Alternative Control Services performed by the Market Operations branch the following procedure was undertaken:
- Operating expenditure for the branch over a 22 month period (September 2011 to June 2013) was extracted from the general ledger, converted to 2012/13 dollars and split based on the operating expenditure allocation percentages calculated in the 'Market Ops % Opex Allocations' worksheet. The 22 month period between September 2011 and June 2013 was selected as this is the period over which underlying volume data was available. This process was also undertaken for the 12 month period between July 2012 and June 2013 due to the volumes relating to 'Meter Reading' and 'Meter Data Services' being on an annual basis and not for 22 months; 
- Once the operating expenditure was split between the relevant Alternative Control Services, it was divided by relevant volumes to calculate a unit rate for the provision of the service in 2012/13 dollars. For 'Meter Reading' and 'Meter Data Services' the volumes used were the average customer numbers with a type 6 service for 2012/13. For all other categories the service order volumes for the 22 month period were used. For consistency, the unit rates for 'special meter reads' and 'move in / move out meter reads' were combined to form an average unit rate.</t>
    </r>
  </si>
  <si>
    <t>A site visit to a customer’s premises for the purpose of disconnecting the customer’s supply at the request of a Retailer based on the customer’s breach of a Customer Supply Contract or for breach of DNSP's Connection Contract. Disconnection may not occur due to a number of reasons, such as, but not limited to the following:
• Customer has paid retail bill;
• Breach of customer connection contract has been rectified;
• Unable to access main switch board or metering;
• Safety of Installation or DNSP's employee;
• Late cancellation by Retailer; or
• Change of customer or Retailer for the NMI.
A site visit fee may also be charged for reconnections due to a number of reasons, such as, but not limited to the following:
• Unable to access main switch board or metering;
• Safety of Installation or DNSP's employee; or
• Late cancellation by Retailer.</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</si>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</sst>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3" formatCode="_-* #,##0_-;\-* #,##0_-;_-* &quot;-&quot;??_-;_-@_-"/>
    <numFmt numFmtId="174" formatCode="&quot;$&quot;#,##0.00_);\(&quot;$&quot;#,##0.00\)"/>
    <numFmt numFmtId="178" formatCode="_-* #,##0.00_-;[Red]\(#,##0.00\)_-;_-* &quot;-&quot;??_-;_-@_-"/>
    <numFmt numFmtId="179" formatCode="_(&quot;$&quot;* #,##0_);_(&quot;$&quot;* \(#,##0\);_(&quot;$&quot;* &quot;-&quot;_);_(@_)"/>
    <numFmt numFmtId="180" formatCode="_(* #,##0_);_(* \(#,##0\);_(* &quot;-&quot;_);_(@_)"/>
    <numFmt numFmtId="181" formatCode="mm/dd/yy"/>
    <numFmt numFmtId="182" formatCode="_([$€-2]* #,##0.00_);_([$€-2]* \(#,##0.00\);_([$€-2]* &quot;-&quot;??_)"/>
    <numFmt numFmtId="183" formatCode="0_);[Red]\(0\)"/>
    <numFmt numFmtId="184" formatCode="#,##0.0_);\(#,##0.0\)"/>
    <numFmt numFmtId="185" formatCode="#,##0_ ;\-#,##0\ "/>
    <numFmt numFmtId="186" formatCode="#,##0;[Red]\(#,##0.0\)"/>
    <numFmt numFmtId="187" formatCode="#,##0_ ;[Red]\(#,##0\)\ "/>
    <numFmt numFmtId="188" formatCode="#,##0.00;\(#,##0.00\)"/>
    <numFmt numFmtId="189" formatCode="_)d\-mmm\-yy_)"/>
    <numFmt numFmtId="190" formatCode="_(#,##0.0_);\(#,##0.0\);_(&quot;-&quot;_)"/>
    <numFmt numFmtId="191" formatCode="_(###0_);\(###0\);_(###0_)"/>
    <numFmt numFmtId="192" formatCode="#,##0.0000_);[Red]\(#,##0.0000\)"/>
  </numFmts>
  <fonts count="80">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5"/>
      <color indexed="62"/>
      <name val="Calibri"/>
      <family val="2"/>
    </font>
    <font>
      <b/>
      <sz val="10"/>
      <name val="Arial"/>
      <family val="2"/>
    </font>
    <font>
      <b/>
      <sz val="13"/>
      <color indexed="62"/>
      <name val="Calibri"/>
      <family val="2"/>
    </font>
    <font>
      <b/>
      <sz val="9"/>
      <name val="Arial"/>
      <family val="2"/>
    </font>
    <font>
      <b/>
      <sz val="11"/>
      <color indexed="62"/>
      <name val="Calibri"/>
      <family val="2"/>
    </font>
    <font>
      <b/>
      <sz val="8"/>
      <name val="Arial"/>
      <family val="2"/>
    </font>
    <font>
      <b/>
      <sz val="8.5"/>
      <name val="Univers 65"/>
      <family val="2"/>
    </font>
    <font>
      <u/>
      <sz val="10"/>
      <color indexed="12"/>
      <name val="Arial"/>
      <family val="2"/>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amily val="2"/>
    </font>
    <font>
      <b/>
      <sz val="9"/>
      <name val="Palatino"/>
      <family val="1"/>
    </font>
    <font>
      <sz val="7"/>
      <name val="Palatino"/>
      <family val="1"/>
    </font>
    <font>
      <sz val="12"/>
      <name val="Palatino"/>
      <family val="1"/>
    </font>
    <font>
      <sz val="11"/>
      <name val="Helvetica-Black"/>
      <family val="2"/>
    </font>
    <font>
      <sz val="12"/>
      <color indexed="12"/>
      <name val="Arial MT"/>
    </font>
    <font>
      <b/>
      <u/>
      <sz val="9.5"/>
      <color indexed="56"/>
      <name val="Arial"/>
      <family val="2"/>
    </font>
    <font>
      <u/>
      <sz val="8"/>
      <color indexed="56"/>
      <name val="Arial"/>
      <family val="2"/>
    </font>
    <font>
      <sz val="11"/>
      <color indexed="10"/>
      <name val="Calibri"/>
      <family val="2"/>
    </font>
    <font>
      <sz val="10"/>
      <color rgb="FF000000"/>
      <name val="Calibri"/>
      <family val="2"/>
      <scheme val="minor"/>
    </font>
    <font>
      <b/>
      <sz val="10"/>
      <color rgb="FF000000"/>
      <name val="Calibri"/>
      <family val="2"/>
      <scheme val="minor"/>
    </font>
    <font>
      <i/>
      <sz val="10"/>
      <color theme="1"/>
      <name val="Calibri"/>
      <family val="2"/>
      <scheme val="minor"/>
    </font>
    <font>
      <b/>
      <u/>
      <sz val="10"/>
      <color theme="1"/>
      <name val="Calibri"/>
      <family val="2"/>
      <scheme val="minor"/>
    </font>
    <font>
      <sz val="10"/>
      <color rgb="FFFF0000"/>
      <name val="Calibri"/>
      <family val="2"/>
      <scheme val="minor"/>
    </font>
  </fonts>
  <fills count="45">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6"/>
        <bgColor indexed="11"/>
      </patternFill>
    </fill>
    <fill>
      <patternFill patternType="solid">
        <fgColor theme="9"/>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indexed="22"/>
        <bgColor indexed="64"/>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44"/>
        <bgColor indexed="64"/>
      </patternFill>
    </fill>
    <fill>
      <patternFill patternType="solid">
        <fgColor indexed="26"/>
        <bgColor indexed="64"/>
      </patternFill>
    </fill>
    <fill>
      <patternFill patternType="mediumGray">
        <fgColor indexed="22"/>
      </patternFill>
    </fill>
    <fill>
      <patternFill patternType="solid">
        <fgColor indexed="8"/>
        <bgColor indexed="64"/>
      </patternFill>
    </fill>
  </fills>
  <borders count="4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theme="0"/>
      </left>
      <right/>
      <top/>
      <bottom style="thin">
        <color theme="0"/>
      </bottom>
      <diagonal/>
    </border>
    <border>
      <left style="thin">
        <color indexed="64"/>
      </left>
      <right style="thin">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auto="1"/>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331">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 fillId="0" borderId="0"/>
    <xf numFmtId="0" fontId="15" fillId="0" borderId="0"/>
    <xf numFmtId="9" fontId="15" fillId="0" borderId="0" applyFont="0" applyFill="0" applyBorder="0" applyAlignment="0" applyProtection="0"/>
    <xf numFmtId="0" fontId="8" fillId="0" borderId="0"/>
    <xf numFmtId="0" fontId="8" fillId="0" borderId="0"/>
    <xf numFmtId="178" fontId="26" fillId="0" borderId="0"/>
    <xf numFmtId="178" fontId="26" fillId="0" borderId="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27" fillId="18"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8" fillId="18" borderId="0" applyNumberFormat="0" applyBorder="0" applyAlignment="0" applyProtection="0"/>
    <xf numFmtId="0" fontId="28" fillId="17"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7" fillId="23" borderId="0" applyNumberFormat="0" applyBorder="0" applyAlignment="0" applyProtection="0"/>
    <xf numFmtId="0" fontId="27" fillId="27"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7" fillId="21" borderId="0" applyNumberFormat="0" applyBorder="0" applyAlignment="0" applyProtection="0"/>
    <xf numFmtId="0" fontId="27" fillId="24" borderId="0" applyNumberFormat="0" applyBorder="0" applyAlignment="0" applyProtection="0"/>
    <xf numFmtId="0" fontId="28" fillId="24" borderId="0" applyNumberFormat="0" applyBorder="0" applyAlignment="0" applyProtection="0"/>
    <xf numFmtId="0" fontId="28" fillId="29" borderId="0" applyNumberFormat="0" applyBorder="0" applyAlignment="0" applyProtection="0"/>
    <xf numFmtId="0" fontId="27" fillId="30"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31"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29" fillId="0" borderId="0"/>
    <xf numFmtId="179" fontId="30" fillId="0" borderId="0" applyFont="0" applyFill="0" applyBorder="0" applyAlignment="0" applyProtection="0"/>
    <xf numFmtId="0" fontId="31" fillId="33" borderId="0" applyNumberFormat="0" applyBorder="0" applyAlignment="0" applyProtection="0"/>
    <xf numFmtId="0" fontId="32" fillId="0" borderId="0" applyNumberFormat="0" applyFill="0" applyBorder="0" applyAlignment="0"/>
    <xf numFmtId="180" fontId="8" fillId="34" borderId="0" applyNumberFormat="0" applyFont="0" applyBorder="0" applyAlignment="0">
      <alignment horizontal="right"/>
    </xf>
    <xf numFmtId="180" fontId="8" fillId="34" borderId="0" applyNumberFormat="0" applyFont="0" applyBorder="0" applyAlignment="0">
      <alignment horizontal="right"/>
    </xf>
    <xf numFmtId="0" fontId="33" fillId="0" borderId="0" applyNumberFormat="0" applyFill="0" applyBorder="0" applyAlignment="0">
      <protection locked="0"/>
    </xf>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180" fontId="8" fillId="0" borderId="0" applyFont="0" applyFill="0" applyBorder="0" applyAlignment="0" applyProtection="0"/>
    <xf numFmtId="0" fontId="36" fillId="0" borderId="0" applyFont="0" applyFill="0" applyBorder="0" applyAlignment="0" applyProtection="0"/>
    <xf numFmtId="0" fontId="8" fillId="0" borderId="0" applyFont="0" applyFill="0" applyBorder="0" applyAlignment="0" applyProtection="0"/>
    <xf numFmtId="165" fontId="27" fillId="0" borderId="0" applyFont="0" applyFill="0" applyBorder="0" applyAlignment="0" applyProtection="0"/>
    <xf numFmtId="165" fontId="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3" fontId="37"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79" fontId="8" fillId="0" borderId="0" applyFont="0" applyFill="0" applyBorder="0" applyAlignment="0" applyProtection="0"/>
    <xf numFmtId="181" fontId="8" fillId="0" borderId="0" applyFont="0" applyFill="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182" fontId="27" fillId="0" borderId="0" applyFont="0" applyFill="0" applyBorder="0" applyAlignment="0" applyProtection="0"/>
    <xf numFmtId="0" fontId="39" fillId="0" borderId="0" applyNumberFormat="0" applyFill="0" applyBorder="0" applyAlignment="0" applyProtection="0"/>
    <xf numFmtId="183" fontId="8" fillId="0" borderId="0" applyFont="0" applyFill="0" applyBorder="0" applyAlignment="0" applyProtection="0"/>
    <xf numFmtId="0" fontId="40" fillId="0" borderId="0"/>
    <xf numFmtId="0" fontId="41" fillId="0" borderId="0"/>
    <xf numFmtId="0" fontId="42" fillId="39" borderId="0" applyNumberFormat="0" applyBorder="0" applyAlignment="0" applyProtection="0"/>
    <xf numFmtId="0" fontId="43" fillId="0" borderId="29" applyNumberFormat="0" applyFill="0" applyAlignment="0" applyProtection="0"/>
    <xf numFmtId="0" fontId="44" fillId="0" borderId="0" applyFill="0" applyBorder="0">
      <alignment vertical="center"/>
    </xf>
    <xf numFmtId="0" fontId="45" fillId="0" borderId="30" applyNumberFormat="0" applyFill="0" applyAlignment="0" applyProtection="0"/>
    <xf numFmtId="0" fontId="46" fillId="0" borderId="0" applyFill="0" applyBorder="0">
      <alignment vertical="center"/>
    </xf>
    <xf numFmtId="0" fontId="47" fillId="0" borderId="31" applyNumberFormat="0" applyFill="0" applyAlignment="0" applyProtection="0"/>
    <xf numFmtId="0" fontId="47" fillId="0" borderId="31" applyNumberFormat="0" applyFill="0" applyAlignment="0" applyProtection="0"/>
    <xf numFmtId="0" fontId="48" fillId="0" borderId="0" applyFill="0" applyBorder="0">
      <alignment vertical="center"/>
    </xf>
    <xf numFmtId="0" fontId="47" fillId="0" borderId="0" applyNumberFormat="0" applyFill="0" applyBorder="0" applyAlignment="0" applyProtection="0"/>
    <xf numFmtId="0" fontId="26" fillId="0" borderId="0" applyFill="0" applyBorder="0">
      <alignment vertical="center"/>
    </xf>
    <xf numFmtId="171" fontId="49" fillId="0" borderId="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Fill="0" applyBorder="0">
      <alignment horizontal="center" vertical="center"/>
      <protection locked="0"/>
    </xf>
    <xf numFmtId="0" fontId="53" fillId="0" borderId="0" applyFill="0" applyBorder="0">
      <alignment horizontal="left" vertical="center"/>
      <protection locked="0"/>
    </xf>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180" fontId="8" fillId="40" borderId="0" applyFont="0" applyBorder="0" applyAlignment="0">
      <alignment horizontal="right"/>
      <protection locked="0"/>
    </xf>
    <xf numFmtId="180" fontId="8" fillId="40" borderId="0" applyFont="0" applyBorder="0" applyAlignment="0">
      <alignment horizontal="right"/>
      <protection locked="0"/>
    </xf>
    <xf numFmtId="180" fontId="8" fillId="41" borderId="0" applyFont="0" applyBorder="0" applyAlignment="0">
      <alignment horizontal="right"/>
      <protection locked="0"/>
    </xf>
    <xf numFmtId="180" fontId="8" fillId="41" borderId="0" applyFont="0" applyBorder="0" applyAlignment="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0" fontId="26" fillId="34" borderId="0"/>
    <xf numFmtId="0" fontId="55" fillId="0" borderId="32" applyNumberFormat="0" applyFill="0" applyAlignment="0" applyProtection="0"/>
    <xf numFmtId="184" fontId="56" fillId="0" borderId="0"/>
    <xf numFmtId="0" fontId="57" fillId="0" borderId="0" applyFill="0" applyBorder="0">
      <alignment horizontal="left" vertical="center"/>
    </xf>
    <xf numFmtId="0" fontId="58" fillId="18" borderId="0" applyNumberFormat="0" applyBorder="0" applyAlignment="0" applyProtection="0"/>
    <xf numFmtId="185" fontId="59" fillId="0" borderId="0"/>
    <xf numFmtId="0" fontId="8" fillId="0" borderId="0"/>
    <xf numFmtId="0" fontId="3" fillId="0" borderId="0"/>
    <xf numFmtId="0" fontId="8" fillId="0" borderId="0" applyFill="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applyFill="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8" fillId="0" borderId="0"/>
    <xf numFmtId="0" fontId="3" fillId="0" borderId="0"/>
    <xf numFmtId="0" fontId="3" fillId="0" borderId="0"/>
    <xf numFmtId="0" fontId="3" fillId="0" borderId="0"/>
    <xf numFmtId="0" fontId="8" fillId="0" borderId="0"/>
    <xf numFmtId="0" fontId="30" fillId="0" borderId="0"/>
    <xf numFmtId="0" fontId="1" fillId="0" borderId="0"/>
    <xf numFmtId="0" fontId="1" fillId="0" borderId="0"/>
    <xf numFmtId="0" fontId="8" fillId="0" borderId="0" applyFill="0"/>
    <xf numFmtId="0" fontId="3" fillId="0" borderId="0"/>
    <xf numFmtId="0" fontId="3" fillId="0" borderId="0"/>
    <xf numFmtId="0" fontId="8" fillId="0" borderId="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186" fontId="8" fillId="0" borderId="0" applyFill="0" applyBorder="0"/>
    <xf numFmtId="171" fontId="61" fillId="0" borderId="0"/>
    <xf numFmtId="0" fontId="48" fillId="0" borderId="0" applyFill="0" applyBorder="0">
      <alignment vertical="center"/>
    </xf>
    <xf numFmtId="0" fontId="36" fillId="0" borderId="0" applyNumberFormat="0" applyFont="0" applyFill="0" applyBorder="0" applyAlignment="0" applyProtection="0">
      <alignment horizontal="left"/>
    </xf>
    <xf numFmtId="15" fontId="36" fillId="0" borderId="0" applyFont="0" applyFill="0" applyBorder="0" applyAlignment="0" applyProtection="0"/>
    <xf numFmtId="4" fontId="36" fillId="0" borderId="0" applyFont="0" applyFill="0" applyBorder="0" applyAlignment="0" applyProtection="0"/>
    <xf numFmtId="187" fontId="62" fillId="0" borderId="9"/>
    <xf numFmtId="0" fontId="63" fillId="0" borderId="35">
      <alignment horizontal="center"/>
    </xf>
    <xf numFmtId="3" fontId="36" fillId="0" borderId="0" applyFont="0" applyFill="0" applyBorder="0" applyAlignment="0" applyProtection="0"/>
    <xf numFmtId="0" fontId="36" fillId="43" borderId="0" applyNumberFormat="0" applyFont="0" applyBorder="0" applyAlignment="0" applyProtection="0"/>
    <xf numFmtId="188" fontId="8" fillId="0" borderId="0"/>
    <xf numFmtId="189" fontId="26" fillId="0" borderId="0" applyFill="0" applyBorder="0">
      <alignment horizontal="right" vertical="center"/>
    </xf>
    <xf numFmtId="190" fontId="26" fillId="0" borderId="0" applyFill="0" applyBorder="0">
      <alignment horizontal="right" vertical="center"/>
    </xf>
    <xf numFmtId="191" fontId="26" fillId="0" borderId="0" applyFill="0" applyBorder="0">
      <alignment horizontal="right" vertical="center"/>
    </xf>
    <xf numFmtId="0" fontId="8" fillId="15" borderId="0" applyNumberFormat="0" applyFont="0" applyBorder="0" applyAlignment="0" applyProtection="0"/>
    <xf numFmtId="0" fontId="8" fillId="13" borderId="0" applyNumberFormat="0" applyFont="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64" fillId="0" borderId="0" applyNumberFormat="0" applyFill="0" applyBorder="0" applyAlignment="0" applyProtection="0"/>
    <xf numFmtId="0" fontId="8" fillId="0" borderId="0"/>
    <xf numFmtId="0" fontId="8" fillId="0" borderId="0"/>
    <xf numFmtId="0" fontId="57" fillId="0" borderId="0"/>
    <xf numFmtId="0" fontId="65" fillId="0" borderId="0"/>
    <xf numFmtId="15" fontId="8" fillId="0" borderId="0"/>
    <xf numFmtId="10" fontId="8" fillId="0" borderId="0"/>
    <xf numFmtId="0" fontId="66" fillId="44" borderId="19" applyBorder="0" applyProtection="0">
      <alignment horizontal="centerContinuous" vertical="center"/>
    </xf>
    <xf numFmtId="0" fontId="66" fillId="44" borderId="19" applyBorder="0" applyProtection="0">
      <alignment horizontal="centerContinuous" vertical="center"/>
    </xf>
    <xf numFmtId="0" fontId="67" fillId="0" borderId="0" applyBorder="0" applyProtection="0">
      <alignment vertical="center"/>
    </xf>
    <xf numFmtId="0" fontId="68" fillId="0" borderId="0">
      <alignment horizontal="left"/>
    </xf>
    <xf numFmtId="0" fontId="68" fillId="0" borderId="16" applyFill="0" applyBorder="0" applyProtection="0">
      <alignment horizontal="left" vertical="top"/>
    </xf>
    <xf numFmtId="49" fontId="8" fillId="0" borderId="0" applyFont="0" applyFill="0" applyBorder="0" applyAlignment="0" applyProtection="0"/>
    <xf numFmtId="0" fontId="69" fillId="0" borderId="0"/>
    <xf numFmtId="0" fontId="70" fillId="0" borderId="0"/>
    <xf numFmtId="0" fontId="70" fillId="0" borderId="0"/>
    <xf numFmtId="0" fontId="69" fillId="0" borderId="0"/>
    <xf numFmtId="184" fontId="71" fillId="0" borderId="0"/>
    <xf numFmtId="0" fontId="64" fillId="0" borderId="0" applyNumberFormat="0" applyFill="0" applyBorder="0" applyAlignment="0" applyProtection="0"/>
    <xf numFmtId="0" fontId="72" fillId="0" borderId="0" applyFill="0" applyBorder="0">
      <alignment horizontal="left" vertical="center"/>
      <protection locked="0"/>
    </xf>
    <xf numFmtId="0" fontId="69" fillId="0" borderId="0"/>
    <xf numFmtId="0" fontId="73" fillId="0" borderId="0" applyFill="0" applyBorder="0">
      <alignment horizontal="left" vertical="center"/>
      <protection locked="0"/>
    </xf>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74" fillId="0" borderId="0" applyNumberFormat="0" applyFill="0" applyBorder="0" applyAlignment="0" applyProtection="0"/>
    <xf numFmtId="192" fontId="8" fillId="0" borderId="19" applyBorder="0" applyProtection="0">
      <alignment horizontal="right"/>
    </xf>
    <xf numFmtId="192" fontId="8" fillId="0" borderId="19" applyBorder="0" applyProtection="0">
      <alignment horizontal="right"/>
    </xf>
  </cellStyleXfs>
  <cellXfs count="612">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8"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0" fontId="23" fillId="7" borderId="0" xfId="0" applyNumberFormat="1" applyFont="1" applyFill="1" applyAlignment="1">
      <alignment vertical="center"/>
    </xf>
    <xf numFmtId="0" fontId="23"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0" fontId="11" fillId="0" borderId="9" xfId="0" applyNumberFormat="1" applyFont="1" applyBorder="1" applyAlignment="1">
      <alignment vertical="center"/>
    </xf>
    <xf numFmtId="170" fontId="11" fillId="0" borderId="10" xfId="0" applyNumberFormat="1" applyFont="1" applyBorder="1" applyAlignment="1">
      <alignment vertical="center"/>
    </xf>
    <xf numFmtId="0" fontId="17" fillId="5" borderId="7" xfId="0" quotePrefix="1" applyFont="1" applyFill="1" applyBorder="1" applyAlignment="1">
      <alignment horizontal="center" vertical="center"/>
    </xf>
    <xf numFmtId="170"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8"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2" borderId="13" xfId="0" applyFont="1" applyFill="1" applyBorder="1" applyAlignment="1">
      <alignment horizontal="righ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8" fillId="4" borderId="11"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13" xfId="0" applyFont="1" applyFill="1" applyBorder="1" applyAlignment="1">
      <alignment horizontal="center" vertical="center" wrapText="1"/>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8" xfId="0" applyNumberFormat="1" applyFont="1" applyFill="1" applyBorder="1" applyAlignment="1">
      <alignment vertical="center" wrapText="1"/>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1" fillId="2" borderId="8" xfId="0"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0" fontId="18" fillId="0" borderId="13" xfId="1" applyNumberFormat="1" applyFont="1" applyBorder="1" applyAlignment="1">
      <alignment vertical="center"/>
    </xf>
    <xf numFmtId="169" fontId="11"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168" fontId="11" fillId="0" borderId="0" xfId="0" applyNumberFormat="1" applyFont="1" applyAlignment="1">
      <alignment vertical="center"/>
    </xf>
    <xf numFmtId="0" fontId="0" fillId="4" borderId="25" xfId="0" applyFont="1" applyFill="1" applyBorder="1" applyAlignment="1">
      <alignment horizontal="left"/>
    </xf>
    <xf numFmtId="0" fontId="0" fillId="4" borderId="2" xfId="0" applyFont="1" applyFill="1" applyBorder="1" applyAlignment="1">
      <alignment horizontal="left"/>
    </xf>
    <xf numFmtId="0" fontId="16" fillId="9" borderId="0" xfId="0" applyFont="1" applyFill="1" applyAlignment="1">
      <alignment vertical="center"/>
    </xf>
    <xf numFmtId="167" fontId="18" fillId="5" borderId="23" xfId="0" applyNumberFormat="1" applyFont="1" applyFill="1" applyBorder="1" applyAlignment="1">
      <alignment horizontal="center"/>
    </xf>
    <xf numFmtId="170" fontId="17" fillId="5" borderId="11" xfId="0" applyNumberFormat="1" applyFont="1" applyFill="1" applyBorder="1" applyAlignment="1">
      <alignment horizontal="left"/>
    </xf>
    <xf numFmtId="170" fontId="17" fillId="5" borderId="12" xfId="0" applyNumberFormat="1" applyFont="1" applyFill="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10" xfId="0" applyFont="1" applyBorder="1" applyAlignment="1">
      <alignment horizontal="left"/>
    </xf>
    <xf numFmtId="169" fontId="18" fillId="0" borderId="7" xfId="0" applyNumberFormat="1" applyFont="1" applyBorder="1" applyAlignment="1">
      <alignment vertical="center"/>
    </xf>
    <xf numFmtId="169" fontId="18"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0" fontId="18" fillId="0" borderId="11" xfId="0" applyFont="1" applyBorder="1" applyAlignment="1">
      <alignment vertical="center"/>
    </xf>
    <xf numFmtId="167" fontId="11" fillId="0" borderId="14" xfId="0" applyNumberFormat="1" applyFont="1" applyFill="1" applyBorder="1" applyAlignment="1">
      <alignment vertical="center" wrapText="1"/>
    </xf>
    <xf numFmtId="167" fontId="11" fillId="0" borderId="15" xfId="0" applyNumberFormat="1" applyFont="1" applyFill="1" applyBorder="1" applyAlignment="1">
      <alignment vertical="center" wrapText="1"/>
    </xf>
    <xf numFmtId="167" fontId="11" fillId="0" borderId="21" xfId="0" applyNumberFormat="1" applyFont="1" applyFill="1" applyBorder="1" applyAlignment="1">
      <alignment vertical="center" wrapText="1"/>
    </xf>
    <xf numFmtId="168" fontId="11" fillId="0" borderId="14" xfId="0" applyNumberFormat="1" applyFont="1" applyBorder="1" applyAlignment="1">
      <alignment horizontal="center" vertical="center"/>
    </xf>
    <xf numFmtId="167" fontId="11" fillId="0" borderId="15" xfId="0" applyNumberFormat="1" applyFont="1" applyBorder="1" applyAlignment="1">
      <alignment horizontal="center" vertical="center"/>
    </xf>
    <xf numFmtId="167" fontId="11" fillId="0" borderId="21" xfId="0" applyNumberFormat="1" applyFont="1" applyFill="1" applyBorder="1" applyAlignment="1">
      <alignment horizontal="center" vertical="center"/>
    </xf>
    <xf numFmtId="168" fontId="11" fillId="0" borderId="18" xfId="0" applyNumberFormat="1" applyFont="1" applyBorder="1" applyAlignment="1">
      <alignment horizontal="center" vertical="center"/>
    </xf>
    <xf numFmtId="4" fontId="11" fillId="0" borderId="0" xfId="0" applyNumberFormat="1" applyFont="1" applyAlignment="1">
      <alignment vertical="center"/>
    </xf>
    <xf numFmtId="10" fontId="11" fillId="0" borderId="0" xfId="1" applyNumberFormat="1" applyFont="1" applyAlignment="1">
      <alignment vertical="center"/>
    </xf>
    <xf numFmtId="170"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7" fillId="5" borderId="11" xfId="0" applyNumberFormat="1" applyFont="1" applyFill="1" applyBorder="1" applyAlignment="1">
      <alignment vertical="center"/>
    </xf>
    <xf numFmtId="170" fontId="17"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9" fontId="11" fillId="2" borderId="13" xfId="1" applyFont="1" applyFill="1" applyBorder="1" applyAlignment="1">
      <alignment horizontal="center" vertical="center"/>
    </xf>
    <xf numFmtId="9" fontId="11" fillId="0" borderId="7" xfId="1" applyFont="1" applyBorder="1" applyAlignment="1">
      <alignment horizontal="left" vertical="center" wrapText="1"/>
    </xf>
    <xf numFmtId="0" fontId="11" fillId="0" borderId="0" xfId="0" applyFont="1" applyBorder="1" applyAlignment="1">
      <alignment horizontal="right" vertical="center"/>
    </xf>
    <xf numFmtId="0" fontId="11" fillId="9" borderId="0" xfId="0" applyFont="1" applyFill="1"/>
    <xf numFmtId="170" fontId="11" fillId="9" borderId="0" xfId="0" applyNumberFormat="1" applyFont="1" applyFill="1"/>
    <xf numFmtId="0" fontId="11" fillId="9" borderId="0" xfId="0" applyFont="1" applyFill="1" applyAlignment="1">
      <alignment vertical="center"/>
    </xf>
    <xf numFmtId="0" fontId="11" fillId="9" borderId="14" xfId="0" applyFont="1" applyFill="1" applyBorder="1"/>
    <xf numFmtId="0" fontId="11" fillId="9" borderId="15" xfId="0" applyFont="1" applyFill="1" applyBorder="1"/>
    <xf numFmtId="10" fontId="11" fillId="9" borderId="14" xfId="0" applyNumberFormat="1" applyFont="1" applyFill="1" applyBorder="1" applyAlignment="1">
      <alignment horizontal="center"/>
    </xf>
    <xf numFmtId="10" fontId="11" fillId="9" borderId="8" xfId="0" applyNumberFormat="1" applyFont="1" applyFill="1" applyBorder="1" applyAlignment="1">
      <alignment horizontal="center"/>
    </xf>
    <xf numFmtId="0" fontId="11" fillId="9" borderId="16" xfId="0" applyFont="1" applyFill="1" applyBorder="1"/>
    <xf numFmtId="0" fontId="11" fillId="9" borderId="0" xfId="0" applyFont="1" applyFill="1" applyBorder="1"/>
    <xf numFmtId="10" fontId="11" fillId="9" borderId="16" xfId="0" applyNumberFormat="1" applyFont="1" applyFill="1" applyBorder="1" applyAlignment="1">
      <alignment horizontal="center"/>
    </xf>
    <xf numFmtId="10" fontId="11" fillId="9" borderId="9" xfId="0" applyNumberFormat="1" applyFont="1" applyFill="1" applyBorder="1" applyAlignment="1">
      <alignment horizontal="center"/>
    </xf>
    <xf numFmtId="0" fontId="11" fillId="9" borderId="18" xfId="0" applyFont="1" applyFill="1" applyBorder="1"/>
    <xf numFmtId="0" fontId="11" fillId="9" borderId="19" xfId="0" applyFont="1" applyFill="1" applyBorder="1"/>
    <xf numFmtId="10" fontId="11" fillId="9" borderId="18" xfId="0" applyNumberFormat="1" applyFont="1" applyFill="1" applyBorder="1" applyAlignment="1">
      <alignment horizontal="center"/>
    </xf>
    <xf numFmtId="10" fontId="11" fillId="9" borderId="10" xfId="0" applyNumberFormat="1" applyFont="1" applyFill="1" applyBorder="1" applyAlignment="1">
      <alignment horizontal="center"/>
    </xf>
    <xf numFmtId="0" fontId="11" fillId="9" borderId="17" xfId="0" applyFont="1" applyFill="1" applyBorder="1"/>
    <xf numFmtId="0" fontId="11" fillId="9" borderId="9" xfId="0" applyFont="1" applyFill="1" applyBorder="1" applyAlignment="1">
      <alignment horizontal="center"/>
    </xf>
    <xf numFmtId="170" fontId="11" fillId="9" borderId="8" xfId="3" applyNumberFormat="1" applyFont="1" applyFill="1" applyBorder="1" applyAlignment="1">
      <alignment horizontal="center" wrapText="1"/>
    </xf>
    <xf numFmtId="173" fontId="11" fillId="9" borderId="21" xfId="3" applyNumberFormat="1" applyFont="1" applyFill="1" applyBorder="1" applyAlignment="1">
      <alignment horizontal="right" wrapText="1"/>
    </xf>
    <xf numFmtId="10" fontId="11" fillId="9" borderId="21" xfId="1" applyNumberFormat="1" applyFont="1" applyFill="1" applyBorder="1" applyAlignment="1">
      <alignment horizontal="right" wrapText="1"/>
    </xf>
    <xf numFmtId="10" fontId="11" fillId="9" borderId="8" xfId="1" applyNumberFormat="1" applyFont="1" applyFill="1" applyBorder="1" applyAlignment="1">
      <alignment horizontal="right" wrapText="1"/>
    </xf>
    <xf numFmtId="170" fontId="11" fillId="9" borderId="9" xfId="3" applyNumberFormat="1" applyFont="1" applyFill="1" applyBorder="1" applyAlignment="1">
      <alignment horizontal="center" wrapText="1"/>
    </xf>
    <xf numFmtId="173" fontId="11" fillId="9" borderId="17" xfId="3" applyNumberFormat="1" applyFont="1" applyFill="1" applyBorder="1" applyAlignment="1">
      <alignment horizontal="right" wrapText="1"/>
    </xf>
    <xf numFmtId="10" fontId="11" fillId="9" borderId="17" xfId="1" applyNumberFormat="1" applyFont="1" applyFill="1" applyBorder="1" applyAlignment="1">
      <alignment horizontal="right" wrapText="1"/>
    </xf>
    <xf numFmtId="10" fontId="11" fillId="9" borderId="9" xfId="1" applyNumberFormat="1" applyFont="1" applyFill="1" applyBorder="1" applyAlignment="1">
      <alignment horizontal="right" wrapText="1"/>
    </xf>
    <xf numFmtId="0" fontId="11" fillId="9" borderId="20" xfId="0" applyFont="1" applyFill="1" applyBorder="1"/>
    <xf numFmtId="0" fontId="11" fillId="9" borderId="10" xfId="0" applyFont="1" applyFill="1" applyBorder="1" applyAlignment="1">
      <alignment horizontal="center"/>
    </xf>
    <xf numFmtId="9" fontId="11" fillId="9" borderId="20" xfId="1" applyFont="1" applyFill="1" applyBorder="1" applyAlignment="1">
      <alignment horizontal="center"/>
    </xf>
    <xf numFmtId="170" fontId="18" fillId="9" borderId="10" xfId="3" applyNumberFormat="1" applyFont="1" applyFill="1" applyBorder="1" applyAlignment="1">
      <alignment horizontal="center" wrapText="1"/>
    </xf>
    <xf numFmtId="173" fontId="11" fillId="9" borderId="20" xfId="3" applyNumberFormat="1" applyFont="1" applyFill="1" applyBorder="1" applyAlignment="1">
      <alignment horizontal="right" wrapText="1"/>
    </xf>
    <xf numFmtId="10" fontId="11" fillId="9" borderId="20" xfId="1" applyNumberFormat="1" applyFont="1" applyFill="1" applyBorder="1" applyAlignment="1">
      <alignment horizontal="right" wrapText="1"/>
    </xf>
    <xf numFmtId="10" fontId="11" fillId="9" borderId="10" xfId="1" applyNumberFormat="1" applyFont="1" applyFill="1" applyBorder="1" applyAlignment="1">
      <alignment horizontal="right" wrapText="1"/>
    </xf>
    <xf numFmtId="170" fontId="18" fillId="3" borderId="11" xfId="0" applyNumberFormat="1" applyFont="1" applyFill="1" applyBorder="1"/>
    <xf numFmtId="170" fontId="18" fillId="3" borderId="12" xfId="0" applyNumberFormat="1" applyFont="1" applyFill="1" applyBorder="1"/>
    <xf numFmtId="173" fontId="18" fillId="0" borderId="0" xfId="3" applyNumberFormat="1" applyFont="1" applyBorder="1" applyAlignment="1">
      <alignment horizontal="center" wrapText="1"/>
    </xf>
    <xf numFmtId="173" fontId="18" fillId="3" borderId="26" xfId="3" applyNumberFormat="1" applyFont="1" applyFill="1" applyBorder="1" applyAlignment="1">
      <alignment horizontal="right" wrapText="1"/>
    </xf>
    <xf numFmtId="9" fontId="18" fillId="3" borderId="26" xfId="1" applyFont="1" applyFill="1" applyBorder="1" applyAlignment="1">
      <alignment horizontal="right" wrapText="1"/>
    </xf>
    <xf numFmtId="173" fontId="18" fillId="3" borderId="23" xfId="3" applyNumberFormat="1" applyFont="1" applyFill="1" applyBorder="1" applyAlignment="1">
      <alignment horizontal="right" wrapText="1"/>
    </xf>
    <xf numFmtId="9" fontId="18" fillId="3" borderId="23" xfId="1" applyFont="1" applyFill="1" applyBorder="1" applyAlignment="1">
      <alignment horizontal="right" wrapText="1"/>
    </xf>
    <xf numFmtId="0" fontId="11" fillId="9" borderId="21" xfId="0" applyFont="1" applyFill="1" applyBorder="1"/>
    <xf numFmtId="0" fontId="18" fillId="5" borderId="11" xfId="0" applyFont="1" applyFill="1" applyBorder="1"/>
    <xf numFmtId="170" fontId="11" fillId="9" borderId="8" xfId="1" applyNumberFormat="1" applyFont="1" applyFill="1" applyBorder="1" applyAlignment="1">
      <alignment horizontal="center"/>
    </xf>
    <xf numFmtId="170" fontId="11" fillId="9" borderId="9" xfId="1" applyNumberFormat="1" applyFont="1" applyFill="1" applyBorder="1" applyAlignment="1">
      <alignment horizontal="center"/>
    </xf>
    <xf numFmtId="170" fontId="11" fillId="9" borderId="10" xfId="1" applyNumberFormat="1" applyFont="1" applyFill="1" applyBorder="1" applyAlignment="1">
      <alignment horizontal="center"/>
    </xf>
    <xf numFmtId="0" fontId="11" fillId="5" borderId="12" xfId="0" applyFont="1" applyFill="1" applyBorder="1"/>
    <xf numFmtId="0" fontId="75" fillId="9" borderId="14" xfId="0" applyFont="1" applyFill="1" applyBorder="1" applyAlignment="1">
      <alignment vertical="center"/>
    </xf>
    <xf numFmtId="0" fontId="75" fillId="9" borderId="8" xfId="0" applyFont="1" applyFill="1" applyBorder="1" applyAlignment="1">
      <alignment horizontal="center"/>
    </xf>
    <xf numFmtId="10" fontId="11" fillId="9" borderId="21" xfId="1" applyNumberFormat="1" applyFont="1" applyFill="1" applyBorder="1" applyAlignment="1">
      <alignment horizontal="center"/>
    </xf>
    <xf numFmtId="0" fontId="75" fillId="9" borderId="16" xfId="0" applyFont="1" applyFill="1" applyBorder="1" applyAlignment="1">
      <alignment vertical="center"/>
    </xf>
    <xf numFmtId="0" fontId="75" fillId="9" borderId="9" xfId="0" applyFont="1" applyFill="1" applyBorder="1" applyAlignment="1">
      <alignment horizontal="center"/>
    </xf>
    <xf numFmtId="10" fontId="11" fillId="9" borderId="17" xfId="1" applyNumberFormat="1" applyFont="1" applyFill="1" applyBorder="1" applyAlignment="1">
      <alignment horizontal="center"/>
    </xf>
    <xf numFmtId="0" fontId="75" fillId="9" borderId="18" xfId="0" applyFont="1" applyFill="1" applyBorder="1" applyAlignment="1">
      <alignment vertical="center"/>
    </xf>
    <xf numFmtId="0" fontId="75" fillId="9" borderId="10" xfId="0" applyFont="1" applyFill="1" applyBorder="1" applyAlignment="1">
      <alignment horizontal="center"/>
    </xf>
    <xf numFmtId="10" fontId="11" fillId="9" borderId="20" xfId="1" applyNumberFormat="1" applyFont="1" applyFill="1" applyBorder="1" applyAlignment="1">
      <alignment horizontal="center"/>
    </xf>
    <xf numFmtId="0" fontId="11" fillId="0" borderId="0" xfId="0" applyFont="1"/>
    <xf numFmtId="169" fontId="11" fillId="9" borderId="0" xfId="0" applyNumberFormat="1" applyFont="1" applyFill="1" applyAlignment="1">
      <alignment horizontal="center"/>
    </xf>
    <xf numFmtId="169" fontId="11" fillId="9" borderId="0" xfId="0" applyNumberFormat="1" applyFont="1" applyFill="1" applyBorder="1" applyAlignment="1">
      <alignment horizontal="center"/>
    </xf>
    <xf numFmtId="0" fontId="18" fillId="3" borderId="7" xfId="0" applyFont="1" applyFill="1" applyBorder="1" applyAlignment="1">
      <alignment horizontal="center" vertical="center" wrapText="1"/>
    </xf>
    <xf numFmtId="0" fontId="18" fillId="3" borderId="0" xfId="0" applyFont="1" applyFill="1"/>
    <xf numFmtId="0" fontId="11" fillId="3" borderId="0" xfId="0" applyFont="1" applyFill="1"/>
    <xf numFmtId="170" fontId="11" fillId="3" borderId="0" xfId="0" applyNumberFormat="1" applyFont="1" applyFill="1"/>
    <xf numFmtId="0" fontId="18" fillId="12" borderId="0" xfId="0" applyFont="1" applyFill="1"/>
    <xf numFmtId="0" fontId="11" fillId="12" borderId="0" xfId="0" applyFont="1" applyFill="1"/>
    <xf numFmtId="170" fontId="11" fillId="12" borderId="0" xfId="0" applyNumberFormat="1" applyFont="1" applyFill="1"/>
    <xf numFmtId="0" fontId="18" fillId="3" borderId="11" xfId="0" applyFont="1" applyFill="1" applyBorder="1" applyAlignment="1">
      <alignment horizontal="left" vertical="top"/>
    </xf>
    <xf numFmtId="0" fontId="18" fillId="3" borderId="12" xfId="0" applyFont="1" applyFill="1" applyBorder="1" applyAlignment="1">
      <alignment vertical="top" wrapText="1"/>
    </xf>
    <xf numFmtId="0" fontId="18" fillId="3" borderId="13" xfId="0" applyFont="1" applyFill="1" applyBorder="1" applyAlignment="1">
      <alignment vertical="top" wrapText="1"/>
    </xf>
    <xf numFmtId="0" fontId="18" fillId="3" borderId="21" xfId="0" applyFont="1" applyFill="1" applyBorder="1" applyAlignment="1">
      <alignment horizontal="center" vertical="top" wrapText="1"/>
    </xf>
    <xf numFmtId="0" fontId="18" fillId="3" borderId="12" xfId="0" applyFont="1" applyFill="1" applyBorder="1" applyAlignment="1">
      <alignment horizontal="center" vertical="top" wrapText="1"/>
    </xf>
    <xf numFmtId="0" fontId="18" fillId="3" borderId="13" xfId="0" applyFont="1" applyFill="1" applyBorder="1" applyAlignment="1">
      <alignment horizontal="center" vertical="top" wrapText="1"/>
    </xf>
    <xf numFmtId="170" fontId="18" fillId="3" borderId="11" xfId="0" quotePrefix="1" applyNumberFormat="1" applyFont="1" applyFill="1" applyBorder="1" applyAlignment="1">
      <alignment horizontal="center" vertical="center" wrapText="1"/>
    </xf>
    <xf numFmtId="170" fontId="18" fillId="3" borderId="12" xfId="0" quotePrefix="1" applyNumberFormat="1" applyFont="1" applyFill="1" applyBorder="1" applyAlignment="1">
      <alignment horizontal="center" vertical="center" wrapText="1"/>
    </xf>
    <xf numFmtId="170" fontId="18" fillId="3" borderId="7" xfId="0" applyNumberFormat="1" applyFont="1" applyFill="1" applyBorder="1" applyAlignment="1">
      <alignment horizontal="center" vertical="center" wrapText="1"/>
    </xf>
    <xf numFmtId="0" fontId="11" fillId="9" borderId="9" xfId="0" applyFont="1" applyFill="1" applyBorder="1" applyAlignment="1">
      <alignment horizontal="center" vertical="top"/>
    </xf>
    <xf numFmtId="9" fontId="11" fillId="9" borderId="17" xfId="1" applyFont="1" applyFill="1" applyBorder="1" applyAlignment="1">
      <alignment horizontal="center" vertical="top"/>
    </xf>
    <xf numFmtId="170" fontId="11" fillId="9" borderId="14" xfId="1" applyNumberFormat="1" applyFont="1" applyFill="1" applyBorder="1" applyAlignment="1">
      <alignment horizontal="right"/>
    </xf>
    <xf numFmtId="170" fontId="11" fillId="9" borderId="16" xfId="1" applyNumberFormat="1" applyFont="1" applyFill="1" applyBorder="1" applyAlignment="1">
      <alignment horizontal="right"/>
    </xf>
    <xf numFmtId="170" fontId="11" fillId="9" borderId="18" xfId="1" applyNumberFormat="1" applyFont="1" applyFill="1" applyBorder="1" applyAlignment="1">
      <alignment horizontal="right"/>
    </xf>
    <xf numFmtId="170" fontId="11" fillId="9" borderId="0" xfId="0" applyNumberFormat="1" applyFont="1" applyFill="1" applyAlignment="1">
      <alignment vertical="top"/>
    </xf>
    <xf numFmtId="0" fontId="11" fillId="9" borderId="0" xfId="0" applyFont="1" applyFill="1" applyAlignment="1">
      <alignment vertical="top"/>
    </xf>
    <xf numFmtId="0" fontId="18" fillId="3" borderId="13" xfId="0" applyFont="1" applyFill="1" applyBorder="1"/>
    <xf numFmtId="0" fontId="18" fillId="3" borderId="7" xfId="0" applyFont="1" applyFill="1" applyBorder="1" applyAlignment="1">
      <alignment horizontal="center"/>
    </xf>
    <xf numFmtId="0" fontId="18" fillId="3" borderId="13" xfId="0" applyFont="1" applyFill="1" applyBorder="1" applyAlignment="1">
      <alignment horizontal="center"/>
    </xf>
    <xf numFmtId="9" fontId="18" fillId="3" borderId="13" xfId="1" applyFont="1" applyFill="1" applyBorder="1" applyAlignment="1">
      <alignment horizontal="center"/>
    </xf>
    <xf numFmtId="0" fontId="18" fillId="3" borderId="11" xfId="0" applyFont="1" applyFill="1" applyBorder="1"/>
    <xf numFmtId="170" fontId="18" fillId="3" borderId="7" xfId="0" applyNumberFormat="1" applyFont="1" applyFill="1" applyBorder="1" applyAlignment="1">
      <alignment horizontal="center" vertical="top" wrapText="1"/>
    </xf>
    <xf numFmtId="170" fontId="18" fillId="3" borderId="8" xfId="0" applyNumberFormat="1" applyFont="1" applyFill="1" applyBorder="1" applyAlignment="1">
      <alignment horizontal="center" vertical="top" wrapText="1"/>
    </xf>
    <xf numFmtId="10" fontId="11" fillId="9" borderId="14" xfId="1" applyNumberFormat="1" applyFont="1" applyFill="1" applyBorder="1" applyAlignment="1">
      <alignment horizontal="right"/>
    </xf>
    <xf numFmtId="10" fontId="11" fillId="9" borderId="8" xfId="1" applyNumberFormat="1" applyFont="1" applyFill="1" applyBorder="1" applyAlignment="1">
      <alignment horizontal="right"/>
    </xf>
    <xf numFmtId="0" fontId="11" fillId="9" borderId="0" xfId="0" applyFont="1" applyFill="1" applyAlignment="1">
      <alignment horizontal="right"/>
    </xf>
    <xf numFmtId="10" fontId="11" fillId="9" borderId="16" xfId="1" applyNumberFormat="1" applyFont="1" applyFill="1" applyBorder="1" applyAlignment="1">
      <alignment horizontal="right"/>
    </xf>
    <xf numFmtId="10" fontId="11" fillId="9" borderId="9" xfId="1" applyNumberFormat="1" applyFont="1" applyFill="1" applyBorder="1" applyAlignment="1">
      <alignment horizontal="right"/>
    </xf>
    <xf numFmtId="10" fontId="11" fillId="9" borderId="18" xfId="1" applyNumberFormat="1" applyFont="1" applyFill="1" applyBorder="1" applyAlignment="1">
      <alignment horizontal="right"/>
    </xf>
    <xf numFmtId="10" fontId="11" fillId="9" borderId="10" xfId="1" applyNumberFormat="1" applyFont="1" applyFill="1" applyBorder="1" applyAlignment="1">
      <alignment horizontal="right"/>
    </xf>
    <xf numFmtId="170" fontId="11" fillId="9" borderId="15" xfId="0" applyNumberFormat="1" applyFont="1" applyFill="1" applyBorder="1" applyAlignment="1">
      <alignment horizontal="right"/>
    </xf>
    <xf numFmtId="170" fontId="11" fillId="10" borderId="14" xfId="0" applyNumberFormat="1" applyFont="1" applyFill="1" applyBorder="1" applyAlignment="1">
      <alignment horizontal="right"/>
    </xf>
    <xf numFmtId="9" fontId="11" fillId="9" borderId="8" xfId="1" applyFont="1" applyFill="1" applyBorder="1" applyAlignment="1">
      <alignment horizontal="right"/>
    </xf>
    <xf numFmtId="170" fontId="11" fillId="9" borderId="8" xfId="0" applyNumberFormat="1" applyFont="1" applyFill="1" applyBorder="1" applyAlignment="1">
      <alignment horizontal="right"/>
    </xf>
    <xf numFmtId="170" fontId="11" fillId="9" borderId="0" xfId="0" applyNumberFormat="1" applyFont="1" applyFill="1" applyBorder="1" applyAlignment="1">
      <alignment horizontal="right"/>
    </xf>
    <xf numFmtId="170" fontId="11" fillId="10" borderId="16" xfId="0" applyNumberFormat="1" applyFont="1" applyFill="1" applyBorder="1" applyAlignment="1">
      <alignment horizontal="right"/>
    </xf>
    <xf numFmtId="9" fontId="11" fillId="9" borderId="9" xfId="1" applyFont="1" applyFill="1" applyBorder="1" applyAlignment="1">
      <alignment horizontal="right"/>
    </xf>
    <xf numFmtId="170" fontId="11" fillId="9" borderId="9" xfId="0" applyNumberFormat="1" applyFont="1" applyFill="1" applyBorder="1" applyAlignment="1">
      <alignment horizontal="right"/>
    </xf>
    <xf numFmtId="170" fontId="11" fillId="9" borderId="19" xfId="0" applyNumberFormat="1" applyFont="1" applyFill="1" applyBorder="1" applyAlignment="1">
      <alignment horizontal="right"/>
    </xf>
    <xf numFmtId="170" fontId="11" fillId="10" borderId="18" xfId="0" applyNumberFormat="1" applyFont="1" applyFill="1" applyBorder="1" applyAlignment="1">
      <alignment horizontal="right"/>
    </xf>
    <xf numFmtId="9" fontId="11" fillId="9" borderId="10" xfId="1" applyFont="1" applyFill="1" applyBorder="1" applyAlignment="1">
      <alignment horizontal="right"/>
    </xf>
    <xf numFmtId="170" fontId="11" fillId="9" borderId="10" xfId="0" applyNumberFormat="1" applyFont="1" applyFill="1" applyBorder="1" applyAlignment="1">
      <alignment horizontal="right"/>
    </xf>
    <xf numFmtId="170" fontId="18" fillId="3" borderId="11" xfId="0" applyNumberFormat="1" applyFont="1" applyFill="1" applyBorder="1" applyAlignment="1">
      <alignment horizontal="right"/>
    </xf>
    <xf numFmtId="170" fontId="18" fillId="3" borderId="12" xfId="0" applyNumberFormat="1" applyFont="1" applyFill="1" applyBorder="1" applyAlignment="1">
      <alignment horizontal="right"/>
    </xf>
    <xf numFmtId="170" fontId="18" fillId="3" borderId="7" xfId="0" applyNumberFormat="1" applyFont="1" applyFill="1" applyBorder="1" applyAlignment="1">
      <alignment horizontal="right"/>
    </xf>
    <xf numFmtId="9" fontId="18" fillId="3" borderId="7" xfId="1" applyFont="1" applyFill="1" applyBorder="1" applyAlignment="1">
      <alignment horizontal="right"/>
    </xf>
    <xf numFmtId="9" fontId="11" fillId="9" borderId="17" xfId="1" applyFont="1" applyFill="1" applyBorder="1" applyAlignment="1">
      <alignment horizontal="right"/>
    </xf>
    <xf numFmtId="9" fontId="11" fillId="9" borderId="20" xfId="1" applyFont="1" applyFill="1" applyBorder="1" applyAlignment="1">
      <alignment horizontal="right"/>
    </xf>
    <xf numFmtId="170" fontId="11" fillId="9" borderId="16" xfId="0" applyNumberFormat="1" applyFont="1" applyFill="1" applyBorder="1" applyAlignment="1">
      <alignment horizontal="right"/>
    </xf>
    <xf numFmtId="170" fontId="11" fillId="10" borderId="9" xfId="0" applyNumberFormat="1" applyFont="1" applyFill="1" applyBorder="1" applyAlignment="1">
      <alignment horizontal="right"/>
    </xf>
    <xf numFmtId="170" fontId="18" fillId="3" borderId="7" xfId="1" applyNumberFormat="1" applyFont="1" applyFill="1" applyBorder="1" applyAlignment="1">
      <alignment horizontal="right"/>
    </xf>
    <xf numFmtId="9" fontId="18" fillId="3" borderId="10" xfId="1" applyFont="1" applyFill="1" applyBorder="1" applyAlignment="1">
      <alignment horizontal="right"/>
    </xf>
    <xf numFmtId="0" fontId="18" fillId="3" borderId="11" xfId="0" applyFont="1" applyFill="1" applyBorder="1" applyAlignment="1">
      <alignment vertical="top"/>
    </xf>
    <xf numFmtId="0" fontId="11" fillId="3" borderId="12" xfId="0" applyFont="1" applyFill="1" applyBorder="1" applyAlignment="1">
      <alignment vertical="top"/>
    </xf>
    <xf numFmtId="0" fontId="11" fillId="3" borderId="13" xfId="0" applyFont="1" applyFill="1" applyBorder="1" applyAlignment="1">
      <alignment vertical="top"/>
    </xf>
    <xf numFmtId="0" fontId="18" fillId="3" borderId="21" xfId="0" applyFont="1" applyFill="1" applyBorder="1" applyAlignment="1">
      <alignment horizontal="center" vertical="top"/>
    </xf>
    <xf numFmtId="0" fontId="18" fillId="3" borderId="8" xfId="0" quotePrefix="1" applyFont="1" applyFill="1" applyBorder="1" applyAlignment="1">
      <alignment horizontal="center" vertical="top" wrapText="1"/>
    </xf>
    <xf numFmtId="0" fontId="76" fillId="3" borderId="10" xfId="0" applyFont="1" applyFill="1" applyBorder="1" applyAlignment="1">
      <alignment horizontal="center"/>
    </xf>
    <xf numFmtId="9" fontId="76" fillId="3" borderId="10" xfId="1" applyFont="1" applyFill="1" applyBorder="1" applyAlignment="1">
      <alignment horizontal="center"/>
    </xf>
    <xf numFmtId="10" fontId="11" fillId="9" borderId="0" xfId="1" applyNumberFormat="1" applyFont="1" applyFill="1" applyBorder="1" applyAlignment="1">
      <alignment horizontal="right"/>
    </xf>
    <xf numFmtId="10" fontId="11" fillId="9" borderId="17" xfId="1" applyNumberFormat="1" applyFont="1" applyFill="1" applyBorder="1" applyAlignment="1">
      <alignment horizontal="right"/>
    </xf>
    <xf numFmtId="10" fontId="11" fillId="9" borderId="19" xfId="1" applyNumberFormat="1" applyFont="1" applyFill="1" applyBorder="1" applyAlignment="1">
      <alignment horizontal="right"/>
    </xf>
    <xf numFmtId="10" fontId="11" fillId="9" borderId="20" xfId="1" applyNumberFormat="1" applyFont="1" applyFill="1" applyBorder="1" applyAlignment="1">
      <alignment horizontal="right"/>
    </xf>
    <xf numFmtId="0" fontId="18" fillId="3" borderId="11" xfId="0" applyFont="1" applyFill="1" applyBorder="1" applyAlignment="1">
      <alignment horizontal="center" vertical="top" wrapText="1"/>
    </xf>
    <xf numFmtId="0" fontId="18" fillId="3" borderId="7" xfId="0" applyFont="1" applyFill="1" applyBorder="1" applyAlignment="1">
      <alignment horizontal="center" vertical="top"/>
    </xf>
    <xf numFmtId="10" fontId="18" fillId="3" borderId="18" xfId="1" applyNumberFormat="1" applyFont="1" applyFill="1" applyBorder="1" applyAlignment="1">
      <alignment horizontal="right"/>
    </xf>
    <xf numFmtId="10" fontId="18" fillId="3" borderId="19" xfId="1" applyNumberFormat="1" applyFont="1" applyFill="1" applyBorder="1" applyAlignment="1">
      <alignment horizontal="right"/>
    </xf>
    <xf numFmtId="10" fontId="18" fillId="3" borderId="20" xfId="1" applyNumberFormat="1" applyFont="1" applyFill="1" applyBorder="1" applyAlignment="1">
      <alignment horizontal="right"/>
    </xf>
    <xf numFmtId="10" fontId="18" fillId="3" borderId="7" xfId="1" applyNumberFormat="1" applyFont="1" applyFill="1" applyBorder="1" applyAlignment="1">
      <alignment horizontal="right"/>
    </xf>
    <xf numFmtId="170" fontId="18" fillId="3" borderId="11" xfId="0" quotePrefix="1" applyNumberFormat="1" applyFont="1" applyFill="1" applyBorder="1" applyAlignment="1">
      <alignment horizontal="center" vertical="top" wrapText="1"/>
    </xf>
    <xf numFmtId="170" fontId="18" fillId="3" borderId="12" xfId="0" quotePrefix="1" applyNumberFormat="1" applyFont="1" applyFill="1" applyBorder="1" applyAlignment="1">
      <alignment horizontal="center" vertical="top" wrapText="1"/>
    </xf>
    <xf numFmtId="0" fontId="18" fillId="3" borderId="7" xfId="0" applyFont="1" applyFill="1" applyBorder="1" applyAlignment="1">
      <alignment horizontal="center" vertical="top" wrapText="1"/>
    </xf>
    <xf numFmtId="173" fontId="18" fillId="3" borderId="9" xfId="3" applyNumberFormat="1" applyFont="1" applyFill="1" applyBorder="1" applyAlignment="1">
      <alignment horizontal="center" vertical="top" wrapText="1"/>
    </xf>
    <xf numFmtId="173" fontId="18" fillId="3" borderId="10" xfId="3" applyNumberFormat="1" applyFont="1" applyFill="1" applyBorder="1" applyAlignment="1">
      <alignment horizontal="center" vertical="top" wrapText="1"/>
    </xf>
    <xf numFmtId="173" fontId="18" fillId="3" borderId="7" xfId="3" applyNumberFormat="1" applyFont="1" applyFill="1" applyBorder="1" applyAlignment="1">
      <alignment horizontal="center" vertical="top" wrapText="1"/>
    </xf>
    <xf numFmtId="0" fontId="11" fillId="9" borderId="0" xfId="0" applyFont="1" applyFill="1" applyAlignment="1">
      <alignment horizontal="left" vertical="top" wrapText="1"/>
    </xf>
    <xf numFmtId="0" fontId="11" fillId="9" borderId="9" xfId="0" applyFont="1" applyFill="1" applyBorder="1"/>
    <xf numFmtId="0" fontId="11" fillId="9" borderId="10" xfId="0" applyFont="1" applyFill="1" applyBorder="1"/>
    <xf numFmtId="0" fontId="18" fillId="10" borderId="11" xfId="0" applyFont="1" applyFill="1" applyBorder="1"/>
    <xf numFmtId="10" fontId="11" fillId="9" borderId="7" xfId="1" applyNumberFormat="1" applyFont="1" applyFill="1" applyBorder="1"/>
    <xf numFmtId="0" fontId="11" fillId="9" borderId="0" xfId="0" applyFont="1" applyFill="1" applyAlignment="1">
      <alignment vertical="top" wrapText="1"/>
    </xf>
    <xf numFmtId="173" fontId="20" fillId="9" borderId="0" xfId="3" applyNumberFormat="1" applyFont="1" applyFill="1" applyBorder="1" applyAlignment="1">
      <alignment horizontal="center" vertical="top"/>
    </xf>
    <xf numFmtId="173" fontId="11" fillId="9" borderId="0" xfId="3" applyNumberFormat="1" applyFont="1" applyFill="1" applyAlignment="1">
      <alignment vertical="top" wrapText="1"/>
    </xf>
    <xf numFmtId="0" fontId="18" fillId="10" borderId="18" xfId="0" applyFont="1" applyFill="1" applyBorder="1"/>
    <xf numFmtId="0" fontId="11" fillId="10" borderId="19" xfId="0" applyFont="1" applyFill="1" applyBorder="1"/>
    <xf numFmtId="10" fontId="11" fillId="9" borderId="10" xfId="1" applyNumberFormat="1" applyFont="1" applyFill="1" applyBorder="1"/>
    <xf numFmtId="173" fontId="18" fillId="9" borderId="0" xfId="3" applyNumberFormat="1" applyFont="1" applyFill="1" applyBorder="1" applyAlignment="1">
      <alignment horizontal="center" vertical="top" wrapText="1"/>
    </xf>
    <xf numFmtId="0" fontId="11" fillId="9" borderId="16" xfId="0" applyFont="1" applyFill="1" applyBorder="1" applyAlignment="1"/>
    <xf numFmtId="0" fontId="11" fillId="9" borderId="14" xfId="0" applyFont="1" applyFill="1" applyBorder="1" applyAlignment="1"/>
    <xf numFmtId="0" fontId="11" fillId="9" borderId="21" xfId="0" applyFont="1" applyFill="1" applyBorder="1" applyAlignment="1"/>
    <xf numFmtId="173" fontId="11" fillId="9" borderId="8" xfId="3" applyNumberFormat="1" applyFont="1" applyFill="1" applyBorder="1" applyAlignment="1">
      <alignment horizontal="right" vertical="top" wrapText="1"/>
    </xf>
    <xf numFmtId="173" fontId="11" fillId="9" borderId="9" xfId="3" applyNumberFormat="1" applyFont="1" applyFill="1" applyBorder="1" applyAlignment="1">
      <alignment horizontal="right" vertical="top" wrapText="1"/>
    </xf>
    <xf numFmtId="0" fontId="11" fillId="9" borderId="17" xfId="0" applyFont="1" applyFill="1" applyBorder="1" applyAlignment="1"/>
    <xf numFmtId="0" fontId="11" fillId="9" borderId="18" xfId="0" applyFont="1" applyFill="1" applyBorder="1" applyAlignment="1"/>
    <xf numFmtId="0" fontId="11" fillId="9" borderId="20" xfId="0" applyFont="1" applyFill="1" applyBorder="1" applyAlignment="1"/>
    <xf numFmtId="173" fontId="11" fillId="9" borderId="10" xfId="3" applyNumberFormat="1" applyFont="1" applyFill="1" applyBorder="1" applyAlignment="1">
      <alignment horizontal="right" vertical="top" wrapText="1"/>
    </xf>
    <xf numFmtId="0" fontId="18" fillId="10" borderId="7" xfId="0" applyFont="1" applyFill="1" applyBorder="1" applyAlignment="1"/>
    <xf numFmtId="0" fontId="18" fillId="10" borderId="17" xfId="0" applyFont="1" applyFill="1" applyBorder="1" applyAlignment="1"/>
    <xf numFmtId="0" fontId="18" fillId="10" borderId="0" xfId="0" applyFont="1" applyFill="1" applyBorder="1" applyAlignment="1"/>
    <xf numFmtId="173" fontId="18" fillId="10" borderId="7" xfId="3" applyNumberFormat="1" applyFont="1" applyFill="1" applyBorder="1" applyAlignment="1">
      <alignment horizontal="right" vertical="top" wrapText="1"/>
    </xf>
    <xf numFmtId="173" fontId="11" fillId="9" borderId="14" xfId="3" applyNumberFormat="1" applyFont="1" applyFill="1" applyBorder="1" applyAlignment="1">
      <alignment horizontal="right" vertical="top" wrapText="1"/>
    </xf>
    <xf numFmtId="173" fontId="11" fillId="9" borderId="17" xfId="3" applyNumberFormat="1" applyFont="1" applyFill="1" applyBorder="1" applyAlignment="1">
      <alignment horizontal="right" vertical="top" wrapText="1"/>
    </xf>
    <xf numFmtId="0" fontId="18" fillId="9" borderId="16" xfId="0" applyFont="1" applyFill="1" applyBorder="1" applyAlignment="1"/>
    <xf numFmtId="0" fontId="18" fillId="9" borderId="11" xfId="0" applyFont="1" applyFill="1" applyBorder="1" applyAlignment="1"/>
    <xf numFmtId="0" fontId="18" fillId="9" borderId="13" xfId="0" applyFont="1" applyFill="1" applyBorder="1" applyAlignment="1"/>
    <xf numFmtId="0" fontId="11" fillId="9" borderId="0" xfId="0" applyFont="1" applyFill="1" applyBorder="1" applyAlignment="1">
      <alignment vertical="top" wrapText="1"/>
    </xf>
    <xf numFmtId="0" fontId="18" fillId="3" borderId="7" xfId="0" applyFont="1" applyFill="1" applyBorder="1" applyAlignment="1"/>
    <xf numFmtId="0" fontId="18" fillId="3" borderId="20" xfId="0" applyFont="1" applyFill="1" applyBorder="1" applyAlignment="1"/>
    <xf numFmtId="0" fontId="18" fillId="3" borderId="19" xfId="0" applyFont="1" applyFill="1" applyBorder="1" applyAlignment="1"/>
    <xf numFmtId="173" fontId="18" fillId="3" borderId="7" xfId="3" applyNumberFormat="1" applyFont="1" applyFill="1" applyBorder="1" applyAlignment="1">
      <alignment horizontal="right" vertical="top" wrapText="1"/>
    </xf>
    <xf numFmtId="169" fontId="11" fillId="9" borderId="0" xfId="0" applyNumberFormat="1" applyFont="1" applyFill="1"/>
    <xf numFmtId="173" fontId="11" fillId="9" borderId="16" xfId="3" applyNumberFormat="1" applyFont="1" applyFill="1" applyBorder="1" applyAlignment="1">
      <alignment horizontal="right" vertical="top" wrapText="1"/>
    </xf>
    <xf numFmtId="173" fontId="11" fillId="9" borderId="7" xfId="0" applyNumberFormat="1" applyFont="1" applyFill="1" applyBorder="1"/>
    <xf numFmtId="170" fontId="11" fillId="9" borderId="7" xfId="0" applyNumberFormat="1" applyFont="1" applyFill="1" applyBorder="1"/>
    <xf numFmtId="167" fontId="18" fillId="5" borderId="23" xfId="0" applyNumberFormat="1" applyFont="1" applyFill="1" applyBorder="1"/>
    <xf numFmtId="169" fontId="11" fillId="9" borderId="0" xfId="0" applyNumberFormat="1" applyFont="1" applyFill="1" applyBorder="1"/>
    <xf numFmtId="0" fontId="78" fillId="9" borderId="0" xfId="0" applyFont="1" applyFill="1" applyBorder="1"/>
    <xf numFmtId="173" fontId="11" fillId="9" borderId="0" xfId="3" applyNumberFormat="1" applyFont="1" applyFill="1" applyBorder="1"/>
    <xf numFmtId="0" fontId="11" fillId="9" borderId="0" xfId="0" applyFont="1" applyFill="1" applyBorder="1" applyAlignment="1">
      <alignment vertical="center"/>
    </xf>
    <xf numFmtId="173" fontId="18" fillId="9" borderId="0" xfId="3" quotePrefix="1" applyNumberFormat="1" applyFont="1" applyFill="1" applyBorder="1" applyAlignment="1">
      <alignment horizontal="right" wrapText="1"/>
    </xf>
    <xf numFmtId="173" fontId="11" fillId="5" borderId="12" xfId="3" applyNumberFormat="1" applyFont="1" applyFill="1" applyBorder="1"/>
    <xf numFmtId="173" fontId="11" fillId="5" borderId="13" xfId="3" applyNumberFormat="1" applyFont="1" applyFill="1" applyBorder="1"/>
    <xf numFmtId="173" fontId="18" fillId="5" borderId="11" xfId="3" quotePrefix="1" applyNumberFormat="1" applyFont="1" applyFill="1" applyBorder="1" applyAlignment="1">
      <alignment horizontal="right" wrapText="1"/>
    </xf>
    <xf numFmtId="173" fontId="18" fillId="5" borderId="12" xfId="3" quotePrefix="1" applyNumberFormat="1" applyFont="1" applyFill="1" applyBorder="1" applyAlignment="1">
      <alignment horizontal="right" wrapText="1"/>
    </xf>
    <xf numFmtId="173" fontId="18" fillId="5" borderId="13" xfId="3" quotePrefix="1" applyNumberFormat="1" applyFont="1" applyFill="1" applyBorder="1" applyAlignment="1">
      <alignment horizontal="right" wrapText="1"/>
    </xf>
    <xf numFmtId="9" fontId="11" fillId="9" borderId="0" xfId="1" applyFont="1" applyFill="1" applyBorder="1"/>
    <xf numFmtId="171" fontId="11" fillId="9" borderId="0" xfId="1" applyNumberFormat="1" applyFont="1" applyFill="1" applyBorder="1"/>
    <xf numFmtId="173" fontId="11" fillId="9" borderId="17" xfId="3" applyNumberFormat="1" applyFont="1" applyFill="1" applyBorder="1"/>
    <xf numFmtId="9" fontId="11" fillId="9" borderId="16" xfId="1" applyFont="1" applyFill="1" applyBorder="1"/>
    <xf numFmtId="171" fontId="11" fillId="9" borderId="17" xfId="1" applyNumberFormat="1" applyFont="1" applyFill="1" applyBorder="1"/>
    <xf numFmtId="171" fontId="11" fillId="9" borderId="16" xfId="1" applyNumberFormat="1" applyFont="1" applyFill="1" applyBorder="1"/>
    <xf numFmtId="173" fontId="79" fillId="9" borderId="0" xfId="3" applyNumberFormat="1" applyFont="1" applyFill="1" applyBorder="1"/>
    <xf numFmtId="173" fontId="79" fillId="9" borderId="19" xfId="3" applyNumberFormat="1" applyFont="1" applyFill="1" applyBorder="1"/>
    <xf numFmtId="173" fontId="11" fillId="9" borderId="20" xfId="3" applyNumberFormat="1" applyFont="1" applyFill="1" applyBorder="1"/>
    <xf numFmtId="171" fontId="11" fillId="9" borderId="18" xfId="1" applyNumberFormat="1" applyFont="1" applyFill="1" applyBorder="1"/>
    <xf numFmtId="171" fontId="11" fillId="9" borderId="19" xfId="1" applyNumberFormat="1" applyFont="1" applyFill="1" applyBorder="1"/>
    <xf numFmtId="171" fontId="11" fillId="9" borderId="20" xfId="1" applyNumberFormat="1" applyFont="1" applyFill="1" applyBorder="1"/>
    <xf numFmtId="0" fontId="18" fillId="9" borderId="0" xfId="0" applyFont="1" applyFill="1" applyBorder="1"/>
    <xf numFmtId="173" fontId="18" fillId="9" borderId="0" xfId="3" applyNumberFormat="1" applyFont="1" applyFill="1" applyBorder="1" applyAlignment="1">
      <alignment horizontal="right" wrapText="1"/>
    </xf>
    <xf numFmtId="173" fontId="18" fillId="5" borderId="12" xfId="3" applyNumberFormat="1" applyFont="1" applyFill="1" applyBorder="1" applyAlignment="1">
      <alignment horizontal="right" wrapText="1"/>
    </xf>
    <xf numFmtId="170" fontId="11" fillId="9" borderId="0" xfId="3" applyNumberFormat="1" applyFont="1" applyFill="1" applyBorder="1"/>
    <xf numFmtId="170" fontId="11" fillId="9" borderId="16" xfId="3" applyNumberFormat="1" applyFont="1" applyFill="1" applyBorder="1"/>
    <xf numFmtId="170" fontId="11" fillId="9" borderId="19" xfId="3" applyNumberFormat="1" applyFont="1" applyFill="1" applyBorder="1"/>
    <xf numFmtId="170" fontId="11" fillId="9" borderId="18" xfId="3" applyNumberFormat="1" applyFont="1" applyFill="1" applyBorder="1"/>
    <xf numFmtId="173" fontId="11" fillId="9" borderId="19" xfId="3" applyNumberFormat="1" applyFont="1" applyFill="1" applyBorder="1"/>
    <xf numFmtId="0" fontId="20" fillId="9" borderId="0" xfId="0" applyFont="1" applyFill="1" applyBorder="1" applyAlignment="1">
      <alignment horizontal="left"/>
    </xf>
    <xf numFmtId="0" fontId="23" fillId="9" borderId="0" xfId="0" applyFont="1" applyFill="1" applyBorder="1"/>
    <xf numFmtId="165" fontId="23" fillId="9" borderId="0" xfId="3" applyFont="1" applyFill="1" applyBorder="1"/>
    <xf numFmtId="170" fontId="18" fillId="9" borderId="0" xfId="3" applyNumberFormat="1" applyFont="1" applyFill="1" applyBorder="1"/>
    <xf numFmtId="170" fontId="18" fillId="5" borderId="11" xfId="3" applyNumberFormat="1" applyFont="1" applyFill="1" applyBorder="1"/>
    <xf numFmtId="170" fontId="18" fillId="5" borderId="12" xfId="3" applyNumberFormat="1" applyFont="1" applyFill="1" applyBorder="1"/>
    <xf numFmtId="170" fontId="18" fillId="5" borderId="13" xfId="3" applyNumberFormat="1" applyFont="1" applyFill="1" applyBorder="1"/>
    <xf numFmtId="165" fontId="11" fillId="9" borderId="0" xfId="3" applyFont="1" applyFill="1" applyBorder="1"/>
    <xf numFmtId="173" fontId="23" fillId="9" borderId="0" xfId="3" applyNumberFormat="1" applyFont="1" applyFill="1" applyBorder="1"/>
    <xf numFmtId="173" fontId="11" fillId="9" borderId="15" xfId="3" applyNumberFormat="1" applyFont="1" applyFill="1" applyBorder="1"/>
    <xf numFmtId="173" fontId="11" fillId="9" borderId="11" xfId="3" applyNumberFormat="1" applyFont="1" applyFill="1" applyBorder="1"/>
    <xf numFmtId="173" fontId="11" fillId="9" borderId="12" xfId="3" applyNumberFormat="1" applyFont="1" applyFill="1" applyBorder="1"/>
    <xf numFmtId="173" fontId="11" fillId="9" borderId="13" xfId="3" applyNumberFormat="1" applyFont="1" applyFill="1" applyBorder="1"/>
    <xf numFmtId="174" fontId="18" fillId="9" borderId="0" xfId="3" applyNumberFormat="1" applyFont="1" applyFill="1" applyBorder="1"/>
    <xf numFmtId="0" fontId="11" fillId="10" borderId="12" xfId="0" applyFont="1" applyFill="1" applyBorder="1"/>
    <xf numFmtId="174" fontId="18" fillId="10" borderId="13" xfId="3" applyNumberFormat="1" applyFont="1" applyFill="1" applyBorder="1"/>
    <xf numFmtId="174" fontId="18" fillId="10" borderId="18" xfId="3" applyNumberFormat="1" applyFont="1" applyFill="1" applyBorder="1"/>
    <xf numFmtId="174" fontId="18" fillId="10" borderId="19" xfId="3" applyNumberFormat="1" applyFont="1" applyFill="1" applyBorder="1"/>
    <xf numFmtId="174" fontId="18" fillId="10" borderId="20" xfId="3" applyNumberFormat="1" applyFont="1" applyFill="1" applyBorder="1"/>
    <xf numFmtId="10" fontId="11" fillId="9" borderId="0" xfId="1" applyNumberFormat="1" applyFont="1" applyFill="1" applyBorder="1"/>
    <xf numFmtId="169" fontId="11" fillId="9" borderId="0" xfId="1" applyNumberFormat="1" applyFont="1" applyFill="1" applyBorder="1"/>
    <xf numFmtId="169" fontId="18" fillId="9" borderId="0" xfId="1" applyNumberFormat="1" applyFont="1" applyFill="1" applyBorder="1" applyAlignment="1">
      <alignment horizontal="right"/>
    </xf>
    <xf numFmtId="167" fontId="18" fillId="9" borderId="0" xfId="1" applyNumberFormat="1" applyFont="1" applyFill="1" applyBorder="1"/>
    <xf numFmtId="169" fontId="11" fillId="3" borderId="11" xfId="1" applyNumberFormat="1" applyFont="1" applyFill="1" applyBorder="1"/>
    <xf numFmtId="169" fontId="11" fillId="3" borderId="12" xfId="1" applyNumberFormat="1" applyFont="1" applyFill="1" applyBorder="1"/>
    <xf numFmtId="169" fontId="18" fillId="3" borderId="12" xfId="1" applyNumberFormat="1" applyFont="1" applyFill="1" applyBorder="1" applyAlignment="1">
      <alignment horizontal="right"/>
    </xf>
    <xf numFmtId="167" fontId="18" fillId="4" borderId="7" xfId="1" applyNumberFormat="1" applyFont="1" applyFill="1" applyBorder="1"/>
    <xf numFmtId="0" fontId="18" fillId="3" borderId="15" xfId="0" applyFont="1" applyFill="1" applyBorder="1" applyAlignment="1">
      <alignment horizontal="center" vertical="top"/>
    </xf>
    <xf numFmtId="170" fontId="18" fillId="11" borderId="11" xfId="0" quotePrefix="1" applyNumberFormat="1" applyFont="1" applyFill="1" applyBorder="1" applyAlignment="1">
      <alignment horizontal="center" vertical="top" wrapText="1"/>
    </xf>
    <xf numFmtId="170" fontId="18" fillId="11" borderId="13" xfId="0" applyNumberFormat="1" applyFont="1" applyFill="1" applyBorder="1" applyAlignment="1">
      <alignment horizontal="center" vertical="top" wrapText="1"/>
    </xf>
    <xf numFmtId="170" fontId="18" fillId="11" borderId="12" xfId="0" quotePrefix="1" applyNumberFormat="1" applyFont="1" applyFill="1" applyBorder="1" applyAlignment="1">
      <alignment horizontal="center" vertical="top" wrapText="1"/>
    </xf>
    <xf numFmtId="170" fontId="18" fillId="11" borderId="13" xfId="0" quotePrefix="1" applyNumberFormat="1" applyFont="1" applyFill="1" applyBorder="1" applyAlignment="1">
      <alignment horizontal="center" vertical="top" wrapText="1"/>
    </xf>
    <xf numFmtId="170" fontId="18" fillId="9" borderId="0" xfId="0" applyNumberFormat="1" applyFont="1" applyFill="1" applyBorder="1" applyAlignment="1">
      <alignment horizontal="center" vertical="top" wrapText="1"/>
    </xf>
    <xf numFmtId="170" fontId="18" fillId="11" borderId="7" xfId="0" quotePrefix="1" applyNumberFormat="1" applyFont="1" applyFill="1" applyBorder="1" applyAlignment="1">
      <alignment horizontal="center" vertical="top" wrapText="1"/>
    </xf>
    <xf numFmtId="0" fontId="11" fillId="9" borderId="0" xfId="0" applyFont="1" applyFill="1" applyAlignment="1">
      <alignment horizontal="center" vertical="top"/>
    </xf>
    <xf numFmtId="0" fontId="18" fillId="3" borderId="15" xfId="0" applyFont="1" applyFill="1" applyBorder="1" applyAlignment="1">
      <alignment horizontal="left" vertical="top"/>
    </xf>
    <xf numFmtId="0" fontId="18" fillId="3" borderId="7" xfId="0" applyFont="1" applyFill="1" applyBorder="1" applyAlignment="1">
      <alignment horizontal="left" vertical="top"/>
    </xf>
    <xf numFmtId="0" fontId="11" fillId="12" borderId="0" xfId="0" applyFont="1" applyFill="1" applyAlignment="1">
      <alignment horizontal="left" vertical="top" wrapText="1"/>
    </xf>
    <xf numFmtId="0" fontId="18" fillId="3" borderId="8" xfId="0" applyFont="1" applyFill="1" applyBorder="1" applyAlignment="1">
      <alignment vertical="top"/>
    </xf>
    <xf numFmtId="167" fontId="18" fillId="3" borderId="21" xfId="0" applyNumberFormat="1" applyFont="1" applyFill="1" applyBorder="1" applyAlignment="1">
      <alignment horizontal="center" vertical="top" wrapText="1"/>
    </xf>
    <xf numFmtId="167" fontId="11" fillId="9" borderId="17" xfId="0" applyNumberFormat="1" applyFont="1" applyFill="1" applyBorder="1" applyAlignment="1">
      <alignment horizontal="right"/>
    </xf>
    <xf numFmtId="167" fontId="11" fillId="9" borderId="20" xfId="0" applyNumberFormat="1" applyFont="1" applyFill="1" applyBorder="1" applyAlignment="1">
      <alignment horizontal="right"/>
    </xf>
    <xf numFmtId="0" fontId="77" fillId="9" borderId="0" xfId="0" applyFont="1" applyFill="1"/>
    <xf numFmtId="10" fontId="11" fillId="9" borderId="8" xfId="1" applyNumberFormat="1" applyFont="1" applyFill="1" applyBorder="1" applyAlignment="1">
      <alignment horizontal="right" vertical="top" wrapText="1"/>
    </xf>
    <xf numFmtId="9" fontId="11" fillId="9" borderId="9" xfId="1" applyFont="1" applyFill="1" applyBorder="1" applyAlignment="1">
      <alignment horizontal="right" vertical="top" wrapText="1"/>
    </xf>
    <xf numFmtId="10" fontId="11" fillId="9" borderId="9" xfId="1" applyNumberFormat="1" applyFont="1" applyFill="1" applyBorder="1" applyAlignment="1">
      <alignment horizontal="right" vertical="top" wrapText="1"/>
    </xf>
    <xf numFmtId="10" fontId="11" fillId="9" borderId="10" xfId="1" applyNumberFormat="1" applyFont="1" applyFill="1" applyBorder="1" applyAlignment="1">
      <alignment horizontal="right" vertical="top" wrapText="1"/>
    </xf>
    <xf numFmtId="10" fontId="18" fillId="10" borderId="7" xfId="1" applyNumberFormat="1" applyFont="1" applyFill="1" applyBorder="1" applyAlignment="1">
      <alignment horizontal="right" vertical="top" wrapText="1"/>
    </xf>
    <xf numFmtId="9" fontId="11" fillId="10" borderId="7" xfId="1" applyFont="1" applyFill="1" applyBorder="1" applyAlignment="1">
      <alignment horizontal="right" vertical="top" wrapText="1"/>
    </xf>
    <xf numFmtId="9" fontId="18" fillId="10" borderId="13" xfId="1" applyFont="1" applyFill="1" applyBorder="1" applyAlignment="1">
      <alignment horizontal="right" vertical="top" wrapText="1"/>
    </xf>
    <xf numFmtId="9" fontId="18" fillId="10" borderId="7" xfId="1" applyFont="1" applyFill="1" applyBorder="1" applyAlignment="1">
      <alignment horizontal="right" vertical="top" wrapText="1"/>
    </xf>
    <xf numFmtId="0" fontId="11" fillId="10" borderId="7" xfId="0" applyFont="1" applyFill="1" applyBorder="1" applyAlignment="1">
      <alignment horizontal="right" vertical="top" wrapText="1"/>
    </xf>
    <xf numFmtId="0" fontId="11" fillId="9" borderId="0" xfId="0" applyFont="1" applyFill="1" applyBorder="1" applyAlignment="1">
      <alignment horizontal="right" vertical="top" wrapText="1"/>
    </xf>
    <xf numFmtId="0" fontId="18" fillId="9" borderId="0" xfId="0" applyFont="1" applyFill="1" applyBorder="1" applyAlignment="1">
      <alignment horizontal="right" vertical="top" wrapText="1"/>
    </xf>
    <xf numFmtId="170" fontId="11" fillId="9" borderId="0" xfId="0" applyNumberFormat="1" applyFont="1" applyFill="1" applyBorder="1" applyAlignment="1">
      <alignment horizontal="right" vertical="top"/>
    </xf>
    <xf numFmtId="170" fontId="11" fillId="9" borderId="17" xfId="0" applyNumberFormat="1" applyFont="1" applyFill="1" applyBorder="1" applyAlignment="1">
      <alignment horizontal="right" vertical="top"/>
    </xf>
    <xf numFmtId="170" fontId="11" fillId="9" borderId="8" xfId="0" applyNumberFormat="1" applyFont="1" applyFill="1" applyBorder="1" applyAlignment="1">
      <alignment horizontal="right" vertical="top"/>
    </xf>
    <xf numFmtId="0" fontId="11" fillId="9" borderId="0" xfId="0" applyFont="1" applyFill="1" applyAlignment="1">
      <alignment horizontal="right" vertical="top"/>
    </xf>
    <xf numFmtId="170" fontId="11" fillId="9" borderId="9" xfId="0" applyNumberFormat="1" applyFont="1" applyFill="1" applyBorder="1" applyAlignment="1">
      <alignment horizontal="right" vertical="top"/>
    </xf>
    <xf numFmtId="170" fontId="11" fillId="9" borderId="10" xfId="0" applyNumberFormat="1" applyFont="1" applyFill="1" applyBorder="1" applyAlignment="1">
      <alignment horizontal="right" vertical="top"/>
    </xf>
    <xf numFmtId="170" fontId="18" fillId="10" borderId="11" xfId="0" applyNumberFormat="1" applyFont="1" applyFill="1" applyBorder="1" applyAlignment="1">
      <alignment horizontal="right" vertical="top"/>
    </xf>
    <xf numFmtId="170" fontId="18" fillId="10" borderId="13" xfId="0" applyNumberFormat="1" applyFont="1" applyFill="1" applyBorder="1" applyAlignment="1">
      <alignment horizontal="right" vertical="top"/>
    </xf>
    <xf numFmtId="170" fontId="18" fillId="10" borderId="12" xfId="0" applyNumberFormat="1" applyFont="1" applyFill="1" applyBorder="1" applyAlignment="1">
      <alignment horizontal="right" vertical="top"/>
    </xf>
    <xf numFmtId="170" fontId="18" fillId="9" borderId="0" xfId="0" applyNumberFormat="1" applyFont="1" applyFill="1" applyBorder="1" applyAlignment="1">
      <alignment horizontal="right" vertical="top"/>
    </xf>
    <xf numFmtId="170" fontId="18" fillId="10" borderId="7" xfId="0" applyNumberFormat="1" applyFont="1" applyFill="1" applyBorder="1" applyAlignment="1">
      <alignment horizontal="right" vertical="top"/>
    </xf>
    <xf numFmtId="170" fontId="18" fillId="3" borderId="11" xfId="0" applyNumberFormat="1" applyFont="1" applyFill="1" applyBorder="1" applyAlignment="1">
      <alignment horizontal="right" vertical="top"/>
    </xf>
    <xf numFmtId="170" fontId="18" fillId="3" borderId="13" xfId="0" applyNumberFormat="1" applyFont="1" applyFill="1" applyBorder="1" applyAlignment="1">
      <alignment horizontal="right" vertical="top"/>
    </xf>
    <xf numFmtId="170" fontId="18" fillId="3" borderId="12" xfId="0" applyNumberFormat="1" applyFont="1" applyFill="1" applyBorder="1" applyAlignment="1">
      <alignment horizontal="right" vertical="top"/>
    </xf>
    <xf numFmtId="170" fontId="18" fillId="3" borderId="7" xfId="0" applyNumberFormat="1" applyFont="1" applyFill="1" applyBorder="1" applyAlignment="1">
      <alignment horizontal="right" vertical="top"/>
    </xf>
    <xf numFmtId="10" fontId="11" fillId="9" borderId="21" xfId="1" applyNumberFormat="1" applyFont="1" applyFill="1" applyBorder="1" applyAlignment="1">
      <alignment horizontal="right" vertical="top" wrapText="1"/>
    </xf>
    <xf numFmtId="10" fontId="11" fillId="9" borderId="17" xfId="1" applyNumberFormat="1" applyFont="1" applyFill="1" applyBorder="1" applyAlignment="1">
      <alignment horizontal="right" vertical="top" wrapText="1"/>
    </xf>
    <xf numFmtId="10" fontId="11" fillId="9" borderId="20" xfId="1" applyNumberFormat="1" applyFont="1" applyFill="1" applyBorder="1" applyAlignment="1">
      <alignment horizontal="right" vertical="top" wrapText="1"/>
    </xf>
    <xf numFmtId="170" fontId="18" fillId="10" borderId="10" xfId="0" applyNumberFormat="1" applyFont="1" applyFill="1" applyBorder="1" applyAlignment="1">
      <alignment horizontal="right" vertical="top"/>
    </xf>
    <xf numFmtId="170" fontId="18" fillId="11" borderId="8" xfId="0" quotePrefix="1" applyNumberFormat="1" applyFont="1" applyFill="1" applyBorder="1" applyAlignment="1">
      <alignment horizontal="center" vertical="top" wrapText="1"/>
    </xf>
    <xf numFmtId="0" fontId="18" fillId="5" borderId="7" xfId="0" applyFont="1" applyFill="1" applyBorder="1" applyAlignment="1">
      <alignment horizontal="center" vertical="top" wrapText="1"/>
    </xf>
    <xf numFmtId="0" fontId="18" fillId="9" borderId="0" xfId="0" applyFont="1" applyFill="1" applyAlignment="1">
      <alignment horizontal="right"/>
    </xf>
    <xf numFmtId="0" fontId="11" fillId="9" borderId="0" xfId="0" applyFont="1" applyFill="1" applyAlignment="1">
      <alignment horizontal="left" vertical="top"/>
    </xf>
    <xf numFmtId="0" fontId="11" fillId="9" borderId="0" xfId="0" applyFont="1" applyFill="1" applyBorder="1" applyAlignment="1">
      <alignment horizontal="left" vertical="top"/>
    </xf>
    <xf numFmtId="169" fontId="11" fillId="9" borderId="0" xfId="0" applyNumberFormat="1" applyFont="1" applyFill="1" applyAlignment="1">
      <alignment horizontal="left" vertical="top"/>
    </xf>
    <xf numFmtId="0" fontId="18" fillId="10" borderId="7" xfId="0" applyFont="1" applyFill="1" applyBorder="1" applyAlignment="1">
      <alignment horizontal="center" vertical="top" wrapText="1"/>
    </xf>
    <xf numFmtId="0" fontId="18" fillId="10" borderId="7" xfId="0" applyFont="1" applyFill="1" applyBorder="1" applyAlignment="1">
      <alignment horizontal="center" vertical="top"/>
    </xf>
    <xf numFmtId="0" fontId="18" fillId="9" borderId="0" xfId="0" applyFont="1" applyFill="1" applyAlignment="1">
      <alignment horizontal="right" vertical="top"/>
    </xf>
    <xf numFmtId="0" fontId="20" fillId="7" borderId="38" xfId="0" applyFont="1" applyFill="1" applyBorder="1" applyAlignment="1">
      <alignment horizontal="left"/>
    </xf>
    <xf numFmtId="0" fontId="23" fillId="7" borderId="39" xfId="0" applyFont="1" applyFill="1" applyBorder="1"/>
    <xf numFmtId="165" fontId="23" fillId="7" borderId="40" xfId="3" applyFont="1" applyFill="1" applyBorder="1"/>
    <xf numFmtId="0" fontId="20" fillId="7" borderId="39" xfId="0" applyFont="1" applyFill="1" applyBorder="1" applyAlignment="1">
      <alignment horizontal="left"/>
    </xf>
    <xf numFmtId="173" fontId="23" fillId="7" borderId="40" xfId="3" applyNumberFormat="1" applyFont="1" applyFill="1" applyBorder="1"/>
    <xf numFmtId="0" fontId="11" fillId="0" borderId="8" xfId="0" applyFont="1" applyFill="1" applyBorder="1"/>
    <xf numFmtId="167" fontId="11" fillId="0" borderId="21" xfId="0" applyNumberFormat="1" applyFont="1" applyFill="1" applyBorder="1" applyAlignment="1">
      <alignment horizontal="right"/>
    </xf>
    <xf numFmtId="0" fontId="19" fillId="0" borderId="7" xfId="0" applyFont="1" applyBorder="1" applyAlignment="1">
      <alignment horizontal="left" vertical="center" wrapText="1"/>
    </xf>
    <xf numFmtId="170" fontId="17" fillId="5" borderId="38" xfId="0" applyNumberFormat="1" applyFont="1" applyFill="1" applyBorder="1" applyAlignment="1">
      <alignment vertical="center"/>
    </xf>
    <xf numFmtId="170" fontId="17" fillId="5" borderId="39" xfId="0" applyNumberFormat="1" applyFont="1" applyFill="1" applyBorder="1" applyAlignment="1">
      <alignment vertical="center"/>
    </xf>
    <xf numFmtId="0" fontId="11" fillId="0" borderId="38" xfId="0" applyFont="1" applyBorder="1" applyAlignment="1">
      <alignment vertical="center"/>
    </xf>
    <xf numFmtId="0" fontId="11" fillId="0" borderId="39" xfId="0" applyFont="1" applyBorder="1" applyAlignment="1">
      <alignment vertical="center"/>
    </xf>
    <xf numFmtId="170" fontId="18" fillId="5" borderId="7" xfId="0" quotePrefix="1" applyNumberFormat="1" applyFont="1" applyFill="1" applyBorder="1" applyAlignment="1">
      <alignment horizontal="center" vertical="top" wrapText="1"/>
    </xf>
    <xf numFmtId="0" fontId="17" fillId="5" borderId="13" xfId="0" quotePrefix="1" applyFont="1" applyFill="1" applyBorder="1" applyAlignment="1">
      <alignment horizontal="center" vertical="top" wrapText="1"/>
    </xf>
    <xf numFmtId="167" fontId="11" fillId="0" borderId="37" xfId="0" applyNumberFormat="1" applyFont="1" applyBorder="1" applyAlignment="1">
      <alignment horizontal="center" vertical="center"/>
    </xf>
    <xf numFmtId="167" fontId="11" fillId="0" borderId="37" xfId="0" applyNumberFormat="1" applyFont="1" applyFill="1" applyBorder="1" applyAlignment="1">
      <alignment horizontal="center" vertical="center"/>
    </xf>
    <xf numFmtId="170" fontId="11" fillId="2" borderId="11" xfId="0" applyNumberFormat="1" applyFont="1" applyFill="1" applyBorder="1" applyAlignment="1">
      <alignment horizontal="center" vertical="center"/>
    </xf>
    <xf numFmtId="180" fontId="11" fillId="0" borderId="14" xfId="0" applyNumberFormat="1" applyFont="1" applyBorder="1" applyAlignment="1">
      <alignment horizontal="right" vertical="center"/>
    </xf>
    <xf numFmtId="180" fontId="11" fillId="0" borderId="15" xfId="0" applyNumberFormat="1" applyFont="1" applyBorder="1" applyAlignment="1">
      <alignment horizontal="right" vertical="center"/>
    </xf>
    <xf numFmtId="180" fontId="11" fillId="0" borderId="21" xfId="0" applyNumberFormat="1" applyFont="1" applyBorder="1" applyAlignment="1">
      <alignment horizontal="right" vertical="center"/>
    </xf>
    <xf numFmtId="180" fontId="11" fillId="0" borderId="0" xfId="0" applyNumberFormat="1" applyFont="1" applyAlignment="1">
      <alignment vertical="center"/>
    </xf>
    <xf numFmtId="180" fontId="11" fillId="0" borderId="18" xfId="0" applyNumberFormat="1" applyFont="1" applyBorder="1" applyAlignment="1">
      <alignment horizontal="right" vertical="center"/>
    </xf>
    <xf numFmtId="180" fontId="11" fillId="0" borderId="19" xfId="0" applyNumberFormat="1" applyFont="1" applyBorder="1" applyAlignment="1">
      <alignment horizontal="right" vertical="center"/>
    </xf>
    <xf numFmtId="180" fontId="11" fillId="0" borderId="20" xfId="0" applyNumberFormat="1" applyFont="1" applyBorder="1" applyAlignment="1">
      <alignment horizontal="right" vertical="center"/>
    </xf>
    <xf numFmtId="180" fontId="17" fillId="3" borderId="18" xfId="0" applyNumberFormat="1" applyFont="1" applyFill="1" applyBorder="1" applyAlignment="1">
      <alignment horizontal="right" vertical="center"/>
    </xf>
    <xf numFmtId="180" fontId="17" fillId="3" borderId="19" xfId="0" applyNumberFormat="1" applyFont="1" applyFill="1" applyBorder="1" applyAlignment="1">
      <alignment horizontal="right" vertical="center"/>
    </xf>
    <xf numFmtId="180" fontId="17" fillId="3" borderId="20" xfId="0" applyNumberFormat="1" applyFont="1" applyFill="1" applyBorder="1" applyAlignment="1">
      <alignment horizontal="right" vertical="center"/>
    </xf>
    <xf numFmtId="180" fontId="17" fillId="3" borderId="11" xfId="0" applyNumberFormat="1" applyFont="1" applyFill="1" applyBorder="1" applyAlignment="1">
      <alignment horizontal="right" vertical="center"/>
    </xf>
    <xf numFmtId="180" fontId="17" fillId="3" borderId="12" xfId="0" applyNumberFormat="1" applyFont="1" applyFill="1" applyBorder="1" applyAlignment="1">
      <alignment horizontal="right" vertical="center"/>
    </xf>
    <xf numFmtId="180" fontId="17" fillId="3" borderId="13" xfId="0" applyNumberFormat="1" applyFont="1" applyFill="1" applyBorder="1" applyAlignment="1">
      <alignment horizontal="right" vertical="center"/>
    </xf>
    <xf numFmtId="170" fontId="17" fillId="5" borderId="7" xfId="0" applyNumberFormat="1" applyFont="1" applyFill="1" applyBorder="1" applyAlignment="1">
      <alignment horizont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11" fillId="0" borderId="0" xfId="0" applyFont="1" applyAlignment="1">
      <alignment horizontal="right" vertical="center"/>
    </xf>
    <xf numFmtId="170" fontId="17" fillId="3" borderId="11" xfId="0" applyNumberFormat="1" applyFont="1" applyFill="1" applyBorder="1" applyAlignment="1">
      <alignment horizontal="right" vertical="center"/>
    </xf>
    <xf numFmtId="170" fontId="17" fillId="3" borderId="12" xfId="0" applyNumberFormat="1" applyFont="1" applyFill="1" applyBorder="1" applyAlignment="1">
      <alignment horizontal="right" vertical="center"/>
    </xf>
    <xf numFmtId="170" fontId="17" fillId="3" borderId="13" xfId="0" applyNumberFormat="1" applyFont="1" applyFill="1" applyBorder="1" applyAlignment="1">
      <alignment horizontal="right" vertical="center"/>
    </xf>
    <xf numFmtId="167" fontId="0" fillId="4" borderId="2" xfId="0" quotePrefix="1" applyNumberFormat="1" applyFont="1" applyFill="1" applyBorder="1" applyAlignment="1">
      <alignment horizontal="left"/>
    </xf>
    <xf numFmtId="166" fontId="7" fillId="0" borderId="0" xfId="2" applyNumberFormat="1" applyFont="1" applyAlignment="1">
      <alignment horizontal="center"/>
    </xf>
    <xf numFmtId="0" fontId="18" fillId="8" borderId="44" xfId="0" applyFont="1" applyFill="1" applyBorder="1" applyAlignment="1">
      <alignment horizontal="left" vertical="center"/>
    </xf>
    <xf numFmtId="0" fontId="11" fillId="0" borderId="0" xfId="0" applyFont="1" applyBorder="1" applyAlignment="1">
      <alignment vertical="top" wrapText="1"/>
    </xf>
    <xf numFmtId="0" fontId="11" fillId="2" borderId="38" xfId="0" applyFont="1" applyFill="1" applyBorder="1" applyAlignment="1">
      <alignment horizontal="left" vertical="top" wrapText="1"/>
    </xf>
    <xf numFmtId="0" fontId="11" fillId="2" borderId="39" xfId="0" applyFont="1" applyFill="1" applyBorder="1" applyAlignment="1">
      <alignment horizontal="left" vertical="top" wrapText="1"/>
    </xf>
    <xf numFmtId="0" fontId="11" fillId="2" borderId="40" xfId="0" applyFont="1" applyFill="1" applyBorder="1" applyAlignment="1">
      <alignment horizontal="left" vertical="top" wrapText="1"/>
    </xf>
    <xf numFmtId="173" fontId="11" fillId="10" borderId="14" xfId="3" applyNumberFormat="1" applyFont="1" applyFill="1" applyBorder="1" applyAlignment="1">
      <alignment horizontal="center" vertical="center" wrapText="1"/>
    </xf>
    <xf numFmtId="173" fontId="11" fillId="10" borderId="15" xfId="3" applyNumberFormat="1" applyFont="1" applyFill="1" applyBorder="1" applyAlignment="1">
      <alignment horizontal="center" vertical="center" wrapText="1"/>
    </xf>
    <xf numFmtId="173" fontId="11" fillId="10" borderId="16" xfId="3" applyNumberFormat="1" applyFont="1" applyFill="1" applyBorder="1" applyAlignment="1">
      <alignment horizontal="center" vertical="center" wrapText="1"/>
    </xf>
    <xf numFmtId="173" fontId="11" fillId="10" borderId="0" xfId="3" applyNumberFormat="1" applyFont="1" applyFill="1" applyBorder="1" applyAlignment="1">
      <alignment horizontal="center" vertical="center" wrapText="1"/>
    </xf>
    <xf numFmtId="173" fontId="11" fillId="10" borderId="18" xfId="3" applyNumberFormat="1" applyFont="1" applyFill="1" applyBorder="1" applyAlignment="1">
      <alignment horizontal="center" vertical="center" wrapText="1"/>
    </xf>
    <xf numFmtId="173" fontId="11" fillId="10" borderId="19" xfId="3" applyNumberFormat="1" applyFont="1" applyFill="1" applyBorder="1" applyAlignment="1">
      <alignment horizontal="center" vertical="center" wrapText="1"/>
    </xf>
    <xf numFmtId="0" fontId="11" fillId="2" borderId="11" xfId="0"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13" xfId="0" applyFont="1" applyFill="1" applyBorder="1" applyAlignment="1">
      <alignment horizontal="left" vertical="top" wrapText="1"/>
    </xf>
    <xf numFmtId="170" fontId="20" fillId="7" borderId="11" xfId="0" applyNumberFormat="1" applyFont="1" applyFill="1" applyBorder="1" applyAlignment="1">
      <alignment horizontal="center"/>
    </xf>
    <xf numFmtId="170" fontId="20" fillId="7" borderId="12" xfId="0" applyNumberFormat="1" applyFont="1" applyFill="1" applyBorder="1" applyAlignment="1">
      <alignment horizontal="center"/>
    </xf>
    <xf numFmtId="170" fontId="20" fillId="7" borderId="13" xfId="0" applyNumberFormat="1" applyFont="1" applyFill="1" applyBorder="1" applyAlignment="1">
      <alignment horizontal="center"/>
    </xf>
    <xf numFmtId="0" fontId="20" fillId="7" borderId="38" xfId="0" applyFont="1" applyFill="1" applyBorder="1" applyAlignment="1">
      <alignment horizontal="center" vertical="center"/>
    </xf>
    <xf numFmtId="0" fontId="20" fillId="7" borderId="39" xfId="0" applyFont="1" applyFill="1" applyBorder="1" applyAlignment="1">
      <alignment horizontal="center" vertical="center"/>
    </xf>
    <xf numFmtId="0" fontId="20" fillId="7" borderId="40" xfId="0" applyFont="1" applyFill="1" applyBorder="1" applyAlignment="1">
      <alignment horizontal="center" vertical="center"/>
    </xf>
    <xf numFmtId="0" fontId="18" fillId="3" borderId="38" xfId="0" applyFont="1" applyFill="1" applyBorder="1" applyAlignment="1">
      <alignment horizontal="center" vertical="top" wrapText="1"/>
    </xf>
    <xf numFmtId="0" fontId="18" fillId="3" borderId="39" xfId="0" applyFont="1" applyFill="1" applyBorder="1" applyAlignment="1">
      <alignment horizontal="center" vertical="top" wrapText="1"/>
    </xf>
    <xf numFmtId="0" fontId="18" fillId="3" borderId="40" xfId="0" applyFont="1" applyFill="1" applyBorder="1" applyAlignment="1">
      <alignment horizontal="center" vertical="top" wrapText="1"/>
    </xf>
    <xf numFmtId="0" fontId="18" fillId="3" borderId="38" xfId="0" applyFont="1" applyFill="1" applyBorder="1" applyAlignment="1">
      <alignment horizontal="left" vertical="top" wrapText="1"/>
    </xf>
    <xf numFmtId="0" fontId="18" fillId="3" borderId="39" xfId="0" applyFont="1" applyFill="1" applyBorder="1" applyAlignment="1">
      <alignment horizontal="left" vertical="top" wrapText="1"/>
    </xf>
    <xf numFmtId="0" fontId="18" fillId="3" borderId="40" xfId="0" applyFont="1" applyFill="1" applyBorder="1" applyAlignment="1">
      <alignment horizontal="left" vertical="top" wrapText="1"/>
    </xf>
    <xf numFmtId="0" fontId="20" fillId="7" borderId="19" xfId="0" applyFont="1" applyFill="1" applyBorder="1" applyAlignment="1">
      <alignment horizontal="left" vertical="center" wrapText="1"/>
    </xf>
    <xf numFmtId="0" fontId="20" fillId="7" borderId="20" xfId="0" applyFont="1" applyFill="1" applyBorder="1" applyAlignment="1">
      <alignment horizontal="left" vertical="center" wrapText="1"/>
    </xf>
    <xf numFmtId="0" fontId="11" fillId="9" borderId="41" xfId="0" applyFont="1" applyFill="1" applyBorder="1" applyAlignment="1">
      <alignment horizontal="left" vertical="top" wrapText="1"/>
    </xf>
    <xf numFmtId="0" fontId="11" fillId="9" borderId="43" xfId="0" applyFont="1" applyFill="1" applyBorder="1" applyAlignment="1">
      <alignment horizontal="left" vertical="top" wrapText="1"/>
    </xf>
    <xf numFmtId="0" fontId="77" fillId="9" borderId="16" xfId="0" applyFont="1" applyFill="1" applyBorder="1" applyAlignment="1">
      <alignment horizontal="left" vertical="top" wrapText="1"/>
    </xf>
    <xf numFmtId="0" fontId="77" fillId="9" borderId="0" xfId="0" applyFont="1" applyFill="1" applyBorder="1" applyAlignment="1">
      <alignment horizontal="left" vertical="top" wrapText="1"/>
    </xf>
    <xf numFmtId="0" fontId="11" fillId="9" borderId="0" xfId="0" applyFont="1" applyFill="1" applyBorder="1" applyAlignment="1">
      <alignment horizontal="left" vertical="top" wrapText="1"/>
    </xf>
    <xf numFmtId="0" fontId="18" fillId="10" borderId="11" xfId="0" applyFont="1" applyFill="1" applyBorder="1" applyAlignment="1">
      <alignment horizontal="center" vertical="top" wrapText="1"/>
    </xf>
    <xf numFmtId="0" fontId="18" fillId="10" borderId="13" xfId="0" applyFont="1" applyFill="1" applyBorder="1" applyAlignment="1">
      <alignment horizontal="center" vertical="top" wrapText="1"/>
    </xf>
    <xf numFmtId="0" fontId="20" fillId="9" borderId="0" xfId="0" applyFont="1" applyFill="1" applyBorder="1" applyAlignment="1">
      <alignment horizontal="center" vertical="top"/>
    </xf>
    <xf numFmtId="173" fontId="20" fillId="9" borderId="0" xfId="3" applyNumberFormat="1" applyFont="1" applyFill="1" applyBorder="1" applyAlignment="1">
      <alignment horizontal="center" vertical="top"/>
    </xf>
    <xf numFmtId="0" fontId="18" fillId="9" borderId="0" xfId="0" applyFont="1" applyFill="1" applyBorder="1" applyAlignment="1">
      <alignment horizontal="center" vertical="top" wrapText="1"/>
    </xf>
    <xf numFmtId="0" fontId="11" fillId="9" borderId="0" xfId="0" quotePrefix="1" applyFont="1" applyFill="1" applyAlignment="1">
      <alignment horizontal="left" vertical="top" wrapText="1"/>
    </xf>
    <xf numFmtId="0" fontId="18" fillId="10" borderId="38" xfId="0" applyFont="1" applyFill="1" applyBorder="1" applyAlignment="1">
      <alignment horizontal="left"/>
    </xf>
    <xf numFmtId="0" fontId="18" fillId="10" borderId="39" xfId="0" applyFont="1" applyFill="1" applyBorder="1" applyAlignment="1">
      <alignment horizontal="left"/>
    </xf>
    <xf numFmtId="0" fontId="18" fillId="10" borderId="40" xfId="0" applyFont="1" applyFill="1" applyBorder="1" applyAlignment="1">
      <alignment horizontal="left"/>
    </xf>
    <xf numFmtId="0" fontId="18" fillId="2" borderId="38" xfId="0" applyFont="1" applyFill="1" applyBorder="1" applyAlignment="1">
      <alignment horizontal="center" vertical="top" wrapText="1"/>
    </xf>
    <xf numFmtId="0" fontId="18" fillId="2" borderId="40" xfId="0" applyFont="1" applyFill="1" applyBorder="1" applyAlignment="1">
      <alignment horizontal="center" vertical="top" wrapText="1"/>
    </xf>
    <xf numFmtId="0" fontId="18" fillId="2" borderId="38" xfId="0" applyFont="1" applyFill="1" applyBorder="1" applyAlignment="1">
      <alignment horizontal="center" vertical="top"/>
    </xf>
    <xf numFmtId="0" fontId="18" fillId="2" borderId="39" xfId="0" applyFont="1" applyFill="1" applyBorder="1" applyAlignment="1">
      <alignment horizontal="center" vertical="top"/>
    </xf>
    <xf numFmtId="0" fontId="18" fillId="2" borderId="40" xfId="0" applyFont="1" applyFill="1" applyBorder="1" applyAlignment="1">
      <alignment horizontal="center" vertical="top"/>
    </xf>
    <xf numFmtId="0" fontId="20" fillId="7" borderId="11" xfId="0" applyFont="1" applyFill="1" applyBorder="1" applyAlignment="1">
      <alignment horizontal="center" vertical="top" wrapText="1"/>
    </xf>
    <xf numFmtId="0" fontId="20" fillId="7" borderId="12" xfId="0" applyFont="1" applyFill="1" applyBorder="1" applyAlignment="1">
      <alignment horizontal="center" vertical="top" wrapText="1"/>
    </xf>
    <xf numFmtId="0" fontId="20" fillId="7" borderId="13" xfId="0" applyFont="1" applyFill="1" applyBorder="1" applyAlignment="1">
      <alignment horizontal="center" vertical="top" wrapText="1"/>
    </xf>
    <xf numFmtId="170" fontId="18" fillId="5" borderId="38" xfId="0" quotePrefix="1" applyNumberFormat="1" applyFont="1" applyFill="1" applyBorder="1" applyAlignment="1">
      <alignment horizontal="left" vertical="center"/>
    </xf>
    <xf numFmtId="170" fontId="18" fillId="5" borderId="39" xfId="0" quotePrefix="1" applyNumberFormat="1" applyFont="1" applyFill="1" applyBorder="1" applyAlignment="1">
      <alignment horizontal="left" vertical="center"/>
    </xf>
    <xf numFmtId="170" fontId="18" fillId="5" borderId="40" xfId="0" quotePrefix="1" applyNumberFormat="1" applyFont="1" applyFill="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0" xfId="0" applyFont="1" applyBorder="1" applyAlignment="1">
      <alignment horizontal="left" vertical="center"/>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8" fillId="0" borderId="38" xfId="0" applyFont="1" applyBorder="1" applyAlignment="1">
      <alignment horizontal="right"/>
    </xf>
    <xf numFmtId="0" fontId="18" fillId="0" borderId="39" xfId="0" applyFont="1" applyBorder="1" applyAlignment="1">
      <alignment horizontal="right"/>
    </xf>
    <xf numFmtId="0" fontId="18" fillId="0" borderId="40"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1" fillId="0" borderId="44"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41" xfId="0" applyFont="1" applyBorder="1" applyAlignment="1">
      <alignment horizontal="right"/>
    </xf>
    <xf numFmtId="0" fontId="11" fillId="0" borderId="42" xfId="0" applyFont="1" applyBorder="1" applyAlignment="1">
      <alignment horizontal="right"/>
    </xf>
    <xf numFmtId="0" fontId="11" fillId="0" borderId="43" xfId="0" applyFont="1" applyBorder="1" applyAlignment="1">
      <alignment horizontal="right"/>
    </xf>
    <xf numFmtId="0" fontId="11" fillId="0" borderId="41" xfId="0" applyFont="1" applyBorder="1" applyAlignment="1">
      <alignment horizontal="right" vertical="center"/>
    </xf>
    <xf numFmtId="0" fontId="11" fillId="0" borderId="42" xfId="0" applyFont="1" applyBorder="1" applyAlignment="1">
      <alignment horizontal="right" vertical="center"/>
    </xf>
    <xf numFmtId="0" fontId="11" fillId="0" borderId="43"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38" xfId="0" applyNumberFormat="1" applyFont="1" applyFill="1" applyBorder="1" applyAlignment="1">
      <alignment horizontal="right"/>
    </xf>
    <xf numFmtId="170" fontId="17" fillId="5" borderId="39" xfId="0" applyNumberFormat="1" applyFont="1" applyFill="1" applyBorder="1" applyAlignment="1">
      <alignment horizontal="right"/>
    </xf>
    <xf numFmtId="170" fontId="17" fillId="5" borderId="40"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1" fillId="0" borderId="44"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167" fontId="18" fillId="2" borderId="7" xfId="0" applyNumberFormat="1" applyFont="1" applyFill="1" applyBorder="1" applyAlignment="1">
      <alignment horizontal="left" vertical="center"/>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0" fillId="4" borderId="1"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cellXfs>
  <cellStyles count="331">
    <cellStyle name=" 1" xfId="18"/>
    <cellStyle name="_Capex" xfId="19"/>
    <cellStyle name="_UED AMP 2009-14 Final 250309 Less PU" xfId="20"/>
    <cellStyle name="_UED AMP 2009-14 Final 250309 Less PU_1011 monthly" xfId="21"/>
    <cellStyle name="20% - Accent1 2" xfId="22"/>
    <cellStyle name="20% - Accent2 2" xfId="23"/>
    <cellStyle name="20% - Accent3 2" xfId="24"/>
    <cellStyle name="20% - Accent4 2" xfId="25"/>
    <cellStyle name="20% - Accent5 2" xfId="26"/>
    <cellStyle name="20% - Accent6 2" xfId="27"/>
    <cellStyle name="40% - Accent1 2" xfId="28"/>
    <cellStyle name="40% - Accent2 2" xfId="29"/>
    <cellStyle name="40% - Accent3 2" xfId="30"/>
    <cellStyle name="40% - Accent4 2" xfId="31"/>
    <cellStyle name="40% - Accent5 2" xfId="32"/>
    <cellStyle name="40% - Accent6 2" xfId="33"/>
    <cellStyle name="60% - Accent1 2" xfId="34"/>
    <cellStyle name="60% - Accent2 2" xfId="35"/>
    <cellStyle name="60% - Accent3 2" xfId="36"/>
    <cellStyle name="60% - Accent4 2" xfId="37"/>
    <cellStyle name="60% - Accent5 2" xfId="38"/>
    <cellStyle name="60% - Accent6 2" xfId="39"/>
    <cellStyle name="Accent1 - 20%" xfId="40"/>
    <cellStyle name="Accent1 - 40%" xfId="41"/>
    <cellStyle name="Accent1 - 60%" xfId="42"/>
    <cellStyle name="Accent1 2" xfId="43"/>
    <cellStyle name="Accent2 - 20%" xfId="44"/>
    <cellStyle name="Accent2 - 40%" xfId="45"/>
    <cellStyle name="Accent2 - 60%" xfId="46"/>
    <cellStyle name="Accent2 2" xfId="47"/>
    <cellStyle name="Accent3 - 20%" xfId="48"/>
    <cellStyle name="Accent3 - 40%" xfId="49"/>
    <cellStyle name="Accent3 - 60%" xfId="50"/>
    <cellStyle name="Accent3 2" xfId="51"/>
    <cellStyle name="Accent4 - 20%" xfId="52"/>
    <cellStyle name="Accent4 - 40%" xfId="53"/>
    <cellStyle name="Accent4 - 60%" xfId="54"/>
    <cellStyle name="Accent4 2" xfId="55"/>
    <cellStyle name="Accent5 - 20%" xfId="56"/>
    <cellStyle name="Accent5 - 40%" xfId="57"/>
    <cellStyle name="Accent5 - 60%" xfId="58"/>
    <cellStyle name="Accent5 2" xfId="59"/>
    <cellStyle name="Accent6 - 20%" xfId="60"/>
    <cellStyle name="Accent6 - 40%" xfId="61"/>
    <cellStyle name="Accent6 - 60%" xfId="62"/>
    <cellStyle name="Accent6 2" xfId="63"/>
    <cellStyle name="Agara" xfId="64"/>
    <cellStyle name="B79812_.wvu.PrintTitlest" xfId="65"/>
    <cellStyle name="Bad 2" xfId="66"/>
    <cellStyle name="Black" xfId="67"/>
    <cellStyle name="Blockout" xfId="68"/>
    <cellStyle name="Blockout 2" xfId="69"/>
    <cellStyle name="Blue" xfId="70"/>
    <cellStyle name="Calculation 2" xfId="71"/>
    <cellStyle name="Calculation 2 2" xfId="72"/>
    <cellStyle name="Calculation 2 2 2" xfId="73"/>
    <cellStyle name="Calculation 2 2 3" xfId="74"/>
    <cellStyle name="Calculation 2 3" xfId="75"/>
    <cellStyle name="Calculation 2 3 2" xfId="76"/>
    <cellStyle name="Calculation 2 3 3" xfId="77"/>
    <cellStyle name="Calculation 2 4" xfId="78"/>
    <cellStyle name="Calculation 2 4 2" xfId="79"/>
    <cellStyle name="Calculation 2 4 3" xfId="80"/>
    <cellStyle name="Calculation 2 5" xfId="81"/>
    <cellStyle name="Calculation 2 5 2" xfId="82"/>
    <cellStyle name="Calculation 2 5 3" xfId="83"/>
    <cellStyle name="Check Cell 2" xfId="84"/>
    <cellStyle name="Check Cell 2 2" xfId="85"/>
    <cellStyle name="Check Cell 2 2 2" xfId="86"/>
    <cellStyle name="Check Cell 2 2 2 2" xfId="87"/>
    <cellStyle name="Comma" xfId="3" builtinId="3"/>
    <cellStyle name="Comma [0]7Z_87C" xfId="88"/>
    <cellStyle name="Comma 0" xfId="89"/>
    <cellStyle name="Comma 1" xfId="90"/>
    <cellStyle name="Comma 2" xfId="10"/>
    <cellStyle name="Comma 2 2" xfId="91"/>
    <cellStyle name="Comma 2 2 2" xfId="92"/>
    <cellStyle name="Comma 2 3" xfId="93"/>
    <cellStyle name="Comma 3" xfId="11"/>
    <cellStyle name="Comma 4" xfId="94"/>
    <cellStyle name="Comma 5" xfId="95"/>
    <cellStyle name="Comma0" xfId="96"/>
    <cellStyle name="Currency" xfId="2" builtinId="4"/>
    <cellStyle name="Currency 11" xfId="97"/>
    <cellStyle name="Currency 2" xfId="4"/>
    <cellStyle name="Currency 3" xfId="98"/>
    <cellStyle name="Currency 4" xfId="99"/>
    <cellStyle name="D4_B8B1_005004B79812_.wvu.PrintTitlest" xfId="100"/>
    <cellStyle name="Date" xfId="101"/>
    <cellStyle name="Emphasis 1" xfId="102"/>
    <cellStyle name="Emphasis 2" xfId="103"/>
    <cellStyle name="Emphasis 3" xfId="104"/>
    <cellStyle name="Euro" xfId="105"/>
    <cellStyle name="Explanatory Text 2" xfId="106"/>
    <cellStyle name="Fixed" xfId="107"/>
    <cellStyle name="Gilsans" xfId="108"/>
    <cellStyle name="Gilsansl" xfId="109"/>
    <cellStyle name="Good 2" xfId="110"/>
    <cellStyle name="Heading 1 2" xfId="111"/>
    <cellStyle name="Heading 1 3" xfId="112"/>
    <cellStyle name="Heading 2 2" xfId="113"/>
    <cellStyle name="Heading 2 3" xfId="114"/>
    <cellStyle name="Heading 3 2" xfId="115"/>
    <cellStyle name="Heading 3 2 2" xfId="116"/>
    <cellStyle name="Heading 3 3" xfId="117"/>
    <cellStyle name="Heading 4 2" xfId="118"/>
    <cellStyle name="Heading 4 3" xfId="119"/>
    <cellStyle name="Heading(4)" xfId="120"/>
    <cellStyle name="Hyperlink 2" xfId="121"/>
    <cellStyle name="Hyperlink 3" xfId="122"/>
    <cellStyle name="Hyperlink Arrow" xfId="123"/>
    <cellStyle name="Hyperlink Text" xfId="124"/>
    <cellStyle name="Input 2" xfId="125"/>
    <cellStyle name="Input 2 2" xfId="126"/>
    <cellStyle name="Input 2 2 2" xfId="127"/>
    <cellStyle name="Input 2 2 3" xfId="128"/>
    <cellStyle name="Input 2 3" xfId="129"/>
    <cellStyle name="Input 2 3 2" xfId="130"/>
    <cellStyle name="Input 2 3 3" xfId="131"/>
    <cellStyle name="Input 2 4" xfId="132"/>
    <cellStyle name="Input 2 4 2" xfId="133"/>
    <cellStyle name="Input 2 4 3" xfId="134"/>
    <cellStyle name="Input 2 5" xfId="135"/>
    <cellStyle name="Input 2 5 2" xfId="136"/>
    <cellStyle name="Input 2 5 3" xfId="137"/>
    <cellStyle name="Input1" xfId="138"/>
    <cellStyle name="Input1 2" xfId="139"/>
    <cellStyle name="Input1 3" xfId="140"/>
    <cellStyle name="Input1 4" xfId="141"/>
    <cellStyle name="Input3" xfId="142"/>
    <cellStyle name="Input3 2" xfId="143"/>
    <cellStyle name="Input3 3" xfId="144"/>
    <cellStyle name="Input3 4" xfId="145"/>
    <cellStyle name="Lines" xfId="146"/>
    <cellStyle name="Linked Cell 2" xfId="147"/>
    <cellStyle name="Mine" xfId="148"/>
    <cellStyle name="Model Name" xfId="149"/>
    <cellStyle name="Neutral 2" xfId="150"/>
    <cellStyle name="Normal" xfId="0" builtinId="0"/>
    <cellStyle name="Normal - Style1" xfId="151"/>
    <cellStyle name="Normal 10" xfId="152"/>
    <cellStyle name="Normal 11" xfId="153"/>
    <cellStyle name="Normal 114" xfId="154"/>
    <cellStyle name="Normal 12" xfId="155"/>
    <cellStyle name="Normal 13" xfId="156"/>
    <cellStyle name="Normal 13 2" xfId="157"/>
    <cellStyle name="Normal 14" xfId="158"/>
    <cellStyle name="Normal 14 2" xfId="159"/>
    <cellStyle name="Normal 143" xfId="160"/>
    <cellStyle name="Normal 144" xfId="161"/>
    <cellStyle name="Normal 147" xfId="162"/>
    <cellStyle name="Normal 148" xfId="163"/>
    <cellStyle name="Normal 149" xfId="164"/>
    <cellStyle name="Normal 15" xfId="16"/>
    <cellStyle name="Normal 150" xfId="165"/>
    <cellStyle name="Normal 151" xfId="166"/>
    <cellStyle name="Normal 152" xfId="167"/>
    <cellStyle name="Normal 153" xfId="168"/>
    <cellStyle name="Normal 154" xfId="169"/>
    <cellStyle name="Normal 155" xfId="170"/>
    <cellStyle name="Normal 156" xfId="171"/>
    <cellStyle name="Normal 161" xfId="172"/>
    <cellStyle name="Normal 162" xfId="173"/>
    <cellStyle name="Normal 163" xfId="174"/>
    <cellStyle name="Normal 164" xfId="175"/>
    <cellStyle name="Normal 169" xfId="176"/>
    <cellStyle name="Normal 170" xfId="177"/>
    <cellStyle name="Normal 171" xfId="178"/>
    <cellStyle name="Normal 172" xfId="179"/>
    <cellStyle name="Normal 177" xfId="180"/>
    <cellStyle name="Normal 178" xfId="181"/>
    <cellStyle name="Normal 179" xfId="182"/>
    <cellStyle name="Normal 180" xfId="183"/>
    <cellStyle name="Normal 181" xfId="184"/>
    <cellStyle name="Normal 182" xfId="185"/>
    <cellStyle name="Normal 183" xfId="186"/>
    <cellStyle name="Normal 184" xfId="187"/>
    <cellStyle name="Normal 185" xfId="188"/>
    <cellStyle name="Normal 186" xfId="189"/>
    <cellStyle name="Normal 187" xfId="190"/>
    <cellStyle name="Normal 188" xfId="191"/>
    <cellStyle name="Normal 189" xfId="192"/>
    <cellStyle name="Normal 190" xfId="193"/>
    <cellStyle name="Normal 192" xfId="194"/>
    <cellStyle name="Normal 193" xfId="195"/>
    <cellStyle name="Normal 196" xfId="196"/>
    <cellStyle name="Normal 197" xfId="197"/>
    <cellStyle name="Normal 198" xfId="198"/>
    <cellStyle name="Normal 199" xfId="199"/>
    <cellStyle name="Normal 2" xfId="5"/>
    <cellStyle name="Normal 2 2" xfId="6"/>
    <cellStyle name="Normal 2 2 2" xfId="12"/>
    <cellStyle name="Normal 2 3" xfId="200"/>
    <cellStyle name="Normal 2 4" xfId="201"/>
    <cellStyle name="Normal 20" xfId="202"/>
    <cellStyle name="Normal 200" xfId="203"/>
    <cellStyle name="Normal 201" xfId="204"/>
    <cellStyle name="Normal 202" xfId="205"/>
    <cellStyle name="Normal 203" xfId="206"/>
    <cellStyle name="Normal 204" xfId="207"/>
    <cellStyle name="Normal 205" xfId="208"/>
    <cellStyle name="Normal 207" xfId="209"/>
    <cellStyle name="Normal 208" xfId="210"/>
    <cellStyle name="Normal 209" xfId="211"/>
    <cellStyle name="Normal 210" xfId="212"/>
    <cellStyle name="Normal 211" xfId="213"/>
    <cellStyle name="Normal 212" xfId="214"/>
    <cellStyle name="Normal 213" xfId="215"/>
    <cellStyle name="Normal 214" xfId="216"/>
    <cellStyle name="Normal 215" xfId="217"/>
    <cellStyle name="Normal 216" xfId="218"/>
    <cellStyle name="Normal 3" xfId="7"/>
    <cellStyle name="Normal 3 2" xfId="219"/>
    <cellStyle name="Normal 37" xfId="220"/>
    <cellStyle name="Normal 38" xfId="221"/>
    <cellStyle name="Normal 39" xfId="222"/>
    <cellStyle name="Normal 4" xfId="13"/>
    <cellStyle name="Normal 4 2" xfId="223"/>
    <cellStyle name="Normal 4 2 2" xfId="224"/>
    <cellStyle name="Normal 40" xfId="225"/>
    <cellStyle name="Normal 5" xfId="15"/>
    <cellStyle name="Normal 6" xfId="226"/>
    <cellStyle name="Normal 6 2" xfId="227"/>
    <cellStyle name="Normal 6 2 2" xfId="228"/>
    <cellStyle name="Normal 7" xfId="229"/>
    <cellStyle name="Normal 8" xfId="230"/>
    <cellStyle name="Normal 8 2" xfId="231"/>
    <cellStyle name="Normal 9" xfId="232"/>
    <cellStyle name="Note 2" xfId="14"/>
    <cellStyle name="Note 2 2" xfId="233"/>
    <cellStyle name="Note 2 2 2" xfId="234"/>
    <cellStyle name="Note 2 3" xfId="235"/>
    <cellStyle name="Note 2 3 2" xfId="236"/>
    <cellStyle name="Note 2 4" xfId="237"/>
    <cellStyle name="Note 2 4 2" xfId="238"/>
    <cellStyle name="Note 2 5" xfId="239"/>
    <cellStyle name="Note 2 5 2" xfId="240"/>
    <cellStyle name="Note 2 6" xfId="241"/>
    <cellStyle name="Note 2 6 2" xfId="242"/>
    <cellStyle name="Output 2" xfId="243"/>
    <cellStyle name="Output 2 2" xfId="244"/>
    <cellStyle name="Output 2 2 2" xfId="245"/>
    <cellStyle name="Output 2 2 3" xfId="246"/>
    <cellStyle name="Output 2 3" xfId="247"/>
    <cellStyle name="Output 2 3 2" xfId="248"/>
    <cellStyle name="Output 2 3 3" xfId="249"/>
    <cellStyle name="Output 2 4" xfId="250"/>
    <cellStyle name="Output 2 4 2" xfId="251"/>
    <cellStyle name="Output 2 4 3" xfId="252"/>
    <cellStyle name="Output 2 5" xfId="253"/>
    <cellStyle name="Output 2 5 2" xfId="254"/>
    <cellStyle name="Output 2 5 3" xfId="255"/>
    <cellStyle name="Output 2 6" xfId="256"/>
    <cellStyle name="Output 2 6 2" xfId="257"/>
    <cellStyle name="Output 2 6 3" xfId="258"/>
    <cellStyle name="Output 2 7" xfId="259"/>
    <cellStyle name="Output 2 7 2" xfId="260"/>
    <cellStyle name="Output 2 7 3" xfId="261"/>
    <cellStyle name="Output 2 8" xfId="262"/>
    <cellStyle name="Output 2 9" xfId="263"/>
    <cellStyle name="Percent" xfId="1" builtinId="5"/>
    <cellStyle name="Percent [2]" xfId="264"/>
    <cellStyle name="Percent 2" xfId="8"/>
    <cellStyle name="Percent 3" xfId="9"/>
    <cellStyle name="Percent 4" xfId="17"/>
    <cellStyle name="Percentage" xfId="265"/>
    <cellStyle name="Period Title" xfId="266"/>
    <cellStyle name="PSChar" xfId="267"/>
    <cellStyle name="PSDate" xfId="268"/>
    <cellStyle name="PSDec" xfId="269"/>
    <cellStyle name="PSDetail" xfId="270"/>
    <cellStyle name="PSHeading" xfId="271"/>
    <cellStyle name="PSInt" xfId="272"/>
    <cellStyle name="PSSpacer" xfId="273"/>
    <cellStyle name="Ratio" xfId="274"/>
    <cellStyle name="Right Date" xfId="275"/>
    <cellStyle name="Right Number" xfId="276"/>
    <cellStyle name="Right Year" xfId="277"/>
    <cellStyle name="SAPError" xfId="278"/>
    <cellStyle name="SAPKey" xfId="279"/>
    <cellStyle name="SAPLocked" xfId="280"/>
    <cellStyle name="SAPOutput" xfId="281"/>
    <cellStyle name="SAPSpace" xfId="282"/>
    <cellStyle name="SAPText" xfId="283"/>
    <cellStyle name="SAPUnLocked" xfId="284"/>
    <cellStyle name="Sheet Title" xfId="285"/>
    <cellStyle name="Style 1" xfId="286"/>
    <cellStyle name="Style 1 2" xfId="287"/>
    <cellStyle name="Style2" xfId="288"/>
    <cellStyle name="Style3" xfId="289"/>
    <cellStyle name="Style4" xfId="290"/>
    <cellStyle name="Style5" xfId="291"/>
    <cellStyle name="Table Head Green" xfId="292"/>
    <cellStyle name="Table Head Green 2" xfId="293"/>
    <cellStyle name="Table Head_pldt" xfId="294"/>
    <cellStyle name="Table Source" xfId="295"/>
    <cellStyle name="Table Units" xfId="296"/>
    <cellStyle name="Text" xfId="297"/>
    <cellStyle name="Text 2" xfId="298"/>
    <cellStyle name="Text Head 1" xfId="299"/>
    <cellStyle name="Text Head 2" xfId="300"/>
    <cellStyle name="Text Indent 2" xfId="301"/>
    <cellStyle name="Theirs" xfId="302"/>
    <cellStyle name="Title 2" xfId="303"/>
    <cellStyle name="TOC 1" xfId="304"/>
    <cellStyle name="TOC 2" xfId="305"/>
    <cellStyle name="TOC 3" xfId="306"/>
    <cellStyle name="Total 2" xfId="307"/>
    <cellStyle name="Total 2 2" xfId="308"/>
    <cellStyle name="Total 2 2 2" xfId="309"/>
    <cellStyle name="Total 2 2 3" xfId="310"/>
    <cellStyle name="Total 2 3" xfId="311"/>
    <cellStyle name="Total 2 3 2" xfId="312"/>
    <cellStyle name="Total 2 3 3" xfId="313"/>
    <cellStyle name="Total 2 4" xfId="314"/>
    <cellStyle name="Total 2 4 2" xfId="315"/>
    <cellStyle name="Total 2 4 3" xfId="316"/>
    <cellStyle name="Total 2 5" xfId="317"/>
    <cellStyle name="Total 2 5 2" xfId="318"/>
    <cellStyle name="Total 2 5 3" xfId="319"/>
    <cellStyle name="Total 2 6" xfId="320"/>
    <cellStyle name="Total 2 6 2" xfId="321"/>
    <cellStyle name="Total 2 6 3" xfId="322"/>
    <cellStyle name="Total 2 7" xfId="323"/>
    <cellStyle name="Total 2 7 2" xfId="324"/>
    <cellStyle name="Total 2 7 3" xfId="325"/>
    <cellStyle name="Total 2 8" xfId="326"/>
    <cellStyle name="Total 2 9" xfId="327"/>
    <cellStyle name="Warning Text 2" xfId="328"/>
    <cellStyle name="year" xfId="329"/>
    <cellStyle name="year 2" xfId="330"/>
  </cellStyles>
  <dxfs count="1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IMDATA\TRIM\TEMP\HPTRIM.1380\D13%20149663%20%20FINAL%20-%20United%20Energy%20STPIS%20Compliance%20Model%202012%20including%20amended%20telephone%20answering%20data%20-%202013102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IMDATA\TRIM\TEMP\HPTRIM.284\t0MZHKP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ACCC\Network%20Asset%20Replacement\Substations\6%20oct%2004%20Working%20Substations%20Budg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ACCC\TG%20Capital%20Works%20Budget\August%20Rev00%20Project%20List%20-%20incl%20PDR%20Dates%20rev05%20-%20High%20lev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ACCC\Chris%20Discussion\FoRward%20CAPEX%20Rev%2003-p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ACCC\Forward%20CAPEX\Pro%20Forma%20Rev%2004%20PT%206_10_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P69258\Local%20Settings\Temporary%20Internet%20Files\OLK5D\Substations%20Budget%2017%20Au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Inputs"/>
      <sheetName val="Actual Performance"/>
      <sheetName val="S-factor"/>
      <sheetName val="Customer numbers"/>
      <sheetName val="2011 - STPIS Exclusions"/>
      <sheetName val="2012 - STPIS Exclusions"/>
      <sheetName val="2011 - Major Event Days"/>
      <sheetName val="2012 - Major Event Days"/>
      <sheetName val="2011 - Daily Performance Data"/>
      <sheetName val="2012 - Telephone Answering"/>
      <sheetName val="2012 - Daily Performance Data"/>
      <sheetName val="2011 - Telephone Answering"/>
      <sheetName val="STPIS Performance Calculations"/>
    </sheetNames>
    <sheetDataSet>
      <sheetData sheetId="0">
        <row r="6">
          <cell r="D6">
            <v>0.05</v>
          </cell>
        </row>
        <row r="7">
          <cell r="D7">
            <v>-0.05</v>
          </cell>
        </row>
        <row r="9">
          <cell r="D9">
            <v>0.01</v>
          </cell>
        </row>
        <row r="10">
          <cell r="D10">
            <v>-0.01</v>
          </cell>
        </row>
        <row r="12">
          <cell r="D12">
            <v>5.0000000000000001E-3</v>
          </cell>
        </row>
        <row r="13">
          <cell r="D13">
            <v>-5.0000000000000001E-3</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SHEET 1"/>
      <sheetName val="WORKING SHEET 2"/>
      <sheetName val="Contents"/>
      <sheetName val="1.1 Instructions"/>
      <sheetName val="1.3 Business &amp; other details  "/>
      <sheetName val="1.2 Definitions"/>
      <sheetName val="4. Outputs to PTRM "/>
      <sheetName val="2.Expenditure Summary"/>
      <sheetName val="2.1 Capex"/>
      <sheetName val="2.1.1 Repex"/>
      <sheetName val="2.1.2 Repex Age Profile"/>
      <sheetName val="2.1.2.1 Augex"/>
      <sheetName val="2.1.2.2 Augex model"/>
      <sheetName val="2.1.3 Connections"/>
      <sheetName val="2.1.4 Metering"/>
      <sheetName val="2.1.5 Public lighting"/>
      <sheetName val="2.1.6 Fee &amp; quoted - Dx"/>
      <sheetName val="2.1.7 Non-network"/>
      <sheetName val="2.2 Opex "/>
      <sheetName val="2.2.1 Veg. management zones"/>
      <sheetName val="2.2.2 Vegetation Management"/>
      <sheetName val="2.2.3 Maintenance"/>
      <sheetName val="2.2.4 Emergency Response"/>
      <sheetName val="2.2.5 Overheads"/>
      <sheetName val="3. Network Information"/>
      <sheetName val="3.1 Customer Numbers"/>
      <sheetName val="3.2 Energy Consumption"/>
      <sheetName val="3.3 Network Demand"/>
      <sheetName val="3.3.1  Demand - System level"/>
      <sheetName val="3.3.2 Demand - Terminal station"/>
      <sheetName val="3.3.3 Demand - Zone sub station"/>
      <sheetName val="3.3.4 Demand - Feeder"/>
      <sheetName val="3.3.5 Demand - Weather data"/>
      <sheetName val="3.4 Aging Asset Schedule"/>
      <sheetName val="3.5 Asset Capacity"/>
      <sheetName val="3.6 Material Projects"/>
      <sheetName val="3.7 Contributions"/>
      <sheetName val="3.8 Services -Indicative  Price"/>
      <sheetName val="3.9 Service standards (STIPIS)"/>
      <sheetName val="3.10 Daily Performance Data"/>
      <sheetName val="5.1 Regulatory obligations"/>
      <sheetName val="5.2 Major Projects"/>
      <sheetName val="5.3 Expenditure with other pers"/>
      <sheetName val="6. Other Templates"/>
      <sheetName val="6.1  Policies and Procedures"/>
      <sheetName val="6.2 Key Assumptions"/>
      <sheetName val="6.3 Confidentiality"/>
      <sheetName val="7. Incentive Schemes"/>
      <sheetName val="7.1 EBSS"/>
      <sheetName val="7.2 CESS"/>
      <sheetName val="7.3 Cost of Capital"/>
      <sheetName val="7.4 Shared Assets"/>
      <sheetName val="3.6 Consumption"/>
      <sheetName val="3.7 Pricing"/>
      <sheetName val="8.1 Revenue"/>
      <sheetName val="8.2 Assets (RAB)"/>
      <sheetName val="8.3 Operational data"/>
      <sheetName val="8.4 Physical assets"/>
      <sheetName val="8.5 Quality of services"/>
      <sheetName val="8.6 Environmental factors"/>
      <sheetName val="9. Assumptions"/>
      <sheetName val="10. Confidentiality"/>
    </sheetNames>
    <sheetDataSet>
      <sheetData sheetId="0"/>
      <sheetData sheetId="1"/>
      <sheetData sheetId="2"/>
      <sheetData sheetId="3"/>
      <sheetData sheetId="4"/>
      <sheetData sheetId="5"/>
      <sheetData sheetId="6">
        <row r="9">
          <cell r="D9" t="str">
            <v>Asset Class Name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cols>
    <col min="1" max="1" width="2.42578125" customWidth="1"/>
    <col min="2" max="5" width="9.140625" customWidth="1"/>
    <col min="6" max="16384" width="9.140625" hidden="1"/>
  </cols>
  <sheetData>
    <row r="1" spans="2:2"/>
    <row r="2" spans="2:2">
      <c r="B2" s="1" t="s">
        <v>29</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136"/>
  <sheetViews>
    <sheetView zoomScaleNormal="100" workbookViewId="0"/>
  </sheetViews>
  <sheetFormatPr defaultRowHeight="12.75"/>
  <cols>
    <col min="1" max="1" width="2.85546875" style="154" customWidth="1"/>
    <col min="2" max="8" width="10" style="154" customWidth="1"/>
    <col min="9" max="11" width="10" style="155" customWidth="1"/>
    <col min="12" max="14" width="10" style="154" customWidth="1"/>
    <col min="15" max="15" width="1.42578125" style="154" customWidth="1"/>
    <col min="16" max="18" width="10" style="154" customWidth="1"/>
    <col min="19" max="19" width="1.42578125" style="154" customWidth="1"/>
    <col min="20" max="22" width="10" style="154" customWidth="1"/>
    <col min="23" max="23" width="1.42578125" style="154" customWidth="1"/>
    <col min="24" max="26" width="10" style="154" customWidth="1"/>
    <col min="27" max="47" width="12.7109375" style="154" customWidth="1"/>
    <col min="48" max="16384" width="9.140625" style="154"/>
  </cols>
  <sheetData>
    <row r="2" spans="2:26" ht="21">
      <c r="B2" s="123" t="s">
        <v>27</v>
      </c>
    </row>
    <row r="3" spans="2:26" ht="21">
      <c r="B3" s="123" t="s">
        <v>125</v>
      </c>
    </row>
    <row r="4" spans="2:26">
      <c r="B4" s="156"/>
    </row>
    <row r="5" spans="2:26" ht="168" customHeight="1">
      <c r="B5" s="502" t="s">
        <v>193</v>
      </c>
      <c r="C5" s="503"/>
      <c r="D5" s="503"/>
      <c r="E5" s="503"/>
      <c r="F5" s="503"/>
      <c r="G5" s="503"/>
      <c r="H5" s="503"/>
      <c r="I5" s="503"/>
      <c r="J5" s="503"/>
      <c r="K5" s="503"/>
      <c r="L5" s="503"/>
      <c r="M5" s="503"/>
      <c r="N5" s="503"/>
      <c r="O5" s="503"/>
      <c r="P5" s="503"/>
      <c r="Q5" s="503"/>
      <c r="R5" s="503"/>
      <c r="S5" s="503"/>
      <c r="T5" s="503"/>
      <c r="U5" s="503"/>
      <c r="V5" s="503"/>
      <c r="W5" s="503"/>
      <c r="X5" s="503"/>
      <c r="Y5" s="503"/>
      <c r="Z5" s="504"/>
    </row>
    <row r="7" spans="2:26" ht="28.5" customHeight="1">
      <c r="B7" s="502" t="s">
        <v>194</v>
      </c>
      <c r="C7" s="503"/>
      <c r="D7" s="503"/>
      <c r="E7" s="503"/>
      <c r="F7" s="503"/>
      <c r="G7" s="503"/>
      <c r="H7" s="503"/>
      <c r="I7" s="503"/>
      <c r="J7" s="503"/>
      <c r="K7" s="503"/>
      <c r="L7" s="503"/>
      <c r="M7" s="503"/>
      <c r="N7" s="503"/>
      <c r="O7" s="503"/>
      <c r="P7" s="503"/>
      <c r="Q7" s="503"/>
      <c r="R7" s="503"/>
      <c r="S7" s="503"/>
      <c r="T7" s="503"/>
      <c r="U7" s="503"/>
      <c r="V7" s="503"/>
      <c r="W7" s="503"/>
      <c r="X7" s="503"/>
      <c r="Y7" s="503"/>
      <c r="Z7" s="504"/>
    </row>
    <row r="9" spans="2:26">
      <c r="B9" s="215" t="s">
        <v>123</v>
      </c>
      <c r="C9" s="216"/>
      <c r="D9" s="216"/>
      <c r="E9" s="216"/>
      <c r="F9" s="216"/>
      <c r="G9" s="216"/>
      <c r="H9" s="216"/>
      <c r="I9" s="217"/>
      <c r="J9" s="217"/>
      <c r="K9" s="217"/>
      <c r="L9" s="216"/>
      <c r="M9" s="216"/>
      <c r="N9" s="216"/>
      <c r="O9" s="216"/>
      <c r="P9" s="216"/>
      <c r="Q9" s="216"/>
      <c r="R9" s="216"/>
      <c r="S9" s="216"/>
      <c r="T9" s="216"/>
      <c r="U9" s="216"/>
      <c r="V9" s="216"/>
      <c r="W9" s="216"/>
      <c r="X9" s="216"/>
      <c r="Y9" s="216"/>
      <c r="Z9" s="216"/>
    </row>
    <row r="11" spans="2:26" ht="38.25">
      <c r="B11" s="511" t="s">
        <v>100</v>
      </c>
      <c r="C11" s="512"/>
      <c r="D11" s="513"/>
      <c r="E11" s="221" t="s">
        <v>115</v>
      </c>
      <c r="F11" s="221" t="s">
        <v>116</v>
      </c>
    </row>
    <row r="12" spans="2:26">
      <c r="B12" s="157" t="s">
        <v>92</v>
      </c>
      <c r="C12" s="158"/>
      <c r="D12" s="158"/>
      <c r="E12" s="159">
        <f>+R48</f>
        <v>0.4477435024093821</v>
      </c>
      <c r="F12" s="160">
        <f>+H101</f>
        <v>0.29597553487451733</v>
      </c>
    </row>
    <row r="13" spans="2:26">
      <c r="B13" s="161" t="s">
        <v>158</v>
      </c>
      <c r="C13" s="162"/>
      <c r="D13" s="162"/>
      <c r="E13" s="163">
        <f t="shared" ref="E13:E19" si="0">+R49</f>
        <v>9.4739119955383772E-3</v>
      </c>
      <c r="F13" s="164">
        <f t="shared" ref="F13:F19" si="1">+H102</f>
        <v>4.6969629181850868E-3</v>
      </c>
    </row>
    <row r="14" spans="2:26">
      <c r="B14" s="161" t="s">
        <v>93</v>
      </c>
      <c r="C14" s="162"/>
      <c r="D14" s="162"/>
      <c r="E14" s="163">
        <f t="shared" si="0"/>
        <v>0.25585060247746755</v>
      </c>
      <c r="F14" s="164">
        <f t="shared" si="1"/>
        <v>0.16912700800512881</v>
      </c>
    </row>
    <row r="15" spans="2:26">
      <c r="B15" s="161" t="s">
        <v>72</v>
      </c>
      <c r="C15" s="162"/>
      <c r="D15" s="162"/>
      <c r="E15" s="163">
        <f t="shared" si="0"/>
        <v>8.560710153418144E-2</v>
      </c>
      <c r="F15" s="164">
        <f t="shared" si="1"/>
        <v>7.8761036958612266E-2</v>
      </c>
    </row>
    <row r="16" spans="2:26">
      <c r="B16" s="161" t="s">
        <v>77</v>
      </c>
      <c r="C16" s="162"/>
      <c r="D16" s="162"/>
      <c r="E16" s="163">
        <f t="shared" si="0"/>
        <v>3.5718202284881206E-2</v>
      </c>
      <c r="F16" s="164">
        <f t="shared" si="1"/>
        <v>0.34273963445352451</v>
      </c>
    </row>
    <row r="17" spans="2:26">
      <c r="B17" s="161" t="s">
        <v>83</v>
      </c>
      <c r="C17" s="162"/>
      <c r="D17" s="162"/>
      <c r="E17" s="163">
        <f t="shared" si="0"/>
        <v>0.16560667929854933</v>
      </c>
      <c r="F17" s="164">
        <f t="shared" si="1"/>
        <v>0.10722853682038457</v>
      </c>
    </row>
    <row r="18" spans="2:26">
      <c r="B18" s="161" t="s">
        <v>85</v>
      </c>
      <c r="C18" s="162"/>
      <c r="D18" s="162"/>
      <c r="E18" s="163">
        <f t="shared" si="0"/>
        <v>0</v>
      </c>
      <c r="F18" s="164">
        <f t="shared" si="1"/>
        <v>1.2444071817212167E-3</v>
      </c>
    </row>
    <row r="19" spans="2:26">
      <c r="B19" s="165" t="s">
        <v>88</v>
      </c>
      <c r="C19" s="166"/>
      <c r="D19" s="166"/>
      <c r="E19" s="167">
        <f t="shared" si="0"/>
        <v>0</v>
      </c>
      <c r="F19" s="168">
        <f t="shared" si="1"/>
        <v>2.2687878792609369E-4</v>
      </c>
    </row>
    <row r="21" spans="2:26">
      <c r="B21" s="215" t="s">
        <v>185</v>
      </c>
      <c r="C21" s="216"/>
      <c r="D21" s="216"/>
      <c r="E21" s="216"/>
      <c r="F21" s="216"/>
      <c r="G21" s="216"/>
      <c r="H21" s="216"/>
      <c r="I21" s="217"/>
      <c r="J21" s="217"/>
      <c r="K21" s="217"/>
      <c r="L21" s="216"/>
      <c r="M21" s="216"/>
      <c r="N21" s="216"/>
      <c r="O21" s="216"/>
      <c r="P21" s="216"/>
      <c r="Q21" s="216"/>
      <c r="R21" s="216"/>
      <c r="S21" s="216"/>
      <c r="T21" s="216"/>
      <c r="U21" s="216"/>
      <c r="V21" s="216"/>
      <c r="W21" s="216"/>
      <c r="X21" s="216"/>
      <c r="Y21" s="216"/>
      <c r="Z21" s="216"/>
    </row>
    <row r="23" spans="2:26" ht="105.75" customHeight="1">
      <c r="B23" s="502" t="s">
        <v>183</v>
      </c>
      <c r="C23" s="503"/>
      <c r="D23" s="503"/>
      <c r="E23" s="503"/>
      <c r="F23" s="503"/>
      <c r="G23" s="503"/>
      <c r="H23" s="503"/>
      <c r="I23" s="503"/>
      <c r="J23" s="503"/>
      <c r="K23" s="503"/>
      <c r="L23" s="503"/>
      <c r="M23" s="503"/>
      <c r="N23" s="503"/>
      <c r="O23" s="503"/>
      <c r="P23" s="503"/>
      <c r="Q23" s="503"/>
      <c r="R23" s="503"/>
      <c r="S23" s="503"/>
      <c r="T23" s="503"/>
      <c r="U23" s="503"/>
      <c r="V23" s="503"/>
      <c r="W23" s="503"/>
      <c r="X23" s="503"/>
      <c r="Y23" s="503"/>
      <c r="Z23" s="504"/>
    </row>
    <row r="25" spans="2:26">
      <c r="P25" s="508" t="s">
        <v>94</v>
      </c>
      <c r="Q25" s="509"/>
      <c r="R25" s="510"/>
      <c r="T25" s="508" t="s">
        <v>98</v>
      </c>
      <c r="U25" s="509"/>
      <c r="V25" s="510"/>
      <c r="X25" s="508" t="s">
        <v>99</v>
      </c>
      <c r="Y25" s="509"/>
      <c r="Z25" s="510"/>
    </row>
    <row r="26" spans="2:26" s="233" customFormat="1" ht="51">
      <c r="B26" s="218" t="s">
        <v>62</v>
      </c>
      <c r="C26" s="219"/>
      <c r="D26" s="219"/>
      <c r="E26" s="220"/>
      <c r="F26" s="514" t="s">
        <v>100</v>
      </c>
      <c r="G26" s="515"/>
      <c r="H26" s="516"/>
      <c r="I26" s="287" t="s">
        <v>180</v>
      </c>
      <c r="J26" s="288" t="s">
        <v>181</v>
      </c>
      <c r="K26" s="239" t="s">
        <v>46</v>
      </c>
      <c r="L26" s="289" t="s">
        <v>89</v>
      </c>
      <c r="M26" s="289" t="s">
        <v>90</v>
      </c>
      <c r="N26" s="223" t="s">
        <v>91</v>
      </c>
      <c r="P26" s="290" t="s">
        <v>95</v>
      </c>
      <c r="Q26" s="290" t="s">
        <v>96</v>
      </c>
      <c r="R26" s="290" t="s">
        <v>97</v>
      </c>
      <c r="T26" s="291" t="s">
        <v>95</v>
      </c>
      <c r="U26" s="291" t="s">
        <v>96</v>
      </c>
      <c r="V26" s="290" t="s">
        <v>97</v>
      </c>
      <c r="X26" s="292" t="s">
        <v>95</v>
      </c>
      <c r="Y26" s="292" t="s">
        <v>96</v>
      </c>
      <c r="Z26" s="292" t="s">
        <v>97</v>
      </c>
    </row>
    <row r="27" spans="2:26">
      <c r="B27" s="161" t="s">
        <v>64</v>
      </c>
      <c r="C27" s="162"/>
      <c r="D27" s="162"/>
      <c r="E27" s="169"/>
      <c r="F27" s="161" t="s">
        <v>92</v>
      </c>
      <c r="G27" s="162"/>
      <c r="H27" s="169"/>
      <c r="I27" s="266">
        <v>30469</v>
      </c>
      <c r="J27" s="252">
        <v>37135</v>
      </c>
      <c r="K27" s="267">
        <f>+I27+J27</f>
        <v>67604</v>
      </c>
      <c r="L27" s="245">
        <f>+K27/($K$45-$K$44)</f>
        <v>0.11179610655059963</v>
      </c>
      <c r="M27" s="170" t="s">
        <v>65</v>
      </c>
      <c r="N27" s="264">
        <v>1</v>
      </c>
      <c r="O27" s="155"/>
      <c r="P27" s="171">
        <v>15</v>
      </c>
      <c r="Q27" s="172">
        <f>+P27*K27</f>
        <v>1014060</v>
      </c>
      <c r="R27" s="173">
        <f>+Q27/$Q$45</f>
        <v>0.14867092538216722</v>
      </c>
      <c r="T27" s="496" t="s">
        <v>124</v>
      </c>
      <c r="U27" s="497"/>
      <c r="V27" s="174">
        <f>+P70</f>
        <v>0.11726295501042043</v>
      </c>
      <c r="X27" s="171">
        <v>10</v>
      </c>
      <c r="Y27" s="172">
        <f>+X27*K27</f>
        <v>676040</v>
      </c>
      <c r="Z27" s="173">
        <f>+Y27/$Y$45</f>
        <v>0.16416727072276679</v>
      </c>
    </row>
    <row r="28" spans="2:26">
      <c r="B28" s="161" t="s">
        <v>66</v>
      </c>
      <c r="C28" s="162"/>
      <c r="D28" s="162"/>
      <c r="E28" s="169"/>
      <c r="F28" s="161" t="s">
        <v>158</v>
      </c>
      <c r="G28" s="162"/>
      <c r="H28" s="169"/>
      <c r="I28" s="266">
        <v>484</v>
      </c>
      <c r="J28" s="252">
        <v>589</v>
      </c>
      <c r="K28" s="267">
        <f t="shared" ref="K28:K44" si="2">+I28+J28</f>
        <v>1073</v>
      </c>
      <c r="L28" s="245">
        <f t="shared" ref="L28:L43" si="3">+K28/($K$45-$K$44)</f>
        <v>1.7744101285248417E-3</v>
      </c>
      <c r="M28" s="170" t="s">
        <v>65</v>
      </c>
      <c r="N28" s="264">
        <v>1</v>
      </c>
      <c r="O28" s="155"/>
      <c r="P28" s="175">
        <v>20</v>
      </c>
      <c r="Q28" s="176">
        <f t="shared" ref="Q28:Q41" si="4">+P28*K28</f>
        <v>21460</v>
      </c>
      <c r="R28" s="177">
        <f t="shared" ref="R28:R44" si="5">+Q28/$Q$45</f>
        <v>3.1462418976207608E-3</v>
      </c>
      <c r="T28" s="498"/>
      <c r="U28" s="499"/>
      <c r="V28" s="178">
        <f t="shared" ref="V28:V44" si="6">+P71</f>
        <v>1.8611790829859347E-3</v>
      </c>
      <c r="X28" s="175">
        <v>10</v>
      </c>
      <c r="Y28" s="176">
        <f t="shared" ref="Y28:Y44" si="7">+X28*K28</f>
        <v>10730</v>
      </c>
      <c r="Z28" s="177">
        <f t="shared" ref="Z28:Z44" si="8">+Y28/$Y$45</f>
        <v>2.6056369665334706E-3</v>
      </c>
    </row>
    <row r="29" spans="2:26">
      <c r="B29" s="161" t="s">
        <v>67</v>
      </c>
      <c r="C29" s="162"/>
      <c r="D29" s="162"/>
      <c r="E29" s="169"/>
      <c r="F29" s="161" t="s">
        <v>93</v>
      </c>
      <c r="G29" s="162"/>
      <c r="H29" s="169"/>
      <c r="I29" s="266">
        <v>17411</v>
      </c>
      <c r="J29" s="252">
        <v>21219</v>
      </c>
      <c r="K29" s="267">
        <f t="shared" si="2"/>
        <v>38630</v>
      </c>
      <c r="L29" s="245">
        <f t="shared" si="3"/>
        <v>6.3882072008308144E-2</v>
      </c>
      <c r="M29" s="170" t="s">
        <v>65</v>
      </c>
      <c r="N29" s="264">
        <v>1</v>
      </c>
      <c r="O29" s="155"/>
      <c r="P29" s="175">
        <v>15</v>
      </c>
      <c r="Q29" s="176">
        <f t="shared" si="4"/>
        <v>579450</v>
      </c>
      <c r="R29" s="177">
        <f t="shared" si="5"/>
        <v>8.4952929523595053E-2</v>
      </c>
      <c r="T29" s="498"/>
      <c r="U29" s="499"/>
      <c r="V29" s="178">
        <f t="shared" si="6"/>
        <v>6.7005916100416271E-2</v>
      </c>
      <c r="X29" s="175">
        <v>10</v>
      </c>
      <c r="Y29" s="176">
        <f t="shared" si="7"/>
        <v>386300</v>
      </c>
      <c r="Z29" s="177">
        <f t="shared" si="8"/>
        <v>9.3807787527668204E-2</v>
      </c>
    </row>
    <row r="30" spans="2:26">
      <c r="B30" s="161" t="s">
        <v>68</v>
      </c>
      <c r="C30" s="162"/>
      <c r="D30" s="162"/>
      <c r="E30" s="169"/>
      <c r="F30" s="161" t="s">
        <v>92</v>
      </c>
      <c r="G30" s="162"/>
      <c r="H30" s="169"/>
      <c r="I30" s="266">
        <v>60428</v>
      </c>
      <c r="J30" s="252">
        <v>75567</v>
      </c>
      <c r="K30" s="267">
        <f t="shared" si="2"/>
        <v>135995</v>
      </c>
      <c r="L30" s="245">
        <f>+K30/($K$45-$K$44)</f>
        <v>0.22489366768754507</v>
      </c>
      <c r="M30" s="170" t="s">
        <v>65</v>
      </c>
      <c r="N30" s="264">
        <v>1</v>
      </c>
      <c r="O30" s="155"/>
      <c r="P30" s="175">
        <v>15</v>
      </c>
      <c r="Q30" s="176">
        <f t="shared" si="4"/>
        <v>2039925</v>
      </c>
      <c r="R30" s="177">
        <f t="shared" si="5"/>
        <v>0.29907257702721485</v>
      </c>
      <c r="T30" s="498"/>
      <c r="U30" s="499"/>
      <c r="V30" s="178">
        <f t="shared" si="6"/>
        <v>0.23589100595589207</v>
      </c>
      <c r="X30" s="175">
        <v>10</v>
      </c>
      <c r="Y30" s="176">
        <f t="shared" si="7"/>
        <v>1359950</v>
      </c>
      <c r="Z30" s="177">
        <f t="shared" si="8"/>
        <v>0.33024566566982233</v>
      </c>
    </row>
    <row r="31" spans="2:26">
      <c r="B31" s="161" t="s">
        <v>69</v>
      </c>
      <c r="C31" s="162"/>
      <c r="D31" s="162"/>
      <c r="E31" s="169"/>
      <c r="F31" s="161" t="s">
        <v>158</v>
      </c>
      <c r="G31" s="162"/>
      <c r="H31" s="169"/>
      <c r="I31" s="266">
        <v>959</v>
      </c>
      <c r="J31" s="252">
        <v>1199</v>
      </c>
      <c r="K31" s="267">
        <f t="shared" si="2"/>
        <v>2158</v>
      </c>
      <c r="L31" s="245">
        <f t="shared" si="3"/>
        <v>3.5686645455327197E-3</v>
      </c>
      <c r="M31" s="170" t="s">
        <v>65</v>
      </c>
      <c r="N31" s="264">
        <v>1</v>
      </c>
      <c r="O31" s="155"/>
      <c r="P31" s="175">
        <v>20</v>
      </c>
      <c r="Q31" s="176">
        <f t="shared" si="4"/>
        <v>43160</v>
      </c>
      <c r="R31" s="177">
        <f t="shared" si="5"/>
        <v>6.3276700979176164E-3</v>
      </c>
      <c r="T31" s="498"/>
      <c r="U31" s="499"/>
      <c r="V31" s="178">
        <f t="shared" si="6"/>
        <v>3.7431728435075922E-3</v>
      </c>
      <c r="X31" s="175">
        <v>10</v>
      </c>
      <c r="Y31" s="176">
        <f t="shared" si="7"/>
        <v>21580</v>
      </c>
      <c r="Z31" s="177">
        <f t="shared" si="8"/>
        <v>5.2404143278464398E-3</v>
      </c>
    </row>
    <row r="32" spans="2:26">
      <c r="B32" s="161" t="s">
        <v>70</v>
      </c>
      <c r="C32" s="162"/>
      <c r="D32" s="162"/>
      <c r="E32" s="169"/>
      <c r="F32" s="161" t="s">
        <v>93</v>
      </c>
      <c r="G32" s="162"/>
      <c r="H32" s="169"/>
      <c r="I32" s="266">
        <v>34530</v>
      </c>
      <c r="J32" s="252">
        <v>43181</v>
      </c>
      <c r="K32" s="267">
        <f t="shared" si="2"/>
        <v>77711</v>
      </c>
      <c r="L32" s="245">
        <f t="shared" si="3"/>
        <v>0.12850995852543706</v>
      </c>
      <c r="M32" s="170" t="s">
        <v>65</v>
      </c>
      <c r="N32" s="264">
        <v>1</v>
      </c>
      <c r="O32" s="155"/>
      <c r="P32" s="175">
        <v>15</v>
      </c>
      <c r="Q32" s="176">
        <f t="shared" si="4"/>
        <v>1165665</v>
      </c>
      <c r="R32" s="177">
        <f t="shared" si="5"/>
        <v>0.17089767295387251</v>
      </c>
      <c r="T32" s="498"/>
      <c r="U32" s="499"/>
      <c r="V32" s="178">
        <f t="shared" si="6"/>
        <v>0.13479411716488349</v>
      </c>
      <c r="X32" s="175">
        <v>10</v>
      </c>
      <c r="Y32" s="176">
        <f t="shared" si="7"/>
        <v>777110</v>
      </c>
      <c r="Z32" s="177">
        <f t="shared" si="8"/>
        <v>0.18871076822579921</v>
      </c>
    </row>
    <row r="33" spans="2:26">
      <c r="B33" s="161" t="s">
        <v>71</v>
      </c>
      <c r="C33" s="162"/>
      <c r="D33" s="162"/>
      <c r="E33" s="169"/>
      <c r="F33" s="161" t="s">
        <v>72</v>
      </c>
      <c r="G33" s="162"/>
      <c r="H33" s="169"/>
      <c r="I33" s="266">
        <v>104</v>
      </c>
      <c r="J33" s="252">
        <v>144</v>
      </c>
      <c r="K33" s="267">
        <f t="shared" si="2"/>
        <v>248</v>
      </c>
      <c r="L33" s="245">
        <f t="shared" si="3"/>
        <v>4.1011529531608643E-4</v>
      </c>
      <c r="M33" s="170" t="s">
        <v>65</v>
      </c>
      <c r="N33" s="264">
        <v>0.7</v>
      </c>
      <c r="O33" s="155"/>
      <c r="P33" s="175">
        <v>7</v>
      </c>
      <c r="Q33" s="176">
        <f t="shared" si="4"/>
        <v>1736</v>
      </c>
      <c r="R33" s="177">
        <f t="shared" si="5"/>
        <v>2.5451425602374844E-4</v>
      </c>
      <c r="T33" s="498"/>
      <c r="U33" s="499"/>
      <c r="V33" s="178">
        <f t="shared" si="6"/>
        <v>1.2303458859482593E-4</v>
      </c>
      <c r="X33" s="175">
        <v>0</v>
      </c>
      <c r="Y33" s="176">
        <f t="shared" si="7"/>
        <v>0</v>
      </c>
      <c r="Z33" s="177">
        <f t="shared" si="8"/>
        <v>0</v>
      </c>
    </row>
    <row r="34" spans="2:26">
      <c r="B34" s="161" t="s">
        <v>73</v>
      </c>
      <c r="C34" s="162"/>
      <c r="D34" s="162"/>
      <c r="E34" s="169"/>
      <c r="F34" s="161" t="s">
        <v>72</v>
      </c>
      <c r="G34" s="162"/>
      <c r="H34" s="169"/>
      <c r="I34" s="266">
        <v>189</v>
      </c>
      <c r="J34" s="252">
        <v>215</v>
      </c>
      <c r="K34" s="267">
        <f t="shared" si="2"/>
        <v>404</v>
      </c>
      <c r="L34" s="245">
        <f t="shared" si="3"/>
        <v>6.680910455955602E-4</v>
      </c>
      <c r="M34" s="170" t="s">
        <v>65</v>
      </c>
      <c r="N34" s="264">
        <v>1</v>
      </c>
      <c r="O34" s="155"/>
      <c r="P34" s="175">
        <v>7</v>
      </c>
      <c r="Q34" s="176">
        <f t="shared" si="4"/>
        <v>2828</v>
      </c>
      <c r="R34" s="177">
        <f t="shared" si="5"/>
        <v>4.1461193319997726E-4</v>
      </c>
      <c r="T34" s="498"/>
      <c r="U34" s="499"/>
      <c r="V34" s="178">
        <f t="shared" si="6"/>
        <v>2.0042731367866807E-4</v>
      </c>
      <c r="X34" s="175">
        <v>0</v>
      </c>
      <c r="Y34" s="176">
        <f t="shared" si="7"/>
        <v>0</v>
      </c>
      <c r="Z34" s="177">
        <f t="shared" si="8"/>
        <v>0</v>
      </c>
    </row>
    <row r="35" spans="2:26">
      <c r="B35" s="161" t="s">
        <v>74</v>
      </c>
      <c r="C35" s="162"/>
      <c r="D35" s="162"/>
      <c r="E35" s="169"/>
      <c r="F35" s="161" t="s">
        <v>72</v>
      </c>
      <c r="G35" s="162"/>
      <c r="H35" s="169"/>
      <c r="I35" s="266">
        <v>32855</v>
      </c>
      <c r="J35" s="252">
        <v>24384</v>
      </c>
      <c r="K35" s="267">
        <f t="shared" si="2"/>
        <v>57239</v>
      </c>
      <c r="L35" s="245">
        <f t="shared" si="3"/>
        <v>9.4655602373376904E-2</v>
      </c>
      <c r="M35" s="170" t="s">
        <v>65</v>
      </c>
      <c r="N35" s="264">
        <v>0.9</v>
      </c>
      <c r="O35" s="155"/>
      <c r="P35" s="175">
        <v>7</v>
      </c>
      <c r="Q35" s="176">
        <f t="shared" si="4"/>
        <v>400673</v>
      </c>
      <c r="R35" s="177">
        <f t="shared" si="5"/>
        <v>5.8742506050577965E-2</v>
      </c>
      <c r="T35" s="498"/>
      <c r="U35" s="499"/>
      <c r="V35" s="178">
        <f t="shared" si="6"/>
        <v>2.8396680712013071E-2</v>
      </c>
      <c r="X35" s="175">
        <v>8</v>
      </c>
      <c r="Y35" s="176">
        <f t="shared" si="7"/>
        <v>457912</v>
      </c>
      <c r="Z35" s="177">
        <f t="shared" si="8"/>
        <v>0.11119780378558011</v>
      </c>
    </row>
    <row r="36" spans="2:26">
      <c r="B36" s="161" t="s">
        <v>75</v>
      </c>
      <c r="C36" s="162"/>
      <c r="D36" s="162"/>
      <c r="E36" s="169"/>
      <c r="F36" s="161" t="s">
        <v>72</v>
      </c>
      <c r="G36" s="162"/>
      <c r="H36" s="169"/>
      <c r="I36" s="266">
        <v>0</v>
      </c>
      <c r="J36" s="252">
        <v>25525</v>
      </c>
      <c r="K36" s="267">
        <f t="shared" si="2"/>
        <v>25525</v>
      </c>
      <c r="L36" s="245">
        <f t="shared" si="3"/>
        <v>4.2210455294125426E-2</v>
      </c>
      <c r="M36" s="170" t="s">
        <v>65</v>
      </c>
      <c r="N36" s="264">
        <v>1</v>
      </c>
      <c r="O36" s="155"/>
      <c r="P36" s="175">
        <v>7</v>
      </c>
      <c r="Q36" s="176">
        <f t="shared" si="4"/>
        <v>178675</v>
      </c>
      <c r="R36" s="177">
        <f t="shared" si="5"/>
        <v>2.6195469294379752E-2</v>
      </c>
      <c r="T36" s="498"/>
      <c r="U36" s="499"/>
      <c r="V36" s="178">
        <f t="shared" si="6"/>
        <v>1.2663136588237627E-2</v>
      </c>
      <c r="X36" s="175">
        <v>8</v>
      </c>
      <c r="Y36" s="176">
        <f t="shared" si="7"/>
        <v>204200</v>
      </c>
      <c r="Z36" s="177">
        <f t="shared" si="8"/>
        <v>4.9587238449779567E-2</v>
      </c>
    </row>
    <row r="37" spans="2:26">
      <c r="B37" s="161" t="s">
        <v>76</v>
      </c>
      <c r="C37" s="162"/>
      <c r="D37" s="162"/>
      <c r="E37" s="169"/>
      <c r="F37" s="161" t="s">
        <v>77</v>
      </c>
      <c r="G37" s="162"/>
      <c r="H37" s="169"/>
      <c r="I37" s="266">
        <v>45</v>
      </c>
      <c r="J37" s="252">
        <v>62</v>
      </c>
      <c r="K37" s="267">
        <f t="shared" si="2"/>
        <v>107</v>
      </c>
      <c r="L37" s="245">
        <f t="shared" si="3"/>
        <v>1.7694490564040827E-4</v>
      </c>
      <c r="M37" s="170" t="s">
        <v>78</v>
      </c>
      <c r="N37" s="264">
        <v>0</v>
      </c>
      <c r="O37" s="155"/>
      <c r="P37" s="175">
        <v>7</v>
      </c>
      <c r="Q37" s="176">
        <f t="shared" si="4"/>
        <v>749</v>
      </c>
      <c r="R37" s="177">
        <f t="shared" si="5"/>
        <v>1.098105862683108E-4</v>
      </c>
      <c r="T37" s="498"/>
      <c r="U37" s="499"/>
      <c r="V37" s="178">
        <f t="shared" si="6"/>
        <v>5.3083471692122481E-5</v>
      </c>
      <c r="X37" s="175">
        <v>0</v>
      </c>
      <c r="Y37" s="176">
        <f t="shared" si="7"/>
        <v>0</v>
      </c>
      <c r="Z37" s="177">
        <f t="shared" si="8"/>
        <v>0</v>
      </c>
    </row>
    <row r="38" spans="2:26">
      <c r="B38" s="161" t="s">
        <v>79</v>
      </c>
      <c r="C38" s="162"/>
      <c r="D38" s="162"/>
      <c r="E38" s="169"/>
      <c r="F38" s="161" t="s">
        <v>77</v>
      </c>
      <c r="G38" s="162"/>
      <c r="H38" s="169"/>
      <c r="I38" s="266">
        <v>120</v>
      </c>
      <c r="J38" s="252">
        <v>1836</v>
      </c>
      <c r="K38" s="267">
        <f t="shared" si="2"/>
        <v>1956</v>
      </c>
      <c r="L38" s="245">
        <f t="shared" si="3"/>
        <v>3.23461902273494E-3</v>
      </c>
      <c r="M38" s="170" t="s">
        <v>78</v>
      </c>
      <c r="N38" s="264">
        <v>0</v>
      </c>
      <c r="O38" s="155"/>
      <c r="P38" s="175">
        <v>7</v>
      </c>
      <c r="Q38" s="176">
        <f t="shared" si="4"/>
        <v>13692</v>
      </c>
      <c r="R38" s="177">
        <f t="shared" si="5"/>
        <v>2.0073785676711768E-3</v>
      </c>
      <c r="T38" s="498"/>
      <c r="U38" s="499"/>
      <c r="V38" s="178">
        <f t="shared" si="6"/>
        <v>9.7038570682048196E-4</v>
      </c>
      <c r="X38" s="175">
        <v>0</v>
      </c>
      <c r="Y38" s="176">
        <f t="shared" si="7"/>
        <v>0</v>
      </c>
      <c r="Z38" s="177">
        <f t="shared" si="8"/>
        <v>0</v>
      </c>
    </row>
    <row r="39" spans="2:26">
      <c r="B39" s="161" t="s">
        <v>80</v>
      </c>
      <c r="C39" s="162"/>
      <c r="D39" s="162"/>
      <c r="E39" s="169"/>
      <c r="F39" s="161" t="s">
        <v>77</v>
      </c>
      <c r="G39" s="162"/>
      <c r="H39" s="169"/>
      <c r="I39" s="266">
        <v>3650</v>
      </c>
      <c r="J39" s="252">
        <v>2710</v>
      </c>
      <c r="K39" s="267">
        <f t="shared" si="2"/>
        <v>6360</v>
      </c>
      <c r="L39" s="245">
        <f t="shared" si="3"/>
        <v>1.0517472896009314E-2</v>
      </c>
      <c r="M39" s="170" t="s">
        <v>78</v>
      </c>
      <c r="N39" s="264">
        <v>0</v>
      </c>
      <c r="O39" s="155"/>
      <c r="P39" s="175">
        <v>7</v>
      </c>
      <c r="Q39" s="176">
        <f t="shared" si="4"/>
        <v>44520</v>
      </c>
      <c r="R39" s="177">
        <f t="shared" si="5"/>
        <v>6.527059146415483E-3</v>
      </c>
      <c r="T39" s="498"/>
      <c r="U39" s="499"/>
      <c r="V39" s="178">
        <f t="shared" si="6"/>
        <v>3.1552418688027941E-3</v>
      </c>
      <c r="X39" s="175">
        <v>8</v>
      </c>
      <c r="Y39" s="176">
        <f t="shared" si="7"/>
        <v>50880</v>
      </c>
      <c r="Z39" s="177">
        <f t="shared" si="8"/>
        <v>1.2355527386507269E-2</v>
      </c>
    </row>
    <row r="40" spans="2:26">
      <c r="B40" s="161" t="s">
        <v>81</v>
      </c>
      <c r="C40" s="162"/>
      <c r="D40" s="162"/>
      <c r="E40" s="169"/>
      <c r="F40" s="161" t="s">
        <v>77</v>
      </c>
      <c r="G40" s="162"/>
      <c r="H40" s="169"/>
      <c r="I40" s="266">
        <v>9585</v>
      </c>
      <c r="J40" s="252">
        <v>16796</v>
      </c>
      <c r="K40" s="267">
        <f t="shared" si="2"/>
        <v>26381</v>
      </c>
      <c r="L40" s="245">
        <f t="shared" si="3"/>
        <v>4.3626014539248692E-2</v>
      </c>
      <c r="M40" s="170" t="s">
        <v>78</v>
      </c>
      <c r="N40" s="264">
        <v>0</v>
      </c>
      <c r="O40" s="155"/>
      <c r="P40" s="175">
        <v>7</v>
      </c>
      <c r="Q40" s="176">
        <f t="shared" si="4"/>
        <v>184667</v>
      </c>
      <c r="R40" s="177">
        <f t="shared" si="5"/>
        <v>2.7073953984526236E-2</v>
      </c>
      <c r="T40" s="498"/>
      <c r="U40" s="499"/>
      <c r="V40" s="178">
        <f t="shared" si="6"/>
        <v>1.3087804361774607E-2</v>
      </c>
      <c r="X40" s="175">
        <v>0</v>
      </c>
      <c r="Y40" s="176">
        <f t="shared" si="7"/>
        <v>0</v>
      </c>
      <c r="Z40" s="177">
        <f t="shared" si="8"/>
        <v>0</v>
      </c>
    </row>
    <row r="41" spans="2:26">
      <c r="B41" s="161" t="s">
        <v>82</v>
      </c>
      <c r="C41" s="162"/>
      <c r="D41" s="162"/>
      <c r="E41" s="169"/>
      <c r="F41" s="161" t="s">
        <v>83</v>
      </c>
      <c r="G41" s="162"/>
      <c r="H41" s="169"/>
      <c r="I41" s="266">
        <v>73518</v>
      </c>
      <c r="J41" s="252">
        <v>87850</v>
      </c>
      <c r="K41" s="267">
        <f t="shared" si="2"/>
        <v>161368</v>
      </c>
      <c r="L41" s="245">
        <f t="shared" si="3"/>
        <v>0.2668527619942187</v>
      </c>
      <c r="M41" s="170" t="s">
        <v>65</v>
      </c>
      <c r="N41" s="264">
        <v>1</v>
      </c>
      <c r="O41" s="155"/>
      <c r="P41" s="175">
        <v>7</v>
      </c>
      <c r="Q41" s="176">
        <f t="shared" si="4"/>
        <v>1129576</v>
      </c>
      <c r="R41" s="177">
        <f t="shared" si="5"/>
        <v>0.16560667929854933</v>
      </c>
      <c r="T41" s="498"/>
      <c r="U41" s="499"/>
      <c r="V41" s="178">
        <f t="shared" si="6"/>
        <v>0.37982494627394403</v>
      </c>
      <c r="X41" s="175">
        <v>1</v>
      </c>
      <c r="Y41" s="176">
        <f t="shared" si="7"/>
        <v>161368</v>
      </c>
      <c r="Z41" s="177">
        <f t="shared" si="8"/>
        <v>3.9186060206483977E-2</v>
      </c>
    </row>
    <row r="42" spans="2:26">
      <c r="B42" s="161" t="s">
        <v>84</v>
      </c>
      <c r="C42" s="162"/>
      <c r="D42" s="162"/>
      <c r="E42" s="169"/>
      <c r="F42" s="161" t="s">
        <v>85</v>
      </c>
      <c r="G42" s="162"/>
      <c r="H42" s="169"/>
      <c r="I42" s="266">
        <v>375</v>
      </c>
      <c r="J42" s="252">
        <v>785</v>
      </c>
      <c r="K42" s="267">
        <f t="shared" si="2"/>
        <v>1160</v>
      </c>
      <c r="L42" s="245">
        <f t="shared" si="3"/>
        <v>1.9182812200268559E-3</v>
      </c>
      <c r="M42" s="170" t="s">
        <v>65</v>
      </c>
      <c r="N42" s="264">
        <v>1</v>
      </c>
      <c r="O42" s="155"/>
      <c r="P42" s="175">
        <v>0</v>
      </c>
      <c r="Q42" s="176">
        <f t="shared" ref="Q42:Q44" si="9">+P42*K42</f>
        <v>0</v>
      </c>
      <c r="R42" s="177">
        <f t="shared" si="5"/>
        <v>0</v>
      </c>
      <c r="T42" s="498"/>
      <c r="U42" s="499"/>
      <c r="V42" s="178">
        <f t="shared" si="6"/>
        <v>5.7548436600805678E-4</v>
      </c>
      <c r="X42" s="175">
        <v>5</v>
      </c>
      <c r="Y42" s="176">
        <f t="shared" si="7"/>
        <v>5800</v>
      </c>
      <c r="Z42" s="177">
        <f t="shared" si="8"/>
        <v>1.4084524143424166E-3</v>
      </c>
    </row>
    <row r="43" spans="2:26">
      <c r="B43" s="161" t="s">
        <v>86</v>
      </c>
      <c r="C43" s="162"/>
      <c r="D43" s="162"/>
      <c r="E43" s="169"/>
      <c r="F43" s="161" t="s">
        <v>85</v>
      </c>
      <c r="G43" s="162"/>
      <c r="H43" s="169"/>
      <c r="I43" s="266">
        <v>266</v>
      </c>
      <c r="J43" s="252">
        <v>523</v>
      </c>
      <c r="K43" s="267">
        <f t="shared" si="2"/>
        <v>789</v>
      </c>
      <c r="L43" s="245">
        <f t="shared" si="3"/>
        <v>1.3047619677596461E-3</v>
      </c>
      <c r="M43" s="170" t="s">
        <v>65</v>
      </c>
      <c r="N43" s="264">
        <v>1</v>
      </c>
      <c r="O43" s="155"/>
      <c r="P43" s="175">
        <v>0</v>
      </c>
      <c r="Q43" s="176">
        <f t="shared" si="9"/>
        <v>0</v>
      </c>
      <c r="R43" s="177">
        <f t="shared" si="5"/>
        <v>0</v>
      </c>
      <c r="T43" s="498"/>
      <c r="U43" s="499"/>
      <c r="V43" s="178">
        <f t="shared" si="6"/>
        <v>3.9142859032789381E-4</v>
      </c>
      <c r="X43" s="175">
        <v>5</v>
      </c>
      <c r="Y43" s="176">
        <f t="shared" si="7"/>
        <v>3945</v>
      </c>
      <c r="Z43" s="177">
        <f t="shared" si="8"/>
        <v>9.5799047837600584E-4</v>
      </c>
    </row>
    <row r="44" spans="2:26">
      <c r="B44" s="165" t="s">
        <v>87</v>
      </c>
      <c r="C44" s="166"/>
      <c r="D44" s="166"/>
      <c r="E44" s="179"/>
      <c r="F44" s="165" t="s">
        <v>88</v>
      </c>
      <c r="G44" s="166"/>
      <c r="H44" s="179"/>
      <c r="I44" s="266">
        <v>134</v>
      </c>
      <c r="J44" s="252">
        <v>302</v>
      </c>
      <c r="K44" s="267">
        <f t="shared" si="2"/>
        <v>436</v>
      </c>
      <c r="L44" s="245"/>
      <c r="M44" s="180" t="s">
        <v>65</v>
      </c>
      <c r="N44" s="265">
        <v>1</v>
      </c>
      <c r="O44" s="155"/>
      <c r="P44" s="182">
        <v>0</v>
      </c>
      <c r="Q44" s="183">
        <f t="shared" si="9"/>
        <v>0</v>
      </c>
      <c r="R44" s="184">
        <f t="shared" si="5"/>
        <v>0</v>
      </c>
      <c r="T44" s="500"/>
      <c r="U44" s="501"/>
      <c r="V44" s="185">
        <f t="shared" si="6"/>
        <v>0</v>
      </c>
      <c r="X44" s="182">
        <v>5</v>
      </c>
      <c r="Y44" s="183">
        <f t="shared" si="7"/>
        <v>2180</v>
      </c>
      <c r="Z44" s="184">
        <f t="shared" si="8"/>
        <v>5.2938383849421863E-4</v>
      </c>
    </row>
    <row r="45" spans="2:26" ht="13.5" thickBot="1">
      <c r="B45" s="186"/>
      <c r="C45" s="187"/>
      <c r="D45" s="187"/>
      <c r="E45" s="187"/>
      <c r="F45" s="187"/>
      <c r="G45" s="187"/>
      <c r="H45" s="187"/>
      <c r="I45" s="260">
        <f>SUM(I27:I44)</f>
        <v>265122</v>
      </c>
      <c r="J45" s="261">
        <f>SUM(J27:J44)</f>
        <v>340022</v>
      </c>
      <c r="K45" s="262">
        <f>SUM(K27:K44)</f>
        <v>605144</v>
      </c>
      <c r="L45" s="263">
        <f>SUM(L27:L44)</f>
        <v>0.99999999999999989</v>
      </c>
      <c r="P45" s="188"/>
      <c r="Q45" s="189">
        <f>SUM(Q27:Q44)</f>
        <v>6820836</v>
      </c>
      <c r="R45" s="190">
        <f>SUM(R27:R44)</f>
        <v>1</v>
      </c>
      <c r="T45" s="188"/>
      <c r="U45" s="191">
        <f>SUM(U27:U44)</f>
        <v>0</v>
      </c>
      <c r="V45" s="190">
        <f>SUM(V27:V44)</f>
        <v>1</v>
      </c>
      <c r="X45" s="188"/>
      <c r="Y45" s="191">
        <f>SUM(Y27:Y44)</f>
        <v>4117995</v>
      </c>
      <c r="Z45" s="192">
        <f>SUM(Z27:Z44)</f>
        <v>0.99999999999999978</v>
      </c>
    </row>
    <row r="47" spans="2:26" ht="51">
      <c r="F47" s="517" t="s">
        <v>182</v>
      </c>
      <c r="G47" s="517"/>
      <c r="H47" s="518"/>
      <c r="I47" s="224" t="s">
        <v>180</v>
      </c>
      <c r="J47" s="225" t="s">
        <v>181</v>
      </c>
      <c r="K47" s="226" t="s">
        <v>46</v>
      </c>
      <c r="L47" s="211" t="s">
        <v>89</v>
      </c>
      <c r="Q47" s="211" t="s">
        <v>46</v>
      </c>
      <c r="R47" s="211" t="s">
        <v>89</v>
      </c>
      <c r="U47" s="211" t="s">
        <v>46</v>
      </c>
      <c r="V47" s="211" t="s">
        <v>89</v>
      </c>
      <c r="Y47" s="211" t="s">
        <v>46</v>
      </c>
      <c r="Z47" s="211" t="s">
        <v>89</v>
      </c>
    </row>
    <row r="48" spans="2:26">
      <c r="F48" s="157" t="s">
        <v>92</v>
      </c>
      <c r="G48" s="158"/>
      <c r="H48" s="193"/>
      <c r="I48" s="248">
        <f>SUMIF($F$27:$F$44,$F48,I$27:I$44)</f>
        <v>90897</v>
      </c>
      <c r="J48" s="248">
        <f t="shared" ref="J48:L55" si="10">SUMIF($F$27:$F$44,$F48,J$27:J$44)</f>
        <v>112702</v>
      </c>
      <c r="K48" s="249">
        <f t="shared" si="10"/>
        <v>203599</v>
      </c>
      <c r="L48" s="250">
        <f t="shared" si="10"/>
        <v>0.33668977423814472</v>
      </c>
      <c r="M48" s="243"/>
      <c r="N48" s="243"/>
      <c r="O48" s="243"/>
      <c r="P48" s="243"/>
      <c r="Q48" s="251">
        <f t="shared" ref="Q48:Q55" si="11">SUMIF($F$27:$F$44,$F48,Q$27:Q$44)</f>
        <v>3053985</v>
      </c>
      <c r="R48" s="242">
        <f t="shared" ref="R48:R55" si="12">SUMIF($F$27:$F$44,$F48,R$27:R$44)</f>
        <v>0.4477435024093821</v>
      </c>
      <c r="S48" s="243"/>
      <c r="T48" s="243"/>
      <c r="U48" s="251">
        <f t="shared" ref="U48:V55" si="13">SUMIF($F$27:$F$44,$F48,U$27:U$44)</f>
        <v>0</v>
      </c>
      <c r="V48" s="242">
        <f t="shared" si="13"/>
        <v>0.35315396096631252</v>
      </c>
      <c r="W48" s="243"/>
      <c r="X48" s="243"/>
      <c r="Y48" s="251">
        <f t="shared" ref="Y48:Z55" si="14">SUMIF($F$27:$F$44,$F48,Y$27:Y$44)</f>
        <v>2035990</v>
      </c>
      <c r="Z48" s="242">
        <f t="shared" si="14"/>
        <v>0.4944129363925891</v>
      </c>
    </row>
    <row r="49" spans="2:26">
      <c r="F49" s="161" t="s">
        <v>158</v>
      </c>
      <c r="G49" s="162"/>
      <c r="H49" s="169"/>
      <c r="I49" s="252">
        <f t="shared" ref="I49:I55" si="15">SUMIF($F$27:$F$44,$F49,I$27:I$44)</f>
        <v>1443</v>
      </c>
      <c r="J49" s="252">
        <f t="shared" si="10"/>
        <v>1788</v>
      </c>
      <c r="K49" s="253">
        <f t="shared" si="10"/>
        <v>3231</v>
      </c>
      <c r="L49" s="254">
        <f t="shared" si="10"/>
        <v>5.3430746740575612E-3</v>
      </c>
      <c r="M49" s="243"/>
      <c r="N49" s="243"/>
      <c r="O49" s="243"/>
      <c r="P49" s="243"/>
      <c r="Q49" s="255">
        <f t="shared" si="11"/>
        <v>64620</v>
      </c>
      <c r="R49" s="245">
        <f t="shared" si="12"/>
        <v>9.4739119955383772E-3</v>
      </c>
      <c r="S49" s="243"/>
      <c r="T49" s="243"/>
      <c r="U49" s="255">
        <f t="shared" si="13"/>
        <v>0</v>
      </c>
      <c r="V49" s="245">
        <f t="shared" si="13"/>
        <v>5.6043519264935265E-3</v>
      </c>
      <c r="W49" s="243"/>
      <c r="X49" s="243"/>
      <c r="Y49" s="255">
        <f t="shared" si="14"/>
        <v>32310</v>
      </c>
      <c r="Z49" s="245">
        <f t="shared" si="14"/>
        <v>7.8460512943799108E-3</v>
      </c>
    </row>
    <row r="50" spans="2:26">
      <c r="F50" s="161" t="s">
        <v>93</v>
      </c>
      <c r="G50" s="162"/>
      <c r="H50" s="169"/>
      <c r="I50" s="252">
        <f t="shared" si="15"/>
        <v>51941</v>
      </c>
      <c r="J50" s="252">
        <f t="shared" si="10"/>
        <v>64400</v>
      </c>
      <c r="K50" s="253">
        <f t="shared" si="10"/>
        <v>116341</v>
      </c>
      <c r="L50" s="254">
        <f t="shared" si="10"/>
        <v>0.19239203053374521</v>
      </c>
      <c r="M50" s="243"/>
      <c r="N50" s="243"/>
      <c r="O50" s="243"/>
      <c r="P50" s="243"/>
      <c r="Q50" s="255">
        <f t="shared" si="11"/>
        <v>1745115</v>
      </c>
      <c r="R50" s="245">
        <f t="shared" si="12"/>
        <v>0.25585060247746755</v>
      </c>
      <c r="S50" s="243"/>
      <c r="T50" s="243"/>
      <c r="U50" s="255">
        <f t="shared" si="13"/>
        <v>0</v>
      </c>
      <c r="V50" s="245">
        <f t="shared" si="13"/>
        <v>0.20180003326529977</v>
      </c>
      <c r="W50" s="243"/>
      <c r="X50" s="243"/>
      <c r="Y50" s="255">
        <f t="shared" si="14"/>
        <v>1163410</v>
      </c>
      <c r="Z50" s="245">
        <f t="shared" si="14"/>
        <v>0.2825185557534674</v>
      </c>
    </row>
    <row r="51" spans="2:26">
      <c r="F51" s="161" t="s">
        <v>72</v>
      </c>
      <c r="G51" s="162"/>
      <c r="H51" s="169"/>
      <c r="I51" s="252">
        <f t="shared" si="15"/>
        <v>33148</v>
      </c>
      <c r="J51" s="252">
        <f t="shared" si="10"/>
        <v>50268</v>
      </c>
      <c r="K51" s="253">
        <f t="shared" si="10"/>
        <v>83416</v>
      </c>
      <c r="L51" s="254">
        <f t="shared" si="10"/>
        <v>0.13794426400841397</v>
      </c>
      <c r="M51" s="243"/>
      <c r="N51" s="243"/>
      <c r="O51" s="243"/>
      <c r="P51" s="243"/>
      <c r="Q51" s="255">
        <f t="shared" si="11"/>
        <v>583912</v>
      </c>
      <c r="R51" s="245">
        <f t="shared" si="12"/>
        <v>8.560710153418144E-2</v>
      </c>
      <c r="S51" s="243"/>
      <c r="T51" s="243"/>
      <c r="U51" s="255">
        <f t="shared" si="13"/>
        <v>0</v>
      </c>
      <c r="V51" s="245">
        <f t="shared" si="13"/>
        <v>4.1383279202524187E-2</v>
      </c>
      <c r="W51" s="243"/>
      <c r="X51" s="243"/>
      <c r="Y51" s="255">
        <f t="shared" si="14"/>
        <v>662112</v>
      </c>
      <c r="Z51" s="245">
        <f t="shared" si="14"/>
        <v>0.16078504223535967</v>
      </c>
    </row>
    <row r="52" spans="2:26">
      <c r="F52" s="161" t="s">
        <v>77</v>
      </c>
      <c r="G52" s="162"/>
      <c r="H52" s="169"/>
      <c r="I52" s="252">
        <f t="shared" si="15"/>
        <v>13400</v>
      </c>
      <c r="J52" s="252">
        <f t="shared" si="10"/>
        <v>21404</v>
      </c>
      <c r="K52" s="253">
        <f t="shared" si="10"/>
        <v>34804</v>
      </c>
      <c r="L52" s="254">
        <f t="shared" si="10"/>
        <v>5.7555051363633355E-2</v>
      </c>
      <c r="M52" s="243"/>
      <c r="N52" s="243"/>
      <c r="O52" s="243"/>
      <c r="P52" s="243"/>
      <c r="Q52" s="255">
        <f t="shared" si="11"/>
        <v>243628</v>
      </c>
      <c r="R52" s="245">
        <f t="shared" si="12"/>
        <v>3.5718202284881206E-2</v>
      </c>
      <c r="S52" s="243"/>
      <c r="T52" s="243"/>
      <c r="U52" s="255">
        <f t="shared" si="13"/>
        <v>0</v>
      </c>
      <c r="V52" s="245">
        <f t="shared" si="13"/>
        <v>1.7266515409090005E-2</v>
      </c>
      <c r="W52" s="243"/>
      <c r="X52" s="243"/>
      <c r="Y52" s="255">
        <f t="shared" si="14"/>
        <v>50880</v>
      </c>
      <c r="Z52" s="245">
        <f t="shared" si="14"/>
        <v>1.2355527386507269E-2</v>
      </c>
    </row>
    <row r="53" spans="2:26">
      <c r="F53" s="161" t="s">
        <v>83</v>
      </c>
      <c r="G53" s="162"/>
      <c r="H53" s="169"/>
      <c r="I53" s="252">
        <f t="shared" si="15"/>
        <v>73518</v>
      </c>
      <c r="J53" s="252">
        <f t="shared" si="10"/>
        <v>87850</v>
      </c>
      <c r="K53" s="253">
        <f t="shared" si="10"/>
        <v>161368</v>
      </c>
      <c r="L53" s="254">
        <f t="shared" si="10"/>
        <v>0.2668527619942187</v>
      </c>
      <c r="M53" s="243"/>
      <c r="N53" s="243"/>
      <c r="O53" s="243"/>
      <c r="P53" s="243"/>
      <c r="Q53" s="255">
        <f t="shared" si="11"/>
        <v>1129576</v>
      </c>
      <c r="R53" s="245">
        <f t="shared" si="12"/>
        <v>0.16560667929854933</v>
      </c>
      <c r="S53" s="243"/>
      <c r="T53" s="243"/>
      <c r="U53" s="255">
        <f t="shared" si="13"/>
        <v>0</v>
      </c>
      <c r="V53" s="245">
        <f t="shared" si="13"/>
        <v>0.37982494627394403</v>
      </c>
      <c r="W53" s="243"/>
      <c r="X53" s="243"/>
      <c r="Y53" s="255">
        <f t="shared" si="14"/>
        <v>161368</v>
      </c>
      <c r="Z53" s="245">
        <f t="shared" si="14"/>
        <v>3.9186060206483977E-2</v>
      </c>
    </row>
    <row r="54" spans="2:26">
      <c r="F54" s="161" t="s">
        <v>85</v>
      </c>
      <c r="G54" s="162"/>
      <c r="H54" s="169"/>
      <c r="I54" s="252">
        <f t="shared" si="15"/>
        <v>641</v>
      </c>
      <c r="J54" s="252">
        <f t="shared" si="10"/>
        <v>1308</v>
      </c>
      <c r="K54" s="253">
        <f t="shared" si="10"/>
        <v>1949</v>
      </c>
      <c r="L54" s="254">
        <f t="shared" si="10"/>
        <v>3.2230431877865017E-3</v>
      </c>
      <c r="M54" s="243"/>
      <c r="N54" s="243"/>
      <c r="O54" s="243"/>
      <c r="P54" s="243"/>
      <c r="Q54" s="255">
        <f t="shared" si="11"/>
        <v>0</v>
      </c>
      <c r="R54" s="245">
        <f t="shared" si="12"/>
        <v>0</v>
      </c>
      <c r="S54" s="243"/>
      <c r="T54" s="243"/>
      <c r="U54" s="255">
        <f t="shared" si="13"/>
        <v>0</v>
      </c>
      <c r="V54" s="245">
        <f t="shared" si="13"/>
        <v>9.6691295633595064E-4</v>
      </c>
      <c r="W54" s="243"/>
      <c r="X54" s="243"/>
      <c r="Y54" s="255">
        <f t="shared" si="14"/>
        <v>9745</v>
      </c>
      <c r="Z54" s="245">
        <f t="shared" si="14"/>
        <v>2.3664428927184225E-3</v>
      </c>
    </row>
    <row r="55" spans="2:26">
      <c r="F55" s="165" t="s">
        <v>88</v>
      </c>
      <c r="G55" s="166"/>
      <c r="H55" s="179"/>
      <c r="I55" s="256">
        <f t="shared" si="15"/>
        <v>134</v>
      </c>
      <c r="J55" s="256">
        <f t="shared" si="10"/>
        <v>302</v>
      </c>
      <c r="K55" s="257">
        <f t="shared" si="10"/>
        <v>436</v>
      </c>
      <c r="L55" s="258">
        <f t="shared" si="10"/>
        <v>0</v>
      </c>
      <c r="M55" s="243"/>
      <c r="N55" s="243"/>
      <c r="O55" s="243"/>
      <c r="P55" s="243"/>
      <c r="Q55" s="259">
        <f t="shared" si="11"/>
        <v>0</v>
      </c>
      <c r="R55" s="247">
        <f t="shared" si="12"/>
        <v>0</v>
      </c>
      <c r="S55" s="243"/>
      <c r="T55" s="243"/>
      <c r="U55" s="259">
        <f t="shared" si="13"/>
        <v>0</v>
      </c>
      <c r="V55" s="247">
        <f t="shared" si="13"/>
        <v>0</v>
      </c>
      <c r="W55" s="243"/>
      <c r="X55" s="243"/>
      <c r="Y55" s="259">
        <f t="shared" si="14"/>
        <v>2180</v>
      </c>
      <c r="Z55" s="247">
        <f t="shared" si="14"/>
        <v>5.2938383849421863E-4</v>
      </c>
    </row>
    <row r="56" spans="2:26">
      <c r="F56" s="162"/>
      <c r="G56" s="162"/>
      <c r="H56" s="162"/>
      <c r="I56" s="260">
        <f>SUM(I48:I55)</f>
        <v>265122</v>
      </c>
      <c r="J56" s="261">
        <f t="shared" ref="J56:L56" si="16">SUM(J48:J55)</f>
        <v>340022</v>
      </c>
      <c r="K56" s="262">
        <f t="shared" si="16"/>
        <v>605144</v>
      </c>
      <c r="L56" s="263">
        <f t="shared" si="16"/>
        <v>1</v>
      </c>
      <c r="M56" s="243"/>
      <c r="N56" s="243"/>
      <c r="O56" s="243"/>
      <c r="P56" s="243"/>
      <c r="Q56" s="262">
        <f t="shared" ref="Q56" si="17">SUM(Q48:Q55)</f>
        <v>6820836</v>
      </c>
      <c r="R56" s="263">
        <f t="shared" ref="R56" si="18">SUM(R48:R55)</f>
        <v>1</v>
      </c>
      <c r="S56" s="243"/>
      <c r="T56" s="243"/>
      <c r="U56" s="262">
        <f t="shared" ref="U56" si="19">SUM(U48:U55)</f>
        <v>0</v>
      </c>
      <c r="V56" s="263">
        <f t="shared" ref="V56" si="20">SUM(V48:V55)</f>
        <v>1</v>
      </c>
      <c r="W56" s="243"/>
      <c r="X56" s="243"/>
      <c r="Y56" s="262">
        <f t="shared" ref="Y56" si="21">SUM(Y48:Y55)</f>
        <v>4117995</v>
      </c>
      <c r="Z56" s="263">
        <f t="shared" ref="Z56" si="22">SUM(Z48:Z55)</f>
        <v>0.99999999999999989</v>
      </c>
    </row>
    <row r="57" spans="2:26">
      <c r="F57" s="162"/>
      <c r="G57" s="162"/>
      <c r="H57" s="162"/>
      <c r="I57" s="155">
        <f>+I56-I45</f>
        <v>0</v>
      </c>
      <c r="J57" s="155">
        <f t="shared" ref="J57:L57" si="23">+J56-J45</f>
        <v>0</v>
      </c>
      <c r="K57" s="155">
        <f t="shared" si="23"/>
        <v>0</v>
      </c>
      <c r="L57" s="155">
        <f t="shared" si="23"/>
        <v>0</v>
      </c>
      <c r="Q57" s="155">
        <f t="shared" ref="Q57:R57" si="24">+Q56-Q45</f>
        <v>0</v>
      </c>
      <c r="R57" s="155">
        <f t="shared" si="24"/>
        <v>0</v>
      </c>
      <c r="U57" s="155">
        <f t="shared" ref="U57" si="25">+U56-U45</f>
        <v>0</v>
      </c>
      <c r="V57" s="155">
        <f t="shared" ref="V57" si="26">+V56-V45</f>
        <v>0</v>
      </c>
      <c r="Y57" s="155">
        <f t="shared" ref="Y57" si="27">+Y56-Y45</f>
        <v>0</v>
      </c>
      <c r="Z57" s="155">
        <f t="shared" ref="Z57" si="28">+Z56-Z45</f>
        <v>0</v>
      </c>
    </row>
    <row r="58" spans="2:26">
      <c r="F58" s="162"/>
      <c r="G58" s="162"/>
      <c r="H58" s="162"/>
    </row>
    <row r="59" spans="2:26">
      <c r="B59" s="212" t="s">
        <v>114</v>
      </c>
      <c r="C59" s="213"/>
      <c r="D59" s="213"/>
      <c r="E59" s="213"/>
      <c r="F59" s="213"/>
      <c r="G59" s="213"/>
      <c r="H59" s="213"/>
      <c r="I59" s="214"/>
      <c r="J59" s="214"/>
      <c r="K59" s="214"/>
      <c r="L59" s="213"/>
      <c r="M59" s="213"/>
      <c r="N59" s="213"/>
      <c r="O59" s="213"/>
      <c r="P59" s="213"/>
      <c r="Q59" s="213"/>
      <c r="R59" s="213"/>
      <c r="S59" s="213"/>
      <c r="T59" s="213"/>
      <c r="U59" s="213"/>
      <c r="V59" s="213"/>
      <c r="W59" s="213"/>
      <c r="X59" s="213"/>
      <c r="Y59" s="213"/>
      <c r="Z59" s="213"/>
    </row>
    <row r="60" spans="2:26">
      <c r="F60" s="162"/>
      <c r="G60" s="162"/>
      <c r="H60" s="162"/>
    </row>
    <row r="61" spans="2:26" ht="30" customHeight="1">
      <c r="B61" s="493" t="s">
        <v>184</v>
      </c>
      <c r="C61" s="494"/>
      <c r="D61" s="494"/>
      <c r="E61" s="494"/>
      <c r="F61" s="494"/>
      <c r="G61" s="494"/>
      <c r="H61" s="494"/>
      <c r="I61" s="494"/>
      <c r="J61" s="494"/>
      <c r="K61" s="494"/>
      <c r="L61" s="494"/>
      <c r="M61" s="494"/>
      <c r="N61" s="494"/>
      <c r="O61" s="494"/>
      <c r="P61" s="494"/>
      <c r="Q61" s="494"/>
      <c r="R61" s="494"/>
      <c r="S61" s="494"/>
      <c r="T61" s="494"/>
      <c r="U61" s="494"/>
      <c r="V61" s="494"/>
      <c r="W61" s="494"/>
      <c r="X61" s="494"/>
      <c r="Y61" s="494"/>
      <c r="Z61" s="495"/>
    </row>
    <row r="62" spans="2:26">
      <c r="F62" s="162"/>
      <c r="G62" s="162"/>
      <c r="H62" s="162"/>
    </row>
    <row r="63" spans="2:26">
      <c r="B63" s="238" t="s">
        <v>103</v>
      </c>
      <c r="C63" s="234"/>
      <c r="D63" s="235" t="s">
        <v>106</v>
      </c>
      <c r="E63" s="236" t="s">
        <v>105</v>
      </c>
      <c r="F63" s="162"/>
      <c r="G63" s="162"/>
      <c r="H63" s="162"/>
    </row>
    <row r="64" spans="2:26" ht="28.5" customHeight="1">
      <c r="B64" s="519" t="s">
        <v>104</v>
      </c>
      <c r="C64" s="520"/>
      <c r="D64" s="227">
        <v>3</v>
      </c>
      <c r="E64" s="228">
        <f>+D64/D66</f>
        <v>0.3</v>
      </c>
      <c r="F64" s="521" t="s">
        <v>108</v>
      </c>
      <c r="G64" s="522"/>
      <c r="H64" s="522"/>
      <c r="I64" s="522"/>
      <c r="J64" s="522"/>
      <c r="K64" s="522"/>
      <c r="L64" s="522"/>
      <c r="M64" s="522"/>
      <c r="N64" s="522"/>
      <c r="O64" s="522"/>
      <c r="P64" s="522"/>
      <c r="Q64" s="522"/>
      <c r="R64" s="522"/>
      <c r="S64" s="522"/>
      <c r="T64" s="522"/>
      <c r="U64" s="522"/>
      <c r="V64" s="522"/>
      <c r="W64" s="522"/>
      <c r="X64" s="522"/>
      <c r="Y64" s="522"/>
      <c r="Z64" s="522"/>
    </row>
    <row r="65" spans="2:26">
      <c r="B65" s="165" t="s">
        <v>102</v>
      </c>
      <c r="C65" s="179"/>
      <c r="D65" s="180">
        <v>7</v>
      </c>
      <c r="E65" s="181">
        <f>+D65/D66</f>
        <v>0.7</v>
      </c>
      <c r="F65" s="521" t="s">
        <v>107</v>
      </c>
      <c r="G65" s="522"/>
      <c r="H65" s="522"/>
      <c r="I65" s="522"/>
      <c r="J65" s="522"/>
      <c r="K65" s="522"/>
      <c r="L65" s="522"/>
      <c r="M65" s="522"/>
      <c r="N65" s="522"/>
      <c r="O65" s="522"/>
      <c r="P65" s="522"/>
      <c r="Q65" s="522"/>
      <c r="R65" s="522"/>
      <c r="S65" s="522"/>
      <c r="T65" s="522"/>
      <c r="U65" s="522"/>
      <c r="V65" s="522"/>
      <c r="W65" s="522"/>
      <c r="X65" s="522"/>
      <c r="Y65" s="522"/>
      <c r="Z65" s="522"/>
    </row>
    <row r="66" spans="2:26">
      <c r="B66" s="162"/>
      <c r="C66" s="162"/>
      <c r="D66" s="235">
        <f>SUM(D64:D65)</f>
        <v>10</v>
      </c>
      <c r="E66" s="237">
        <f>SUM(E64:E65)</f>
        <v>1</v>
      </c>
      <c r="F66" s="162"/>
      <c r="G66" s="162"/>
      <c r="H66" s="162"/>
    </row>
    <row r="67" spans="2:26">
      <c r="F67" s="162"/>
      <c r="G67" s="162"/>
      <c r="H67" s="162"/>
    </row>
    <row r="68" spans="2:26">
      <c r="F68" s="162"/>
      <c r="G68" s="162"/>
      <c r="H68" s="162"/>
      <c r="K68" s="505" t="s">
        <v>112</v>
      </c>
      <c r="L68" s="506"/>
      <c r="M68" s="506"/>
      <c r="N68" s="507"/>
    </row>
    <row r="69" spans="2:26" s="233" customFormat="1" ht="38.25">
      <c r="B69" s="218" t="s">
        <v>62</v>
      </c>
      <c r="C69" s="219"/>
      <c r="D69" s="219"/>
      <c r="E69" s="220"/>
      <c r="F69" s="218" t="s">
        <v>100</v>
      </c>
      <c r="G69" s="219"/>
      <c r="H69" s="220"/>
      <c r="I69" s="239" t="s">
        <v>104</v>
      </c>
      <c r="J69" s="232"/>
      <c r="K69" s="239" t="s">
        <v>111</v>
      </c>
      <c r="L69" s="239" t="s">
        <v>96</v>
      </c>
      <c r="M69" s="240" t="s">
        <v>97</v>
      </c>
      <c r="N69" s="240" t="s">
        <v>109</v>
      </c>
      <c r="P69" s="240" t="s">
        <v>113</v>
      </c>
    </row>
    <row r="70" spans="2:26">
      <c r="B70" s="161" t="s">
        <v>64</v>
      </c>
      <c r="C70" s="162"/>
      <c r="D70" s="162"/>
      <c r="E70" s="169"/>
      <c r="F70" s="161" t="s">
        <v>92</v>
      </c>
      <c r="G70" s="162"/>
      <c r="H70" s="169"/>
      <c r="I70" s="245">
        <f t="shared" ref="I70:I86" si="29">+$E$64*L27</f>
        <v>3.3538831965179886E-2</v>
      </c>
      <c r="K70" s="195">
        <v>10</v>
      </c>
      <c r="L70" s="229">
        <f t="shared" ref="L70:L87" si="30">+K70*K27</f>
        <v>676040</v>
      </c>
      <c r="M70" s="241">
        <f>+L70/$L$88</f>
        <v>0.11960589006462936</v>
      </c>
      <c r="N70" s="242">
        <f>+M70*$E$65</f>
        <v>8.3724123045240545E-2</v>
      </c>
      <c r="O70" s="243"/>
      <c r="P70" s="242">
        <f>+N70+I70</f>
        <v>0.11726295501042043</v>
      </c>
    </row>
    <row r="71" spans="2:26">
      <c r="B71" s="161" t="s">
        <v>66</v>
      </c>
      <c r="C71" s="162"/>
      <c r="D71" s="162"/>
      <c r="E71" s="169"/>
      <c r="F71" s="161" t="s">
        <v>158</v>
      </c>
      <c r="G71" s="162"/>
      <c r="H71" s="169"/>
      <c r="I71" s="245">
        <f t="shared" si="29"/>
        <v>5.323230385574525E-4</v>
      </c>
      <c r="K71" s="196">
        <v>10</v>
      </c>
      <c r="L71" s="230">
        <f t="shared" si="30"/>
        <v>10730</v>
      </c>
      <c r="M71" s="244">
        <f t="shared" ref="M71:M87" si="31">+L71/$L$88</f>
        <v>1.8983657777549745E-3</v>
      </c>
      <c r="N71" s="245">
        <f t="shared" ref="N71:N87" si="32">+M71*$E$65</f>
        <v>1.3288560444284822E-3</v>
      </c>
      <c r="O71" s="243"/>
      <c r="P71" s="245">
        <f t="shared" ref="P71:P86" si="33">+N71+I71</f>
        <v>1.8611790829859347E-3</v>
      </c>
    </row>
    <row r="72" spans="2:26">
      <c r="B72" s="161" t="s">
        <v>67</v>
      </c>
      <c r="C72" s="162"/>
      <c r="D72" s="162"/>
      <c r="E72" s="169"/>
      <c r="F72" s="161" t="s">
        <v>93</v>
      </c>
      <c r="G72" s="162"/>
      <c r="H72" s="169"/>
      <c r="I72" s="245">
        <f t="shared" si="29"/>
        <v>1.9164621602492441E-2</v>
      </c>
      <c r="K72" s="196">
        <v>10</v>
      </c>
      <c r="L72" s="230">
        <f t="shared" si="30"/>
        <v>386300</v>
      </c>
      <c r="M72" s="244">
        <f t="shared" si="31"/>
        <v>6.8344706425605473E-2</v>
      </c>
      <c r="N72" s="245">
        <f t="shared" si="32"/>
        <v>4.7841294497923827E-2</v>
      </c>
      <c r="O72" s="243"/>
      <c r="P72" s="245">
        <f t="shared" si="33"/>
        <v>6.7005916100416271E-2</v>
      </c>
    </row>
    <row r="73" spans="2:26">
      <c r="B73" s="161" t="s">
        <v>68</v>
      </c>
      <c r="C73" s="162"/>
      <c r="D73" s="162"/>
      <c r="E73" s="169"/>
      <c r="F73" s="161" t="s">
        <v>92</v>
      </c>
      <c r="G73" s="162"/>
      <c r="H73" s="169"/>
      <c r="I73" s="245">
        <f t="shared" si="29"/>
        <v>6.7468100306263518E-2</v>
      </c>
      <c r="K73" s="196">
        <v>10</v>
      </c>
      <c r="L73" s="230">
        <f t="shared" si="30"/>
        <v>1359950</v>
      </c>
      <c r="M73" s="244">
        <f t="shared" si="31"/>
        <v>0.2406041509280408</v>
      </c>
      <c r="N73" s="245">
        <f t="shared" si="32"/>
        <v>0.16842290564962856</v>
      </c>
      <c r="O73" s="243"/>
      <c r="P73" s="245">
        <f t="shared" si="33"/>
        <v>0.23589100595589207</v>
      </c>
    </row>
    <row r="74" spans="2:26">
      <c r="B74" s="161" t="s">
        <v>69</v>
      </c>
      <c r="C74" s="162"/>
      <c r="D74" s="162"/>
      <c r="E74" s="169"/>
      <c r="F74" s="161" t="s">
        <v>158</v>
      </c>
      <c r="G74" s="162"/>
      <c r="H74" s="169"/>
      <c r="I74" s="245">
        <f t="shared" si="29"/>
        <v>1.0705993636598158E-3</v>
      </c>
      <c r="K74" s="196">
        <v>10</v>
      </c>
      <c r="L74" s="230">
        <f t="shared" si="30"/>
        <v>21580</v>
      </c>
      <c r="M74" s="244">
        <f t="shared" si="31"/>
        <v>3.8179621140682525E-3</v>
      </c>
      <c r="N74" s="245">
        <f t="shared" si="32"/>
        <v>2.6725734798477767E-3</v>
      </c>
      <c r="O74" s="243"/>
      <c r="P74" s="245">
        <f t="shared" si="33"/>
        <v>3.7431728435075922E-3</v>
      </c>
    </row>
    <row r="75" spans="2:26">
      <c r="B75" s="161" t="s">
        <v>70</v>
      </c>
      <c r="C75" s="162"/>
      <c r="D75" s="162"/>
      <c r="E75" s="169"/>
      <c r="F75" s="161" t="s">
        <v>93</v>
      </c>
      <c r="G75" s="162"/>
      <c r="H75" s="169"/>
      <c r="I75" s="245">
        <f t="shared" si="29"/>
        <v>3.8552987557631119E-2</v>
      </c>
      <c r="K75" s="196">
        <v>10</v>
      </c>
      <c r="L75" s="230">
        <f t="shared" si="30"/>
        <v>777110</v>
      </c>
      <c r="M75" s="244">
        <f t="shared" si="31"/>
        <v>0.13748732801036051</v>
      </c>
      <c r="N75" s="245">
        <f t="shared" si="32"/>
        <v>9.6241129607252354E-2</v>
      </c>
      <c r="O75" s="243"/>
      <c r="P75" s="245">
        <f t="shared" si="33"/>
        <v>0.13479411716488349</v>
      </c>
    </row>
    <row r="76" spans="2:26">
      <c r="B76" s="161" t="s">
        <v>71</v>
      </c>
      <c r="C76" s="162"/>
      <c r="D76" s="162"/>
      <c r="E76" s="169"/>
      <c r="F76" s="161" t="s">
        <v>72</v>
      </c>
      <c r="G76" s="162"/>
      <c r="H76" s="169"/>
      <c r="I76" s="245">
        <f t="shared" si="29"/>
        <v>1.2303458859482593E-4</v>
      </c>
      <c r="K76" s="196">
        <v>0</v>
      </c>
      <c r="L76" s="230">
        <f t="shared" si="30"/>
        <v>0</v>
      </c>
      <c r="M76" s="244">
        <f t="shared" si="31"/>
        <v>0</v>
      </c>
      <c r="N76" s="245">
        <f t="shared" si="32"/>
        <v>0</v>
      </c>
      <c r="O76" s="243"/>
      <c r="P76" s="245">
        <f t="shared" si="33"/>
        <v>1.2303458859482593E-4</v>
      </c>
    </row>
    <row r="77" spans="2:26">
      <c r="B77" s="161" t="s">
        <v>73</v>
      </c>
      <c r="C77" s="162"/>
      <c r="D77" s="162"/>
      <c r="E77" s="169"/>
      <c r="F77" s="161" t="s">
        <v>72</v>
      </c>
      <c r="G77" s="162"/>
      <c r="H77" s="169"/>
      <c r="I77" s="245">
        <f t="shared" si="29"/>
        <v>2.0042731367866807E-4</v>
      </c>
      <c r="K77" s="196">
        <v>0</v>
      </c>
      <c r="L77" s="230">
        <f t="shared" si="30"/>
        <v>0</v>
      </c>
      <c r="M77" s="244">
        <f t="shared" si="31"/>
        <v>0</v>
      </c>
      <c r="N77" s="245">
        <f t="shared" si="32"/>
        <v>0</v>
      </c>
      <c r="O77" s="243"/>
      <c r="P77" s="245">
        <f t="shared" si="33"/>
        <v>2.0042731367866807E-4</v>
      </c>
    </row>
    <row r="78" spans="2:26">
      <c r="B78" s="161" t="s">
        <v>74</v>
      </c>
      <c r="C78" s="162"/>
      <c r="D78" s="162"/>
      <c r="E78" s="169"/>
      <c r="F78" s="161" t="s">
        <v>72</v>
      </c>
      <c r="G78" s="162"/>
      <c r="H78" s="169"/>
      <c r="I78" s="245">
        <f t="shared" si="29"/>
        <v>2.8396680712013071E-2</v>
      </c>
      <c r="K78" s="196">
        <v>0</v>
      </c>
      <c r="L78" s="230">
        <f t="shared" si="30"/>
        <v>0</v>
      </c>
      <c r="M78" s="244">
        <f t="shared" si="31"/>
        <v>0</v>
      </c>
      <c r="N78" s="245">
        <f t="shared" si="32"/>
        <v>0</v>
      </c>
      <c r="O78" s="243"/>
      <c r="P78" s="245">
        <f t="shared" si="33"/>
        <v>2.8396680712013071E-2</v>
      </c>
    </row>
    <row r="79" spans="2:26">
      <c r="B79" s="161" t="s">
        <v>75</v>
      </c>
      <c r="C79" s="162"/>
      <c r="D79" s="162"/>
      <c r="E79" s="169"/>
      <c r="F79" s="161" t="s">
        <v>72</v>
      </c>
      <c r="G79" s="162"/>
      <c r="H79" s="169"/>
      <c r="I79" s="245">
        <f t="shared" si="29"/>
        <v>1.2663136588237627E-2</v>
      </c>
      <c r="K79" s="196">
        <v>0</v>
      </c>
      <c r="L79" s="230">
        <f t="shared" si="30"/>
        <v>0</v>
      </c>
      <c r="M79" s="244">
        <f t="shared" si="31"/>
        <v>0</v>
      </c>
      <c r="N79" s="245">
        <f t="shared" si="32"/>
        <v>0</v>
      </c>
      <c r="O79" s="243"/>
      <c r="P79" s="245">
        <f t="shared" si="33"/>
        <v>1.2663136588237627E-2</v>
      </c>
    </row>
    <row r="80" spans="2:26">
      <c r="B80" s="161" t="s">
        <v>76</v>
      </c>
      <c r="C80" s="162"/>
      <c r="D80" s="162"/>
      <c r="E80" s="169"/>
      <c r="F80" s="161" t="s">
        <v>77</v>
      </c>
      <c r="G80" s="162"/>
      <c r="H80" s="169"/>
      <c r="I80" s="245">
        <f t="shared" si="29"/>
        <v>5.3083471692122481E-5</v>
      </c>
      <c r="K80" s="196">
        <v>0</v>
      </c>
      <c r="L80" s="230">
        <f t="shared" si="30"/>
        <v>0</v>
      </c>
      <c r="M80" s="244">
        <f t="shared" si="31"/>
        <v>0</v>
      </c>
      <c r="N80" s="245">
        <f t="shared" si="32"/>
        <v>0</v>
      </c>
      <c r="O80" s="243"/>
      <c r="P80" s="245">
        <f t="shared" si="33"/>
        <v>5.3083471692122481E-5</v>
      </c>
    </row>
    <row r="81" spans="2:26">
      <c r="B81" s="161" t="s">
        <v>79</v>
      </c>
      <c r="C81" s="162"/>
      <c r="D81" s="162"/>
      <c r="E81" s="169"/>
      <c r="F81" s="161" t="s">
        <v>77</v>
      </c>
      <c r="G81" s="162"/>
      <c r="H81" s="169"/>
      <c r="I81" s="245">
        <f t="shared" si="29"/>
        <v>9.7038570682048196E-4</v>
      </c>
      <c r="K81" s="196">
        <v>0</v>
      </c>
      <c r="L81" s="230">
        <f t="shared" si="30"/>
        <v>0</v>
      </c>
      <c r="M81" s="244">
        <f t="shared" si="31"/>
        <v>0</v>
      </c>
      <c r="N81" s="245">
        <f t="shared" si="32"/>
        <v>0</v>
      </c>
      <c r="O81" s="243"/>
      <c r="P81" s="245">
        <f t="shared" si="33"/>
        <v>9.7038570682048196E-4</v>
      </c>
    </row>
    <row r="82" spans="2:26">
      <c r="B82" s="161" t="s">
        <v>80</v>
      </c>
      <c r="C82" s="162"/>
      <c r="D82" s="162"/>
      <c r="E82" s="169"/>
      <c r="F82" s="161" t="s">
        <v>77</v>
      </c>
      <c r="G82" s="162"/>
      <c r="H82" s="169"/>
      <c r="I82" s="245">
        <f t="shared" si="29"/>
        <v>3.1552418688027941E-3</v>
      </c>
      <c r="K82" s="196">
        <v>0</v>
      </c>
      <c r="L82" s="230">
        <f t="shared" si="30"/>
        <v>0</v>
      </c>
      <c r="M82" s="244">
        <f t="shared" si="31"/>
        <v>0</v>
      </c>
      <c r="N82" s="245">
        <f t="shared" si="32"/>
        <v>0</v>
      </c>
      <c r="O82" s="243"/>
      <c r="P82" s="245">
        <f t="shared" si="33"/>
        <v>3.1552418688027941E-3</v>
      </c>
    </row>
    <row r="83" spans="2:26">
      <c r="B83" s="161" t="s">
        <v>81</v>
      </c>
      <c r="C83" s="162"/>
      <c r="D83" s="162"/>
      <c r="E83" s="169"/>
      <c r="F83" s="161" t="s">
        <v>77</v>
      </c>
      <c r="G83" s="162"/>
      <c r="H83" s="169"/>
      <c r="I83" s="245">
        <f t="shared" si="29"/>
        <v>1.3087804361774607E-2</v>
      </c>
      <c r="K83" s="196">
        <v>0</v>
      </c>
      <c r="L83" s="230">
        <f t="shared" si="30"/>
        <v>0</v>
      </c>
      <c r="M83" s="244">
        <f t="shared" si="31"/>
        <v>0</v>
      </c>
      <c r="N83" s="245">
        <f t="shared" si="32"/>
        <v>0</v>
      </c>
      <c r="O83" s="243"/>
      <c r="P83" s="245">
        <f t="shared" si="33"/>
        <v>1.3087804361774607E-2</v>
      </c>
    </row>
    <row r="84" spans="2:26">
      <c r="B84" s="161" t="s">
        <v>82</v>
      </c>
      <c r="C84" s="162"/>
      <c r="D84" s="162"/>
      <c r="E84" s="169"/>
      <c r="F84" s="161" t="s">
        <v>83</v>
      </c>
      <c r="G84" s="162"/>
      <c r="H84" s="169"/>
      <c r="I84" s="245">
        <f t="shared" si="29"/>
        <v>8.0055828598265613E-2</v>
      </c>
      <c r="K84" s="196">
        <v>15</v>
      </c>
      <c r="L84" s="230">
        <f t="shared" si="30"/>
        <v>2420520</v>
      </c>
      <c r="M84" s="244">
        <f t="shared" si="31"/>
        <v>0.42824159667954065</v>
      </c>
      <c r="N84" s="245">
        <f t="shared" si="32"/>
        <v>0.29976911767567843</v>
      </c>
      <c r="O84" s="243"/>
      <c r="P84" s="245">
        <f t="shared" si="33"/>
        <v>0.37982494627394403</v>
      </c>
    </row>
    <row r="85" spans="2:26">
      <c r="B85" s="161" t="s">
        <v>84</v>
      </c>
      <c r="C85" s="162"/>
      <c r="D85" s="162"/>
      <c r="E85" s="169"/>
      <c r="F85" s="161" t="s">
        <v>85</v>
      </c>
      <c r="G85" s="162"/>
      <c r="H85" s="169"/>
      <c r="I85" s="245">
        <f t="shared" si="29"/>
        <v>5.7548436600805678E-4</v>
      </c>
      <c r="K85" s="196">
        <v>0</v>
      </c>
      <c r="L85" s="230">
        <f t="shared" si="30"/>
        <v>0</v>
      </c>
      <c r="M85" s="244">
        <f t="shared" si="31"/>
        <v>0</v>
      </c>
      <c r="N85" s="245">
        <f t="shared" si="32"/>
        <v>0</v>
      </c>
      <c r="O85" s="243"/>
      <c r="P85" s="245">
        <f t="shared" si="33"/>
        <v>5.7548436600805678E-4</v>
      </c>
    </row>
    <row r="86" spans="2:26">
      <c r="B86" s="161" t="s">
        <v>86</v>
      </c>
      <c r="C86" s="162"/>
      <c r="D86" s="162"/>
      <c r="E86" s="169"/>
      <c r="F86" s="161" t="s">
        <v>85</v>
      </c>
      <c r="G86" s="162"/>
      <c r="H86" s="169"/>
      <c r="I86" s="245">
        <f t="shared" si="29"/>
        <v>3.9142859032789381E-4</v>
      </c>
      <c r="K86" s="196">
        <v>0</v>
      </c>
      <c r="L86" s="230">
        <f t="shared" si="30"/>
        <v>0</v>
      </c>
      <c r="M86" s="244">
        <f t="shared" si="31"/>
        <v>0</v>
      </c>
      <c r="N86" s="245">
        <f t="shared" si="32"/>
        <v>0</v>
      </c>
      <c r="O86" s="243"/>
      <c r="P86" s="245">
        <f t="shared" si="33"/>
        <v>3.9142859032789381E-4</v>
      </c>
    </row>
    <row r="87" spans="2:26">
      <c r="B87" s="165" t="s">
        <v>87</v>
      </c>
      <c r="C87" s="166"/>
      <c r="D87" s="166"/>
      <c r="E87" s="179"/>
      <c r="F87" s="165" t="s">
        <v>88</v>
      </c>
      <c r="G87" s="166"/>
      <c r="H87" s="179"/>
      <c r="I87" s="267" t="s">
        <v>110</v>
      </c>
      <c r="K87" s="197">
        <v>0</v>
      </c>
      <c r="L87" s="231">
        <f t="shared" si="30"/>
        <v>0</v>
      </c>
      <c r="M87" s="246">
        <f t="shared" si="31"/>
        <v>0</v>
      </c>
      <c r="N87" s="247">
        <f t="shared" si="32"/>
        <v>0</v>
      </c>
      <c r="O87" s="243"/>
      <c r="P87" s="247">
        <v>0</v>
      </c>
    </row>
    <row r="88" spans="2:26">
      <c r="B88" s="162"/>
      <c r="C88" s="162"/>
      <c r="D88" s="162"/>
      <c r="E88" s="162"/>
      <c r="F88" s="162"/>
      <c r="G88" s="162"/>
      <c r="H88" s="162"/>
      <c r="I88" s="263">
        <f>SUM(I70:I87)</f>
        <v>0.29999999999999993</v>
      </c>
      <c r="L88" s="268">
        <f t="shared" ref="L88:P88" si="34">SUM(L70:L87)</f>
        <v>5652230</v>
      </c>
      <c r="M88" s="269">
        <f t="shared" si="34"/>
        <v>1</v>
      </c>
      <c r="N88" s="269">
        <f t="shared" si="34"/>
        <v>0.7</v>
      </c>
      <c r="O88" s="243"/>
      <c r="P88" s="269">
        <f t="shared" si="34"/>
        <v>1</v>
      </c>
    </row>
    <row r="89" spans="2:26">
      <c r="F89" s="162"/>
      <c r="G89" s="162"/>
      <c r="H89" s="162"/>
    </row>
    <row r="90" spans="2:26">
      <c r="B90" s="215" t="s">
        <v>186</v>
      </c>
      <c r="C90" s="216"/>
      <c r="D90" s="216"/>
      <c r="E90" s="216"/>
      <c r="F90" s="216"/>
      <c r="G90" s="216"/>
      <c r="H90" s="216"/>
      <c r="I90" s="217"/>
      <c r="J90" s="217"/>
      <c r="K90" s="217"/>
      <c r="L90" s="216"/>
      <c r="M90" s="216"/>
      <c r="N90" s="216"/>
      <c r="O90" s="216"/>
      <c r="P90" s="216"/>
      <c r="Q90" s="216"/>
      <c r="R90" s="216"/>
      <c r="S90" s="216"/>
      <c r="T90" s="216"/>
      <c r="U90" s="216"/>
      <c r="V90" s="216"/>
      <c r="W90" s="216"/>
      <c r="X90" s="216"/>
      <c r="Y90" s="216"/>
      <c r="Z90" s="216"/>
    </row>
    <row r="91" spans="2:26">
      <c r="F91" s="162"/>
      <c r="G91" s="162"/>
      <c r="H91" s="162"/>
    </row>
    <row r="92" spans="2:26" ht="29.25" customHeight="1">
      <c r="B92" s="493" t="s">
        <v>187</v>
      </c>
      <c r="C92" s="494"/>
      <c r="D92" s="494"/>
      <c r="E92" s="494"/>
      <c r="F92" s="494"/>
      <c r="G92" s="494"/>
      <c r="H92" s="494"/>
      <c r="I92" s="494"/>
      <c r="J92" s="494"/>
      <c r="K92" s="494"/>
      <c r="L92" s="494"/>
      <c r="M92" s="494"/>
      <c r="N92" s="494"/>
      <c r="O92" s="494"/>
      <c r="P92" s="494"/>
      <c r="Q92" s="494"/>
      <c r="R92" s="494"/>
      <c r="S92" s="494"/>
      <c r="T92" s="494"/>
      <c r="U92" s="494"/>
      <c r="V92" s="494"/>
      <c r="W92" s="494"/>
      <c r="X92" s="494"/>
      <c r="Y92" s="494"/>
      <c r="Z92" s="495"/>
    </row>
    <row r="93" spans="2:26">
      <c r="F93" s="162"/>
      <c r="G93" s="162"/>
      <c r="H93" s="162"/>
    </row>
    <row r="94" spans="2:26" ht="25.5">
      <c r="B94" s="270" t="s">
        <v>63</v>
      </c>
      <c r="C94" s="271"/>
      <c r="D94" s="272"/>
      <c r="E94" s="273" t="s">
        <v>117</v>
      </c>
      <c r="F94" s="274" t="s">
        <v>118</v>
      </c>
      <c r="G94" s="162"/>
      <c r="H94" s="162"/>
    </row>
    <row r="95" spans="2:26">
      <c r="B95" s="199" t="s">
        <v>122</v>
      </c>
      <c r="C95" s="158"/>
      <c r="D95" s="158"/>
      <c r="E95" s="200">
        <v>14</v>
      </c>
      <c r="F95" s="201">
        <f>+E95/$E$98</f>
        <v>0.33333333333333331</v>
      </c>
      <c r="G95" s="162"/>
      <c r="H95" s="162"/>
    </row>
    <row r="96" spans="2:26">
      <c r="B96" s="202" t="s">
        <v>101</v>
      </c>
      <c r="C96" s="162"/>
      <c r="D96" s="162"/>
      <c r="E96" s="203">
        <v>10</v>
      </c>
      <c r="F96" s="204">
        <f>+E96/$E$98</f>
        <v>0.23809523809523808</v>
      </c>
      <c r="G96" s="162"/>
      <c r="H96" s="162"/>
    </row>
    <row r="97" spans="2:8">
      <c r="B97" s="205" t="s">
        <v>121</v>
      </c>
      <c r="C97" s="166"/>
      <c r="D97" s="166"/>
      <c r="E97" s="206">
        <v>18</v>
      </c>
      <c r="F97" s="207">
        <f>+E97/$E$98</f>
        <v>0.42857142857142855</v>
      </c>
      <c r="G97" s="162"/>
      <c r="H97" s="162"/>
    </row>
    <row r="98" spans="2:8">
      <c r="B98" s="208"/>
      <c r="E98" s="275">
        <f>SUM(E95:E97)</f>
        <v>42</v>
      </c>
      <c r="F98" s="276">
        <f>SUM(F95:F97)</f>
        <v>1</v>
      </c>
      <c r="G98" s="162"/>
      <c r="H98" s="162"/>
    </row>
    <row r="99" spans="2:8">
      <c r="F99" s="162"/>
      <c r="G99" s="162"/>
      <c r="H99" s="162"/>
    </row>
    <row r="100" spans="2:8" ht="38.25">
      <c r="B100" s="218" t="s">
        <v>100</v>
      </c>
      <c r="C100" s="271"/>
      <c r="D100" s="271"/>
      <c r="E100" s="281" t="s">
        <v>119</v>
      </c>
      <c r="F100" s="222" t="s">
        <v>120</v>
      </c>
      <c r="G100" s="223" t="s">
        <v>121</v>
      </c>
      <c r="H100" s="282" t="s">
        <v>1</v>
      </c>
    </row>
    <row r="101" spans="2:8">
      <c r="B101" s="157" t="s">
        <v>92</v>
      </c>
      <c r="C101" s="158"/>
      <c r="D101" s="158"/>
      <c r="E101" s="244">
        <v>0</v>
      </c>
      <c r="F101" s="277">
        <f t="shared" ref="F101:F108" si="35">+$F$96*V48</f>
        <v>8.4084276420550594E-2</v>
      </c>
      <c r="G101" s="278">
        <f t="shared" ref="G101:G108" si="36">+$F$97*Z48</f>
        <v>0.21189125845396675</v>
      </c>
      <c r="H101" s="245">
        <f>SUM(E101:G101)</f>
        <v>0.29597553487451733</v>
      </c>
    </row>
    <row r="102" spans="2:8">
      <c r="B102" s="161" t="s">
        <v>158</v>
      </c>
      <c r="C102" s="162"/>
      <c r="D102" s="162"/>
      <c r="E102" s="244">
        <v>0</v>
      </c>
      <c r="F102" s="277">
        <f t="shared" si="35"/>
        <v>1.3343695063079825E-3</v>
      </c>
      <c r="G102" s="278">
        <f t="shared" si="36"/>
        <v>3.3625934118771046E-3</v>
      </c>
      <c r="H102" s="245">
        <f t="shared" ref="H102:H108" si="37">SUM(E102:G102)</f>
        <v>4.6969629181850868E-3</v>
      </c>
    </row>
    <row r="103" spans="2:8">
      <c r="B103" s="161" t="s">
        <v>93</v>
      </c>
      <c r="C103" s="162"/>
      <c r="D103" s="162"/>
      <c r="E103" s="244">
        <v>0</v>
      </c>
      <c r="F103" s="277">
        <f t="shared" si="35"/>
        <v>4.8047626967928511E-2</v>
      </c>
      <c r="G103" s="278">
        <f t="shared" si="36"/>
        <v>0.12107938103720031</v>
      </c>
      <c r="H103" s="245">
        <f t="shared" si="37"/>
        <v>0.16912700800512881</v>
      </c>
    </row>
    <row r="104" spans="2:8">
      <c r="B104" s="161" t="s">
        <v>72</v>
      </c>
      <c r="C104" s="162"/>
      <c r="D104" s="162"/>
      <c r="E104" s="244">
        <v>0</v>
      </c>
      <c r="F104" s="277">
        <f t="shared" si="35"/>
        <v>9.8531617148867098E-3</v>
      </c>
      <c r="G104" s="278">
        <f t="shared" si="36"/>
        <v>6.8907875243725561E-2</v>
      </c>
      <c r="H104" s="245">
        <f t="shared" si="37"/>
        <v>7.8761036958612266E-2</v>
      </c>
    </row>
    <row r="105" spans="2:8">
      <c r="B105" s="161" t="s">
        <v>77</v>
      </c>
      <c r="C105" s="162"/>
      <c r="D105" s="162"/>
      <c r="E105" s="244">
        <f>+F95</f>
        <v>0.33333333333333331</v>
      </c>
      <c r="F105" s="277">
        <f t="shared" si="35"/>
        <v>4.1110750974023818E-3</v>
      </c>
      <c r="G105" s="278">
        <f t="shared" si="36"/>
        <v>5.2952260227888291E-3</v>
      </c>
      <c r="H105" s="245">
        <f t="shared" si="37"/>
        <v>0.34273963445352451</v>
      </c>
    </row>
    <row r="106" spans="2:8">
      <c r="B106" s="161" t="s">
        <v>83</v>
      </c>
      <c r="C106" s="162"/>
      <c r="D106" s="162"/>
      <c r="E106" s="244">
        <v>0</v>
      </c>
      <c r="F106" s="277">
        <f t="shared" si="35"/>
        <v>9.0434511017605718E-2</v>
      </c>
      <c r="G106" s="278">
        <f t="shared" si="36"/>
        <v>1.6794025802778847E-2</v>
      </c>
      <c r="H106" s="245">
        <f t="shared" si="37"/>
        <v>0.10722853682038457</v>
      </c>
    </row>
    <row r="107" spans="2:8">
      <c r="B107" s="161" t="s">
        <v>85</v>
      </c>
      <c r="C107" s="162"/>
      <c r="D107" s="162"/>
      <c r="E107" s="244">
        <v>0</v>
      </c>
      <c r="F107" s="277">
        <f t="shared" si="35"/>
        <v>2.3021737055617871E-4</v>
      </c>
      <c r="G107" s="278">
        <f t="shared" si="36"/>
        <v>1.0141898111650381E-3</v>
      </c>
      <c r="H107" s="245">
        <f t="shared" si="37"/>
        <v>1.2444071817212167E-3</v>
      </c>
    </row>
    <row r="108" spans="2:8">
      <c r="B108" s="165" t="s">
        <v>88</v>
      </c>
      <c r="C108" s="166"/>
      <c r="D108" s="166"/>
      <c r="E108" s="246">
        <v>0</v>
      </c>
      <c r="F108" s="279">
        <f t="shared" si="35"/>
        <v>0</v>
      </c>
      <c r="G108" s="280">
        <f t="shared" si="36"/>
        <v>2.2687878792609369E-4</v>
      </c>
      <c r="H108" s="245">
        <f t="shared" si="37"/>
        <v>2.2687878792609369E-4</v>
      </c>
    </row>
    <row r="109" spans="2:8">
      <c r="E109" s="283">
        <f>SUM(E101:E108)</f>
        <v>0.33333333333333331</v>
      </c>
      <c r="F109" s="284">
        <f>SUM(F101:F108)</f>
        <v>0.23809523809523805</v>
      </c>
      <c r="G109" s="285">
        <f>SUM(G101:G108)</f>
        <v>0.42857142857142849</v>
      </c>
      <c r="H109" s="286">
        <f>SUM(H101:H108)</f>
        <v>0.99999999999999989</v>
      </c>
    </row>
    <row r="110" spans="2:8">
      <c r="E110" s="209">
        <f>+E109-F95</f>
        <v>0</v>
      </c>
      <c r="F110" s="210">
        <f>+F109-F96</f>
        <v>0</v>
      </c>
      <c r="G110" s="210">
        <f>+G109-F97</f>
        <v>0</v>
      </c>
      <c r="H110" s="162"/>
    </row>
    <row r="111" spans="2:8">
      <c r="F111" s="162"/>
      <c r="G111" s="162"/>
      <c r="H111" s="162"/>
    </row>
    <row r="112" spans="2:8">
      <c r="F112" s="162"/>
      <c r="G112" s="162"/>
      <c r="H112" s="162"/>
    </row>
    <row r="113" spans="6:8">
      <c r="F113" s="162"/>
      <c r="G113" s="162"/>
      <c r="H113" s="162"/>
    </row>
    <row r="114" spans="6:8">
      <c r="F114" s="162"/>
      <c r="G114" s="162"/>
      <c r="H114" s="162"/>
    </row>
    <row r="115" spans="6:8">
      <c r="F115" s="162"/>
      <c r="G115" s="162"/>
      <c r="H115" s="162"/>
    </row>
    <row r="116" spans="6:8">
      <c r="F116" s="162"/>
      <c r="G116" s="162"/>
      <c r="H116" s="162"/>
    </row>
    <row r="117" spans="6:8">
      <c r="F117" s="162"/>
      <c r="G117" s="162"/>
      <c r="H117" s="162"/>
    </row>
    <row r="118" spans="6:8">
      <c r="F118" s="162"/>
      <c r="G118" s="162"/>
      <c r="H118" s="162"/>
    </row>
    <row r="119" spans="6:8">
      <c r="F119" s="162"/>
      <c r="G119" s="162"/>
      <c r="H119" s="162"/>
    </row>
    <row r="120" spans="6:8">
      <c r="F120" s="162"/>
      <c r="G120" s="162"/>
      <c r="H120" s="162"/>
    </row>
    <row r="121" spans="6:8">
      <c r="F121" s="162"/>
      <c r="G121" s="162"/>
      <c r="H121" s="162"/>
    </row>
    <row r="122" spans="6:8">
      <c r="F122" s="162"/>
      <c r="G122" s="162"/>
      <c r="H122" s="162"/>
    </row>
    <row r="123" spans="6:8">
      <c r="F123" s="162"/>
      <c r="G123" s="162"/>
      <c r="H123" s="162"/>
    </row>
    <row r="124" spans="6:8">
      <c r="F124" s="162"/>
      <c r="G124" s="162"/>
      <c r="H124" s="162"/>
    </row>
    <row r="125" spans="6:8">
      <c r="F125" s="162"/>
      <c r="G125" s="162"/>
      <c r="H125" s="162"/>
    </row>
    <row r="126" spans="6:8">
      <c r="F126" s="162"/>
      <c r="G126" s="162"/>
      <c r="H126" s="162"/>
    </row>
    <row r="127" spans="6:8">
      <c r="F127" s="162"/>
      <c r="G127" s="162"/>
      <c r="H127" s="162"/>
    </row>
    <row r="128" spans="6:8">
      <c r="F128" s="162"/>
      <c r="G128" s="162"/>
      <c r="H128" s="162"/>
    </row>
    <row r="129" spans="6:8">
      <c r="F129" s="162"/>
      <c r="G129" s="162"/>
      <c r="H129" s="162"/>
    </row>
    <row r="130" spans="6:8">
      <c r="F130" s="162"/>
      <c r="G130" s="162"/>
      <c r="H130" s="162"/>
    </row>
    <row r="131" spans="6:8">
      <c r="F131" s="162"/>
      <c r="G131" s="162"/>
      <c r="H131" s="162"/>
    </row>
    <row r="132" spans="6:8">
      <c r="F132" s="162"/>
      <c r="G132" s="162"/>
      <c r="H132" s="162"/>
    </row>
    <row r="133" spans="6:8">
      <c r="F133" s="162"/>
      <c r="G133" s="162"/>
      <c r="H133" s="162"/>
    </row>
    <row r="134" spans="6:8">
      <c r="F134" s="162"/>
      <c r="G134" s="162"/>
      <c r="H134" s="162"/>
    </row>
    <row r="135" spans="6:8">
      <c r="F135" s="162"/>
      <c r="G135" s="162"/>
      <c r="H135" s="162"/>
    </row>
    <row r="136" spans="6:8">
      <c r="F136" s="162"/>
      <c r="G136" s="162"/>
      <c r="H136" s="162"/>
    </row>
  </sheetData>
  <mergeCells count="16">
    <mergeCell ref="B92:Z92"/>
    <mergeCell ref="T27:U44"/>
    <mergeCell ref="B5:Z5"/>
    <mergeCell ref="K68:N68"/>
    <mergeCell ref="B23:Z23"/>
    <mergeCell ref="T25:V25"/>
    <mergeCell ref="X25:Z25"/>
    <mergeCell ref="P25:R25"/>
    <mergeCell ref="B7:Z7"/>
    <mergeCell ref="B11:D11"/>
    <mergeCell ref="F26:H26"/>
    <mergeCell ref="F47:H47"/>
    <mergeCell ref="B61:Z61"/>
    <mergeCell ref="B64:C64"/>
    <mergeCell ref="F64:Z64"/>
    <mergeCell ref="F65:Z65"/>
  </mergeCells>
  <pageMargins left="0.39370078740157483" right="0.39370078740157483" top="0.39370078740157483" bottom="0.39370078740157483" header="0.19685039370078741" footer="0.19685039370078741"/>
  <pageSetup paperSize="8" scale="47"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I111"/>
  <sheetViews>
    <sheetView workbookViewId="0"/>
  </sheetViews>
  <sheetFormatPr defaultRowHeight="12.75"/>
  <cols>
    <col min="1" max="1" width="2.85546875" style="154" customWidth="1"/>
    <col min="2" max="2" width="27.140625" style="154" customWidth="1"/>
    <col min="3" max="3" width="11" style="154" customWidth="1"/>
    <col min="4" max="4" width="12.140625" style="154" customWidth="1"/>
    <col min="5" max="8" width="10" style="154" customWidth="1"/>
    <col min="9" max="9" width="3.7109375" style="162" customWidth="1"/>
    <col min="10" max="10" width="10" style="154" customWidth="1"/>
    <col min="11" max="11" width="3.7109375" style="154" customWidth="1"/>
    <col min="12" max="22" width="10" style="154" customWidth="1"/>
    <col min="23" max="23" width="3.7109375" style="154" customWidth="1"/>
    <col min="24" max="34" width="10" style="154" customWidth="1"/>
    <col min="35" max="16384" width="9.140625" style="154"/>
  </cols>
  <sheetData>
    <row r="2" spans="2:35" ht="21">
      <c r="B2" s="123" t="s">
        <v>27</v>
      </c>
    </row>
    <row r="3" spans="2:35" ht="21">
      <c r="B3" s="123" t="s">
        <v>126</v>
      </c>
    </row>
    <row r="5" spans="2:35">
      <c r="B5" s="493" t="s">
        <v>195</v>
      </c>
      <c r="C5" s="494"/>
      <c r="D5" s="494"/>
      <c r="E5" s="494"/>
      <c r="F5" s="494"/>
      <c r="G5" s="494"/>
      <c r="H5" s="494"/>
      <c r="I5" s="494"/>
      <c r="J5" s="494"/>
      <c r="K5" s="494"/>
      <c r="L5" s="494"/>
      <c r="M5" s="494"/>
      <c r="N5" s="494"/>
      <c r="O5" s="494"/>
      <c r="P5" s="494"/>
      <c r="Q5" s="494"/>
      <c r="R5" s="494"/>
      <c r="S5" s="494"/>
      <c r="T5" s="494"/>
      <c r="U5" s="494"/>
      <c r="V5" s="495"/>
    </row>
    <row r="7" spans="2:35" ht="92.25" customHeight="1">
      <c r="B7" s="493" t="s">
        <v>251</v>
      </c>
      <c r="C7" s="494"/>
      <c r="D7" s="494"/>
      <c r="E7" s="494"/>
      <c r="F7" s="494"/>
      <c r="G7" s="494"/>
      <c r="H7" s="494"/>
      <c r="I7" s="494"/>
      <c r="J7" s="494"/>
      <c r="K7" s="494"/>
      <c r="L7" s="494"/>
      <c r="M7" s="494"/>
      <c r="N7" s="494"/>
      <c r="O7" s="494"/>
      <c r="P7" s="494"/>
      <c r="Q7" s="494"/>
      <c r="R7" s="494"/>
      <c r="S7" s="494"/>
      <c r="T7" s="494"/>
      <c r="U7" s="494"/>
      <c r="V7" s="495"/>
      <c r="W7" s="323"/>
      <c r="X7" s="323"/>
      <c r="Y7" s="323"/>
      <c r="Z7" s="323"/>
      <c r="AA7" s="323"/>
      <c r="AB7" s="323"/>
      <c r="AC7" s="323"/>
      <c r="AD7" s="323"/>
      <c r="AE7" s="323"/>
      <c r="AF7" s="323"/>
      <c r="AG7" s="323"/>
      <c r="AH7" s="323"/>
      <c r="AI7" s="162"/>
    </row>
    <row r="8" spans="2:35">
      <c r="B8" s="293"/>
      <c r="C8" s="293"/>
      <c r="D8" s="293"/>
      <c r="E8" s="293"/>
      <c r="F8" s="293"/>
      <c r="G8" s="293"/>
      <c r="H8" s="293"/>
      <c r="I8" s="293"/>
      <c r="J8" s="293"/>
      <c r="K8" s="293"/>
      <c r="L8" s="293"/>
      <c r="M8" s="293"/>
      <c r="N8" s="293"/>
      <c r="O8" s="293"/>
      <c r="P8" s="293"/>
      <c r="Q8" s="293"/>
      <c r="R8" s="293"/>
    </row>
    <row r="9" spans="2:35">
      <c r="B9" s="215" t="s">
        <v>196</v>
      </c>
      <c r="C9" s="400"/>
      <c r="D9" s="400"/>
      <c r="E9" s="400"/>
      <c r="F9" s="400"/>
      <c r="G9" s="400"/>
      <c r="H9" s="400"/>
      <c r="I9" s="400"/>
      <c r="J9" s="400"/>
      <c r="K9" s="400"/>
      <c r="L9" s="400"/>
      <c r="M9" s="400"/>
      <c r="N9" s="400"/>
      <c r="O9" s="400"/>
      <c r="P9" s="400"/>
      <c r="Q9" s="400"/>
      <c r="R9" s="400"/>
      <c r="S9" s="216"/>
      <c r="T9" s="216"/>
      <c r="U9" s="216"/>
      <c r="V9" s="216"/>
      <c r="W9" s="216"/>
      <c r="X9" s="216"/>
      <c r="Y9" s="216"/>
      <c r="Z9" s="216"/>
      <c r="AA9" s="216"/>
      <c r="AB9" s="216"/>
      <c r="AC9" s="216"/>
      <c r="AD9" s="216"/>
      <c r="AE9" s="216"/>
      <c r="AF9" s="216"/>
      <c r="AG9" s="216"/>
      <c r="AH9" s="216"/>
    </row>
    <row r="10" spans="2:35">
      <c r="B10" s="293"/>
      <c r="C10" s="293"/>
      <c r="D10" s="293"/>
      <c r="E10" s="293"/>
      <c r="F10" s="293"/>
      <c r="G10" s="293"/>
      <c r="H10" s="293"/>
      <c r="I10" s="293"/>
      <c r="J10" s="293"/>
      <c r="K10" s="293"/>
      <c r="L10" s="293"/>
      <c r="M10" s="293"/>
      <c r="N10" s="293"/>
      <c r="O10" s="293"/>
      <c r="P10" s="293"/>
      <c r="Q10" s="293"/>
      <c r="R10" s="293"/>
    </row>
    <row r="11" spans="2:35" ht="25.5">
      <c r="B11" s="401" t="s">
        <v>63</v>
      </c>
      <c r="C11" s="402" t="s">
        <v>161</v>
      </c>
      <c r="D11" s="162"/>
    </row>
    <row r="12" spans="2:35">
      <c r="B12" s="450" t="s">
        <v>92</v>
      </c>
      <c r="C12" s="451">
        <f>+Z71</f>
        <v>93.914751622382852</v>
      </c>
      <c r="D12" s="162"/>
    </row>
    <row r="13" spans="2:35">
      <c r="B13" s="294" t="s">
        <v>158</v>
      </c>
      <c r="C13" s="403">
        <f>+AA71</f>
        <v>113.63284073917897</v>
      </c>
      <c r="D13" s="162"/>
    </row>
    <row r="14" spans="2:35">
      <c r="B14" s="294" t="s">
        <v>93</v>
      </c>
      <c r="C14" s="403">
        <f>+AB71</f>
        <v>31.183909885016966</v>
      </c>
      <c r="D14" s="162"/>
    </row>
    <row r="15" spans="2:35">
      <c r="B15" s="294" t="s">
        <v>72</v>
      </c>
      <c r="C15" s="403">
        <f>+AG71</f>
        <v>15.197890204775412</v>
      </c>
      <c r="D15" s="162"/>
    </row>
    <row r="16" spans="2:35">
      <c r="B16" s="294" t="s">
        <v>83</v>
      </c>
      <c r="C16" s="403">
        <f>+AG71</f>
        <v>15.197890204775412</v>
      </c>
      <c r="D16" s="162"/>
    </row>
    <row r="17" spans="2:34">
      <c r="B17" s="294" t="s">
        <v>85</v>
      </c>
      <c r="C17" s="403">
        <f>+AC71</f>
        <v>5.0618020316048993</v>
      </c>
      <c r="D17" s="162"/>
    </row>
    <row r="18" spans="2:34">
      <c r="B18" s="294" t="s">
        <v>88</v>
      </c>
      <c r="C18" s="403">
        <f>+AD71</f>
        <v>4.1253603498876785</v>
      </c>
      <c r="D18" s="162"/>
    </row>
    <row r="19" spans="2:34">
      <c r="B19" s="294" t="s">
        <v>160</v>
      </c>
      <c r="C19" s="403">
        <f>+AG101</f>
        <v>3.5375262789791351</v>
      </c>
      <c r="D19" s="162"/>
    </row>
    <row r="20" spans="2:34">
      <c r="B20" s="295" t="s">
        <v>77</v>
      </c>
      <c r="C20" s="404">
        <f>+Y71</f>
        <v>1.6795420888724844</v>
      </c>
    </row>
    <row r="22" spans="2:34">
      <c r="B22" s="215" t="s">
        <v>203</v>
      </c>
      <c r="C22" s="400"/>
      <c r="D22" s="400"/>
      <c r="E22" s="400"/>
      <c r="F22" s="400"/>
      <c r="G22" s="400"/>
      <c r="H22" s="400"/>
      <c r="I22" s="400"/>
      <c r="J22" s="400"/>
      <c r="K22" s="400"/>
      <c r="L22" s="400"/>
      <c r="M22" s="400"/>
      <c r="N22" s="400"/>
      <c r="O22" s="400"/>
      <c r="P22" s="400"/>
      <c r="Q22" s="400"/>
      <c r="R22" s="400"/>
      <c r="S22" s="216"/>
      <c r="T22" s="216"/>
      <c r="U22" s="216"/>
      <c r="V22" s="216"/>
      <c r="W22" s="216"/>
      <c r="X22" s="216"/>
      <c r="Y22" s="216"/>
      <c r="Z22" s="216"/>
      <c r="AA22" s="216"/>
      <c r="AB22" s="216"/>
      <c r="AC22" s="216"/>
      <c r="AD22" s="216"/>
      <c r="AE22" s="216"/>
      <c r="AF22" s="216"/>
      <c r="AG22" s="216"/>
      <c r="AH22" s="216"/>
    </row>
    <row r="24" spans="2:34">
      <c r="B24" s="405" t="s">
        <v>227</v>
      </c>
    </row>
    <row r="26" spans="2:34">
      <c r="B26" s="530" t="s">
        <v>197</v>
      </c>
      <c r="C26" s="531"/>
      <c r="D26" s="532"/>
      <c r="E26" s="297">
        <v>0.04</v>
      </c>
      <c r="M26" s="526" t="s">
        <v>140</v>
      </c>
      <c r="N26" s="526"/>
      <c r="O26" s="526"/>
      <c r="P26" s="526"/>
      <c r="Q26" s="526"/>
      <c r="R26" s="526"/>
      <c r="S26" s="526"/>
      <c r="T26" s="526"/>
      <c r="U26" s="526"/>
      <c r="V26" s="298"/>
      <c r="X26" s="527" t="s">
        <v>139</v>
      </c>
      <c r="Y26" s="527"/>
      <c r="Z26" s="527"/>
      <c r="AA26" s="527"/>
      <c r="AB26" s="527"/>
      <c r="AC26" s="527"/>
      <c r="AD26" s="527"/>
      <c r="AE26" s="527"/>
      <c r="AF26" s="527"/>
      <c r="AG26" s="299"/>
      <c r="AH26" s="300"/>
    </row>
    <row r="27" spans="2:34" ht="12.75" customHeight="1">
      <c r="B27" s="301" t="s">
        <v>198</v>
      </c>
      <c r="C27" s="302"/>
      <c r="D27" s="302"/>
      <c r="E27" s="303">
        <v>2.5000000000000001E-2</v>
      </c>
      <c r="M27" s="528"/>
      <c r="N27" s="528"/>
      <c r="O27" s="528"/>
      <c r="P27" s="528"/>
      <c r="Q27" s="528"/>
      <c r="R27" s="528"/>
      <c r="S27" s="528"/>
      <c r="T27" s="528"/>
      <c r="U27" s="528"/>
      <c r="V27" s="298"/>
      <c r="X27" s="527" t="s">
        <v>139</v>
      </c>
      <c r="Y27" s="527"/>
      <c r="Z27" s="527"/>
      <c r="AA27" s="527"/>
      <c r="AB27" s="527"/>
      <c r="AC27" s="527"/>
      <c r="AD27" s="527"/>
      <c r="AE27" s="527"/>
      <c r="AF27" s="527"/>
      <c r="AG27" s="304"/>
      <c r="AH27" s="300"/>
    </row>
    <row r="28" spans="2:34" ht="15" customHeight="1">
      <c r="M28" s="538" t="s">
        <v>156</v>
      </c>
      <c r="N28" s="539"/>
      <c r="O28" s="539"/>
      <c r="P28" s="539"/>
      <c r="Q28" s="539"/>
      <c r="R28" s="539"/>
      <c r="S28" s="539"/>
      <c r="T28" s="539"/>
      <c r="U28" s="540"/>
      <c r="V28" s="298"/>
      <c r="X28" s="538" t="s">
        <v>201</v>
      </c>
      <c r="Y28" s="539"/>
      <c r="Z28" s="539"/>
      <c r="AA28" s="539"/>
      <c r="AB28" s="539"/>
      <c r="AC28" s="539"/>
      <c r="AD28" s="539"/>
      <c r="AE28" s="539"/>
      <c r="AF28" s="540"/>
      <c r="AG28" s="298"/>
      <c r="AH28" s="300"/>
    </row>
    <row r="29" spans="2:34" s="397" customFormat="1" ht="76.5">
      <c r="B29" s="399" t="s">
        <v>153</v>
      </c>
      <c r="C29" s="398" t="s">
        <v>152</v>
      </c>
      <c r="D29" s="390"/>
      <c r="E29" s="391" t="s">
        <v>151</v>
      </c>
      <c r="F29" s="392" t="s">
        <v>188</v>
      </c>
      <c r="G29" s="393" t="s">
        <v>189</v>
      </c>
      <c r="H29" s="394" t="s">
        <v>190</v>
      </c>
      <c r="I29" s="395"/>
      <c r="J29" s="396" t="s">
        <v>150</v>
      </c>
      <c r="L29" s="396" t="s">
        <v>199</v>
      </c>
      <c r="M29" s="289" t="s">
        <v>160</v>
      </c>
      <c r="N29" s="289" t="s">
        <v>77</v>
      </c>
      <c r="O29" s="289" t="s">
        <v>154</v>
      </c>
      <c r="P29" s="289" t="s">
        <v>155</v>
      </c>
      <c r="Q29" s="289" t="s">
        <v>200</v>
      </c>
      <c r="R29" s="289" t="s">
        <v>157</v>
      </c>
      <c r="S29" s="289" t="s">
        <v>136</v>
      </c>
      <c r="T29" s="289" t="s">
        <v>135</v>
      </c>
      <c r="U29" s="289" t="s">
        <v>159</v>
      </c>
      <c r="V29" s="289" t="s">
        <v>137</v>
      </c>
      <c r="X29" s="289" t="s">
        <v>160</v>
      </c>
      <c r="Y29" s="289" t="s">
        <v>77</v>
      </c>
      <c r="Z29" s="289" t="s">
        <v>154</v>
      </c>
      <c r="AA29" s="289" t="s">
        <v>155</v>
      </c>
      <c r="AB29" s="289" t="s">
        <v>200</v>
      </c>
      <c r="AC29" s="289" t="s">
        <v>157</v>
      </c>
      <c r="AD29" s="289" t="s">
        <v>136</v>
      </c>
      <c r="AE29" s="289" t="s">
        <v>135</v>
      </c>
      <c r="AF29" s="289" t="s">
        <v>159</v>
      </c>
      <c r="AG29" s="292" t="s">
        <v>138</v>
      </c>
      <c r="AH29" s="292" t="s">
        <v>137</v>
      </c>
    </row>
    <row r="30" spans="2:34">
      <c r="B30" s="305" t="s">
        <v>149</v>
      </c>
      <c r="C30" s="306" t="s">
        <v>148</v>
      </c>
      <c r="D30" s="307"/>
      <c r="E30" s="417">
        <v>4073642.55</v>
      </c>
      <c r="F30" s="418">
        <v>3356429.57</v>
      </c>
      <c r="G30" s="417">
        <f>+E30*(1+$E$26)</f>
        <v>4236588.2520000003</v>
      </c>
      <c r="H30" s="418">
        <f>+F30*(1+$E$26)</f>
        <v>3490686.7527999999</v>
      </c>
      <c r="I30" s="417"/>
      <c r="J30" s="419">
        <v>4374068.3199999994</v>
      </c>
      <c r="K30" s="420"/>
      <c r="L30" s="419">
        <f>+J30+H30</f>
        <v>7864755.0727999993</v>
      </c>
      <c r="M30" s="406">
        <v>0</v>
      </c>
      <c r="N30" s="406">
        <f>+'Market Ops % Opex Allocations'!$F$16</f>
        <v>0.34273963445352451</v>
      </c>
      <c r="O30" s="406">
        <f>+'Market Ops % Opex Allocations'!$F$12</f>
        <v>0.29597553487451733</v>
      </c>
      <c r="P30" s="406">
        <f>+'Market Ops % Opex Allocations'!$F$13</f>
        <v>4.6969629181850868E-3</v>
      </c>
      <c r="Q30" s="406">
        <f>+'Market Ops % Opex Allocations'!$F$14</f>
        <v>0.16912700800512881</v>
      </c>
      <c r="R30" s="406">
        <f>+'Market Ops % Opex Allocations'!$F$18</f>
        <v>1.2444071817212167E-3</v>
      </c>
      <c r="S30" s="406">
        <f>+'Market Ops % Opex Allocations'!$F$19</f>
        <v>2.2687878792609369E-4</v>
      </c>
      <c r="T30" s="406">
        <f>+'Market Ops % Opex Allocations'!$F$15</f>
        <v>7.8761036958612266E-2</v>
      </c>
      <c r="U30" s="406">
        <f>+'Market Ops % Opex Allocations'!$F$17</f>
        <v>0.10722853682038457</v>
      </c>
      <c r="V30" s="407">
        <f>SUM(M30:U30)-100%</f>
        <v>0</v>
      </c>
      <c r="W30" s="420"/>
      <c r="X30" s="308">
        <f t="shared" ref="X30:AF34" si="0">+M30*$L30</f>
        <v>0</v>
      </c>
      <c r="Y30" s="308">
        <f t="shared" si="0"/>
        <v>2695563.2787179742</v>
      </c>
      <c r="Z30" s="308">
        <f t="shared" si="0"/>
        <v>2327775.0893290532</v>
      </c>
      <c r="AA30" s="308">
        <f t="shared" si="0"/>
        <v>36940.462937549652</v>
      </c>
      <c r="AB30" s="308">
        <f t="shared" si="0"/>
        <v>1330142.4941558228</v>
      </c>
      <c r="AC30" s="308">
        <f t="shared" si="0"/>
        <v>9786.9576950706905</v>
      </c>
      <c r="AD30" s="308">
        <f t="shared" si="0"/>
        <v>1784.3460982524607</v>
      </c>
      <c r="AE30" s="308">
        <f t="shared" si="0"/>
        <v>619436.26495923405</v>
      </c>
      <c r="AF30" s="308">
        <f t="shared" si="0"/>
        <v>843326.17890704097</v>
      </c>
      <c r="AG30" s="308">
        <f>SUM(X30:AF30)</f>
        <v>7864755.0727999974</v>
      </c>
      <c r="AH30" s="309">
        <f>+AG30-L30</f>
        <v>0</v>
      </c>
    </row>
    <row r="31" spans="2:34">
      <c r="B31" s="305" t="s">
        <v>149</v>
      </c>
      <c r="C31" s="305" t="s">
        <v>147</v>
      </c>
      <c r="D31" s="310"/>
      <c r="E31" s="417">
        <v>6827.96</v>
      </c>
      <c r="F31" s="418">
        <v>231.17000000000007</v>
      </c>
      <c r="G31" s="417">
        <f t="shared" ref="G31:H34" si="1">+E31*(1+$E$27)</f>
        <v>6998.6589999999997</v>
      </c>
      <c r="H31" s="418">
        <f t="shared" si="1"/>
        <v>236.94925000000006</v>
      </c>
      <c r="I31" s="417"/>
      <c r="J31" s="421">
        <v>528.34</v>
      </c>
      <c r="K31" s="420"/>
      <c r="L31" s="421">
        <f>+J31+H31</f>
        <v>765.28925000000004</v>
      </c>
      <c r="M31" s="408">
        <v>0</v>
      </c>
      <c r="N31" s="408">
        <f>+'Market Ops % Opex Allocations'!$F$16</f>
        <v>0.34273963445352451</v>
      </c>
      <c r="O31" s="408">
        <f>+'Market Ops % Opex Allocations'!$F$12</f>
        <v>0.29597553487451733</v>
      </c>
      <c r="P31" s="408">
        <f>+'Market Ops % Opex Allocations'!$F$13</f>
        <v>4.6969629181850868E-3</v>
      </c>
      <c r="Q31" s="408">
        <f>+'Market Ops % Opex Allocations'!$F$14</f>
        <v>0.16912700800512881</v>
      </c>
      <c r="R31" s="408">
        <f>+'Market Ops % Opex Allocations'!$F$18</f>
        <v>1.2444071817212167E-3</v>
      </c>
      <c r="S31" s="408">
        <f>+'Market Ops % Opex Allocations'!$F$19</f>
        <v>2.2687878792609369E-4</v>
      </c>
      <c r="T31" s="408">
        <f>+'Market Ops % Opex Allocations'!$F$15</f>
        <v>7.8761036958612266E-2</v>
      </c>
      <c r="U31" s="408">
        <f>+'Market Ops % Opex Allocations'!$F$17</f>
        <v>0.10722853682038457</v>
      </c>
      <c r="V31" s="407">
        <f>SUM(M31:U31)-100%</f>
        <v>0</v>
      </c>
      <c r="W31" s="420"/>
      <c r="X31" s="309">
        <f t="shared" si="0"/>
        <v>0</v>
      </c>
      <c r="Y31" s="309">
        <f t="shared" si="0"/>
        <v>262.29495779621192</v>
      </c>
      <c r="Z31" s="309">
        <f t="shared" si="0"/>
        <v>226.50689510246823</v>
      </c>
      <c r="AA31" s="309">
        <f t="shared" si="0"/>
        <v>3.5945352289356767</v>
      </c>
      <c r="AB31" s="309">
        <f t="shared" si="0"/>
        <v>129.43108111098903</v>
      </c>
      <c r="AC31" s="309">
        <f t="shared" si="0"/>
        <v>0.95233143879404369</v>
      </c>
      <c r="AD31" s="309">
        <f t="shared" si="0"/>
        <v>0.1736278974528693</v>
      </c>
      <c r="AE31" s="309">
        <f t="shared" si="0"/>
        <v>60.274974903278668</v>
      </c>
      <c r="AF31" s="309">
        <f t="shared" si="0"/>
        <v>82.060846521869493</v>
      </c>
      <c r="AG31" s="309">
        <f>SUM(X31:AF31)</f>
        <v>765.28925000000004</v>
      </c>
      <c r="AH31" s="309">
        <f>+AG31-L31</f>
        <v>0</v>
      </c>
    </row>
    <row r="32" spans="2:34">
      <c r="B32" s="305" t="s">
        <v>149</v>
      </c>
      <c r="C32" s="305" t="s">
        <v>146</v>
      </c>
      <c r="D32" s="310"/>
      <c r="E32" s="417">
        <v>24418</v>
      </c>
      <c r="F32" s="418">
        <v>0</v>
      </c>
      <c r="G32" s="417">
        <f t="shared" si="1"/>
        <v>25028.449999999997</v>
      </c>
      <c r="H32" s="418">
        <f t="shared" si="1"/>
        <v>0</v>
      </c>
      <c r="I32" s="417"/>
      <c r="J32" s="421">
        <v>0</v>
      </c>
      <c r="K32" s="420"/>
      <c r="L32" s="421">
        <f>+J32+H32</f>
        <v>0</v>
      </c>
      <c r="M32" s="408">
        <v>0</v>
      </c>
      <c r="N32" s="408">
        <f>+'Market Ops % Opex Allocations'!$F$16</f>
        <v>0.34273963445352451</v>
      </c>
      <c r="O32" s="408">
        <f>+'Market Ops % Opex Allocations'!$F$12</f>
        <v>0.29597553487451733</v>
      </c>
      <c r="P32" s="408">
        <f>+'Market Ops % Opex Allocations'!$F$13</f>
        <v>4.6969629181850868E-3</v>
      </c>
      <c r="Q32" s="408">
        <f>+'Market Ops % Opex Allocations'!$F$14</f>
        <v>0.16912700800512881</v>
      </c>
      <c r="R32" s="408">
        <f>+'Market Ops % Opex Allocations'!$F$18</f>
        <v>1.2444071817212167E-3</v>
      </c>
      <c r="S32" s="408">
        <f>+'Market Ops % Opex Allocations'!$F$19</f>
        <v>2.2687878792609369E-4</v>
      </c>
      <c r="T32" s="408">
        <f>+'Market Ops % Opex Allocations'!$F$15</f>
        <v>7.8761036958612266E-2</v>
      </c>
      <c r="U32" s="408">
        <f>+'Market Ops % Opex Allocations'!$F$17</f>
        <v>0.10722853682038457</v>
      </c>
      <c r="V32" s="407">
        <f>SUM(M32:U32)-100%</f>
        <v>0</v>
      </c>
      <c r="W32" s="420"/>
      <c r="X32" s="309">
        <f t="shared" si="0"/>
        <v>0</v>
      </c>
      <c r="Y32" s="309">
        <f t="shared" si="0"/>
        <v>0</v>
      </c>
      <c r="Z32" s="309">
        <f t="shared" si="0"/>
        <v>0</v>
      </c>
      <c r="AA32" s="309">
        <f t="shared" si="0"/>
        <v>0</v>
      </c>
      <c r="AB32" s="309">
        <f t="shared" si="0"/>
        <v>0</v>
      </c>
      <c r="AC32" s="309">
        <f t="shared" si="0"/>
        <v>0</v>
      </c>
      <c r="AD32" s="309">
        <f t="shared" si="0"/>
        <v>0</v>
      </c>
      <c r="AE32" s="309">
        <f t="shared" si="0"/>
        <v>0</v>
      </c>
      <c r="AF32" s="309">
        <f t="shared" si="0"/>
        <v>0</v>
      </c>
      <c r="AG32" s="309">
        <f>SUM(X32:AF32)</f>
        <v>0</v>
      </c>
      <c r="AH32" s="309">
        <f>+AG32-L32</f>
        <v>0</v>
      </c>
    </row>
    <row r="33" spans="2:34">
      <c r="B33" s="305" t="s">
        <v>149</v>
      </c>
      <c r="C33" s="305" t="s">
        <v>145</v>
      </c>
      <c r="D33" s="310"/>
      <c r="E33" s="417">
        <v>17804.830000000002</v>
      </c>
      <c r="F33" s="418">
        <v>16828.34</v>
      </c>
      <c r="G33" s="417">
        <f t="shared" si="1"/>
        <v>18249.95075</v>
      </c>
      <c r="H33" s="418">
        <f t="shared" si="1"/>
        <v>17249.048499999997</v>
      </c>
      <c r="I33" s="417"/>
      <c r="J33" s="421">
        <v>3095.1900000000005</v>
      </c>
      <c r="K33" s="420"/>
      <c r="L33" s="421">
        <f>+J33+H33</f>
        <v>20344.238499999999</v>
      </c>
      <c r="M33" s="408">
        <v>0</v>
      </c>
      <c r="N33" s="408">
        <f>+'Market Ops % Opex Allocations'!$F$16</f>
        <v>0.34273963445352451</v>
      </c>
      <c r="O33" s="408">
        <f>+'Market Ops % Opex Allocations'!$F$12</f>
        <v>0.29597553487451733</v>
      </c>
      <c r="P33" s="408">
        <f>+'Market Ops % Opex Allocations'!$F$13</f>
        <v>4.6969629181850868E-3</v>
      </c>
      <c r="Q33" s="408">
        <f>+'Market Ops % Opex Allocations'!$F$14</f>
        <v>0.16912700800512881</v>
      </c>
      <c r="R33" s="408">
        <f>+'Market Ops % Opex Allocations'!$F$18</f>
        <v>1.2444071817212167E-3</v>
      </c>
      <c r="S33" s="408">
        <f>+'Market Ops % Opex Allocations'!$F$19</f>
        <v>2.2687878792609369E-4</v>
      </c>
      <c r="T33" s="408">
        <f>+'Market Ops % Opex Allocations'!$F$15</f>
        <v>7.8761036958612266E-2</v>
      </c>
      <c r="U33" s="408">
        <f>+'Market Ops % Opex Allocations'!$F$17</f>
        <v>0.10722853682038457</v>
      </c>
      <c r="V33" s="407">
        <f>SUM(M33:U33)-100%</f>
        <v>0</v>
      </c>
      <c r="W33" s="420"/>
      <c r="X33" s="309">
        <f t="shared" si="0"/>
        <v>0</v>
      </c>
      <c r="Y33" s="309">
        <f t="shared" si="0"/>
        <v>6972.7768667253195</v>
      </c>
      <c r="Z33" s="309">
        <f t="shared" si="0"/>
        <v>6021.3968716522477</v>
      </c>
      <c r="AA33" s="309">
        <f t="shared" si="0"/>
        <v>95.556133833213394</v>
      </c>
      <c r="AB33" s="309">
        <f t="shared" si="0"/>
        <v>3440.7601876477497</v>
      </c>
      <c r="AC33" s="309">
        <f t="shared" si="0"/>
        <v>25.316516496049275</v>
      </c>
      <c r="AD33" s="309">
        <f t="shared" si="0"/>
        <v>4.61567617215937</v>
      </c>
      <c r="AE33" s="309">
        <f t="shared" si="0"/>
        <v>1602.3333203933225</v>
      </c>
      <c r="AF33" s="309">
        <f t="shared" si="0"/>
        <v>2181.4829270799351</v>
      </c>
      <c r="AG33" s="309">
        <f>SUM(X33:AF33)</f>
        <v>20344.238499999992</v>
      </c>
      <c r="AH33" s="309">
        <f>+AG33-L33</f>
        <v>0</v>
      </c>
    </row>
    <row r="34" spans="2:34">
      <c r="B34" s="305" t="s">
        <v>149</v>
      </c>
      <c r="C34" s="311" t="s">
        <v>144</v>
      </c>
      <c r="D34" s="312"/>
      <c r="E34" s="417">
        <v>30991.97</v>
      </c>
      <c r="F34" s="418">
        <v>20120.800000000003</v>
      </c>
      <c r="G34" s="417">
        <f t="shared" si="1"/>
        <v>31766.769249999998</v>
      </c>
      <c r="H34" s="418">
        <f t="shared" si="1"/>
        <v>20623.82</v>
      </c>
      <c r="I34" s="417"/>
      <c r="J34" s="421">
        <v>21344.45</v>
      </c>
      <c r="K34" s="420"/>
      <c r="L34" s="422">
        <f>+J34+H34</f>
        <v>41968.270000000004</v>
      </c>
      <c r="M34" s="409">
        <v>0</v>
      </c>
      <c r="N34" s="409">
        <f>+'Market Ops % Opex Allocations'!$F$16</f>
        <v>0.34273963445352451</v>
      </c>
      <c r="O34" s="409">
        <f>+'Market Ops % Opex Allocations'!$F$12</f>
        <v>0.29597553487451733</v>
      </c>
      <c r="P34" s="409">
        <f>+'Market Ops % Opex Allocations'!$F$13</f>
        <v>4.6969629181850868E-3</v>
      </c>
      <c r="Q34" s="409">
        <f>+'Market Ops % Opex Allocations'!$F$14</f>
        <v>0.16912700800512881</v>
      </c>
      <c r="R34" s="409">
        <f>+'Market Ops % Opex Allocations'!$F$18</f>
        <v>1.2444071817212167E-3</v>
      </c>
      <c r="S34" s="409">
        <f>+'Market Ops % Opex Allocations'!$F$19</f>
        <v>2.2687878792609369E-4</v>
      </c>
      <c r="T34" s="409">
        <f>+'Market Ops % Opex Allocations'!$F$15</f>
        <v>7.8761036958612266E-2</v>
      </c>
      <c r="U34" s="409">
        <f>+'Market Ops % Opex Allocations'!$F$17</f>
        <v>0.10722853682038457</v>
      </c>
      <c r="V34" s="407">
        <f>SUM(M34:U34)-100%</f>
        <v>0</v>
      </c>
      <c r="W34" s="420"/>
      <c r="X34" s="313">
        <f t="shared" si="0"/>
        <v>0</v>
      </c>
      <c r="Y34" s="313">
        <f t="shared" si="0"/>
        <v>14384.189518446821</v>
      </c>
      <c r="Z34" s="313">
        <f t="shared" si="0"/>
        <v>12421.58116100816</v>
      </c>
      <c r="AA34" s="313">
        <f t="shared" si="0"/>
        <v>197.12340793037964</v>
      </c>
      <c r="AB34" s="313">
        <f t="shared" si="0"/>
        <v>7097.967936251408</v>
      </c>
      <c r="AC34" s="313">
        <f t="shared" si="0"/>
        <v>52.225616592415093</v>
      </c>
      <c r="AD34" s="313">
        <f t="shared" si="0"/>
        <v>9.5217102289550404</v>
      </c>
      <c r="AE34" s="313">
        <f t="shared" si="0"/>
        <v>3305.4644645590188</v>
      </c>
      <c r="AF34" s="313">
        <f t="shared" si="0"/>
        <v>4500.1961849828413</v>
      </c>
      <c r="AG34" s="309">
        <f>SUM(X34:AF34)</f>
        <v>41968.27</v>
      </c>
      <c r="AH34" s="309">
        <f>+AG34-L34</f>
        <v>0</v>
      </c>
    </row>
    <row r="35" spans="2:34">
      <c r="B35" s="314" t="s">
        <v>149</v>
      </c>
      <c r="C35" s="315" t="s">
        <v>141</v>
      </c>
      <c r="D35" s="316"/>
      <c r="E35" s="423">
        <f>SUM(E30:E34)</f>
        <v>4153685.31</v>
      </c>
      <c r="F35" s="424">
        <f>SUM(F30:F34)</f>
        <v>3393609.8799999994</v>
      </c>
      <c r="G35" s="425">
        <f>SUM(G30:G34)</f>
        <v>4318632.0810000002</v>
      </c>
      <c r="H35" s="424">
        <f>SUM(H30:H34)</f>
        <v>3528796.5705499998</v>
      </c>
      <c r="I35" s="426"/>
      <c r="J35" s="427">
        <f>SUM(J30:J34)</f>
        <v>4399036.3</v>
      </c>
      <c r="K35" s="420"/>
      <c r="L35" s="427">
        <f>SUM(L30:L34)</f>
        <v>7927832.8705499992</v>
      </c>
      <c r="M35" s="410"/>
      <c r="N35" s="410"/>
      <c r="O35" s="410"/>
      <c r="P35" s="410"/>
      <c r="Q35" s="410"/>
      <c r="R35" s="410"/>
      <c r="S35" s="410"/>
      <c r="T35" s="410"/>
      <c r="U35" s="410"/>
      <c r="V35" s="411"/>
      <c r="W35" s="420"/>
      <c r="X35" s="317">
        <f t="shared" ref="X35:AH35" si="2">SUM(X30:X34)</f>
        <v>0</v>
      </c>
      <c r="Y35" s="317">
        <f t="shared" si="2"/>
        <v>2717182.5400609425</v>
      </c>
      <c r="Z35" s="317">
        <f t="shared" si="2"/>
        <v>2346444.5742568164</v>
      </c>
      <c r="AA35" s="317">
        <f t="shared" si="2"/>
        <v>37236.737014542181</v>
      </c>
      <c r="AB35" s="317">
        <f t="shared" si="2"/>
        <v>1340810.6533608329</v>
      </c>
      <c r="AC35" s="317">
        <f t="shared" si="2"/>
        <v>9865.4521595979495</v>
      </c>
      <c r="AD35" s="317">
        <f t="shared" si="2"/>
        <v>1798.6571125510279</v>
      </c>
      <c r="AE35" s="317">
        <f t="shared" si="2"/>
        <v>624404.3377190897</v>
      </c>
      <c r="AF35" s="317">
        <f t="shared" si="2"/>
        <v>850089.91886562563</v>
      </c>
      <c r="AG35" s="317">
        <f t="shared" si="2"/>
        <v>7927832.8705499973</v>
      </c>
      <c r="AH35" s="317">
        <f t="shared" si="2"/>
        <v>0</v>
      </c>
    </row>
    <row r="36" spans="2:34">
      <c r="B36" s="305"/>
      <c r="C36" s="306"/>
      <c r="D36" s="307"/>
      <c r="E36" s="417"/>
      <c r="F36" s="418"/>
      <c r="G36" s="417"/>
      <c r="H36" s="418"/>
      <c r="I36" s="417"/>
      <c r="J36" s="421"/>
      <c r="K36" s="420"/>
      <c r="L36" s="419"/>
      <c r="M36" s="408"/>
      <c r="N36" s="408"/>
      <c r="O36" s="408"/>
      <c r="P36" s="408"/>
      <c r="Q36" s="408"/>
      <c r="R36" s="408"/>
      <c r="S36" s="408"/>
      <c r="T36" s="408"/>
      <c r="U36" s="408"/>
      <c r="V36" s="407"/>
      <c r="W36" s="420"/>
      <c r="X36" s="308"/>
      <c r="Y36" s="308"/>
      <c r="Z36" s="308"/>
      <c r="AA36" s="308"/>
      <c r="AB36" s="308"/>
      <c r="AC36" s="308"/>
      <c r="AD36" s="308"/>
      <c r="AE36" s="308"/>
      <c r="AF36" s="318"/>
      <c r="AG36" s="308"/>
      <c r="AH36" s="319"/>
    </row>
    <row r="37" spans="2:34">
      <c r="B37" s="305" t="s">
        <v>143</v>
      </c>
      <c r="C37" s="305" t="s">
        <v>148</v>
      </c>
      <c r="D37" s="310"/>
      <c r="E37" s="417">
        <v>4833088.6499999994</v>
      </c>
      <c r="F37" s="418">
        <v>4064010.9299999997</v>
      </c>
      <c r="G37" s="417">
        <f>+E37*(1+$E$26)</f>
        <v>5026412.1959999995</v>
      </c>
      <c r="H37" s="418">
        <f>+F37*(1+$E$26)</f>
        <v>4226571.3672000002</v>
      </c>
      <c r="I37" s="417"/>
      <c r="J37" s="421">
        <v>4582938.9400000004</v>
      </c>
      <c r="K37" s="420"/>
      <c r="L37" s="421">
        <f>+J37+H37</f>
        <v>8809510.3071999997</v>
      </c>
      <c r="M37" s="408">
        <f>+'Market Ops % Opex Allocations'!$E$16</f>
        <v>3.5718202284881206E-2</v>
      </c>
      <c r="N37" s="408">
        <v>0</v>
      </c>
      <c r="O37" s="408">
        <f>+'Market Ops % Opex Allocations'!$E$12</f>
        <v>0.4477435024093821</v>
      </c>
      <c r="P37" s="408">
        <f>+'Market Ops % Opex Allocations'!$E$13</f>
        <v>9.4739119955383772E-3</v>
      </c>
      <c r="Q37" s="408">
        <f>+'Market Ops % Opex Allocations'!$E$14</f>
        <v>0.25585060247746755</v>
      </c>
      <c r="R37" s="408">
        <f>+'Market Ops % Opex Allocations'!$E$18</f>
        <v>0</v>
      </c>
      <c r="S37" s="408">
        <f>+'Market Ops % Opex Allocations'!$E$19</f>
        <v>0</v>
      </c>
      <c r="T37" s="408">
        <f>+'Market Ops % Opex Allocations'!$E$15</f>
        <v>8.560710153418144E-2</v>
      </c>
      <c r="U37" s="408">
        <f>+'Market Ops % Opex Allocations'!$E$17</f>
        <v>0.16560667929854933</v>
      </c>
      <c r="V37" s="407">
        <f>SUM(M37:U37)-100%</f>
        <v>0</v>
      </c>
      <c r="W37" s="420"/>
      <c r="X37" s="309">
        <f t="shared" ref="X37:AF41" si="3">+M37*$L37</f>
        <v>314659.87118331558</v>
      </c>
      <c r="Y37" s="309">
        <f t="shared" si="3"/>
        <v>0</v>
      </c>
      <c r="Z37" s="309">
        <f t="shared" si="3"/>
        <v>3944400.9994572797</v>
      </c>
      <c r="AA37" s="309">
        <f t="shared" si="3"/>
        <v>83460.525374201054</v>
      </c>
      <c r="AB37" s="309">
        <f t="shared" si="3"/>
        <v>2253918.5196285802</v>
      </c>
      <c r="AC37" s="309">
        <f t="shared" si="3"/>
        <v>0</v>
      </c>
      <c r="AD37" s="309">
        <f t="shared" si="3"/>
        <v>0</v>
      </c>
      <c r="AE37" s="309">
        <f t="shared" si="3"/>
        <v>754156.64333488827</v>
      </c>
      <c r="AF37" s="309">
        <f t="shared" si="3"/>
        <v>1458913.7482217352</v>
      </c>
      <c r="AG37" s="309">
        <f>SUM(X37:AF37)</f>
        <v>8809510.3071999997</v>
      </c>
      <c r="AH37" s="319">
        <f>+AG37-L37</f>
        <v>0</v>
      </c>
    </row>
    <row r="38" spans="2:34">
      <c r="B38" s="305" t="s">
        <v>143</v>
      </c>
      <c r="C38" s="305" t="s">
        <v>147</v>
      </c>
      <c r="D38" s="310"/>
      <c r="E38" s="417">
        <v>15773.33</v>
      </c>
      <c r="F38" s="418">
        <v>12777.68</v>
      </c>
      <c r="G38" s="417">
        <f t="shared" ref="G38:H41" si="4">+E38*(1+$E$27)</f>
        <v>16167.663249999998</v>
      </c>
      <c r="H38" s="418">
        <f t="shared" si="4"/>
        <v>13097.121999999999</v>
      </c>
      <c r="I38" s="417"/>
      <c r="J38" s="421">
        <v>25365.710000000003</v>
      </c>
      <c r="K38" s="420"/>
      <c r="L38" s="421">
        <f>+J38+H38</f>
        <v>38462.832000000002</v>
      </c>
      <c r="M38" s="408">
        <f>+'Market Ops % Opex Allocations'!$E$16</f>
        <v>3.5718202284881206E-2</v>
      </c>
      <c r="N38" s="408">
        <v>0</v>
      </c>
      <c r="O38" s="408">
        <f>+'Market Ops % Opex Allocations'!$E$12</f>
        <v>0.4477435024093821</v>
      </c>
      <c r="P38" s="408">
        <f>+'Market Ops % Opex Allocations'!$E$13</f>
        <v>9.4739119955383772E-3</v>
      </c>
      <c r="Q38" s="408">
        <f>+'Market Ops % Opex Allocations'!$E$14</f>
        <v>0.25585060247746755</v>
      </c>
      <c r="R38" s="408">
        <f>+'Market Ops % Opex Allocations'!$E$18</f>
        <v>0</v>
      </c>
      <c r="S38" s="408">
        <f>+'Market Ops % Opex Allocations'!$E$19</f>
        <v>0</v>
      </c>
      <c r="T38" s="408">
        <f>+'Market Ops % Opex Allocations'!$E$15</f>
        <v>8.560710153418144E-2</v>
      </c>
      <c r="U38" s="408">
        <f>+'Market Ops % Opex Allocations'!$E$17</f>
        <v>0.16560667929854933</v>
      </c>
      <c r="V38" s="407">
        <f>SUM(M38:U38)-100%</f>
        <v>0</v>
      </c>
      <c r="W38" s="420"/>
      <c r="X38" s="309">
        <f t="shared" si="3"/>
        <v>1373.823213825402</v>
      </c>
      <c r="Y38" s="309">
        <f t="shared" si="3"/>
        <v>0</v>
      </c>
      <c r="Z38" s="309">
        <f t="shared" si="3"/>
        <v>17221.483112263661</v>
      </c>
      <c r="AA38" s="309">
        <f t="shared" si="3"/>
        <v>364.39348546717736</v>
      </c>
      <c r="AB38" s="309">
        <f t="shared" si="3"/>
        <v>9840.7387401896194</v>
      </c>
      <c r="AC38" s="309">
        <f t="shared" si="3"/>
        <v>0</v>
      </c>
      <c r="AD38" s="309">
        <f t="shared" si="3"/>
        <v>0</v>
      </c>
      <c r="AE38" s="309">
        <f t="shared" si="3"/>
        <v>3292.6915643161633</v>
      </c>
      <c r="AF38" s="309">
        <f t="shared" si="3"/>
        <v>6369.7018839379807</v>
      </c>
      <c r="AG38" s="309">
        <f>SUM(X38:AF38)</f>
        <v>38462.832000000002</v>
      </c>
      <c r="AH38" s="319">
        <f>+AG38-L38</f>
        <v>0</v>
      </c>
    </row>
    <row r="39" spans="2:34">
      <c r="B39" s="305" t="s">
        <v>143</v>
      </c>
      <c r="C39" s="305" t="s">
        <v>146</v>
      </c>
      <c r="D39" s="310"/>
      <c r="E39" s="417">
        <v>2496308.9099999997</v>
      </c>
      <c r="F39" s="418">
        <v>2054758.5499999998</v>
      </c>
      <c r="G39" s="417">
        <f t="shared" si="4"/>
        <v>2558716.6327499994</v>
      </c>
      <c r="H39" s="418">
        <f t="shared" si="4"/>
        <v>2106127.5137499995</v>
      </c>
      <c r="I39" s="417"/>
      <c r="J39" s="421">
        <v>2493672.2899999996</v>
      </c>
      <c r="K39" s="420"/>
      <c r="L39" s="421">
        <f>+J39+H39</f>
        <v>4599799.803749999</v>
      </c>
      <c r="M39" s="408">
        <v>1</v>
      </c>
      <c r="N39" s="408">
        <v>0</v>
      </c>
      <c r="O39" s="408">
        <v>0</v>
      </c>
      <c r="P39" s="408">
        <v>0</v>
      </c>
      <c r="Q39" s="408">
        <v>0</v>
      </c>
      <c r="R39" s="408">
        <v>0</v>
      </c>
      <c r="S39" s="408">
        <v>0</v>
      </c>
      <c r="T39" s="408">
        <v>0</v>
      </c>
      <c r="U39" s="408">
        <v>0</v>
      </c>
      <c r="V39" s="407">
        <f>SUM(M39:U39)-100%</f>
        <v>0</v>
      </c>
      <c r="W39" s="420"/>
      <c r="X39" s="309">
        <f t="shared" si="3"/>
        <v>4599799.803749999</v>
      </c>
      <c r="Y39" s="309">
        <f t="shared" si="3"/>
        <v>0</v>
      </c>
      <c r="Z39" s="309">
        <f t="shared" si="3"/>
        <v>0</v>
      </c>
      <c r="AA39" s="309">
        <f t="shared" si="3"/>
        <v>0</v>
      </c>
      <c r="AB39" s="309">
        <f t="shared" si="3"/>
        <v>0</v>
      </c>
      <c r="AC39" s="309">
        <f t="shared" si="3"/>
        <v>0</v>
      </c>
      <c r="AD39" s="309">
        <f t="shared" si="3"/>
        <v>0</v>
      </c>
      <c r="AE39" s="309">
        <f t="shared" si="3"/>
        <v>0</v>
      </c>
      <c r="AF39" s="309">
        <f t="shared" si="3"/>
        <v>0</v>
      </c>
      <c r="AG39" s="309">
        <f>SUM(X39:AF39)</f>
        <v>4599799.803749999</v>
      </c>
      <c r="AH39" s="319">
        <f>+AG39-L39</f>
        <v>0</v>
      </c>
    </row>
    <row r="40" spans="2:34">
      <c r="B40" s="305" t="s">
        <v>143</v>
      </c>
      <c r="C40" s="305" t="s">
        <v>145</v>
      </c>
      <c r="D40" s="310"/>
      <c r="E40" s="417">
        <v>-40922.829999999987</v>
      </c>
      <c r="F40" s="418">
        <v>14747.760000000009</v>
      </c>
      <c r="G40" s="417">
        <f t="shared" si="4"/>
        <v>-41945.900749999986</v>
      </c>
      <c r="H40" s="418">
        <f t="shared" si="4"/>
        <v>15116.454000000009</v>
      </c>
      <c r="I40" s="417"/>
      <c r="J40" s="421">
        <v>18656.560000000005</v>
      </c>
      <c r="K40" s="420"/>
      <c r="L40" s="421">
        <f>+J40+H40</f>
        <v>33773.01400000001</v>
      </c>
      <c r="M40" s="408">
        <f>+'Market Ops % Opex Allocations'!$E$16</f>
        <v>3.5718202284881206E-2</v>
      </c>
      <c r="N40" s="408">
        <v>0</v>
      </c>
      <c r="O40" s="408">
        <f>+'Market Ops % Opex Allocations'!$E$12</f>
        <v>0.4477435024093821</v>
      </c>
      <c r="P40" s="408">
        <f>+'Market Ops % Opex Allocations'!$E$13</f>
        <v>9.4739119955383772E-3</v>
      </c>
      <c r="Q40" s="408">
        <f>+'Market Ops % Opex Allocations'!$E$14</f>
        <v>0.25585060247746755</v>
      </c>
      <c r="R40" s="408">
        <f>+'Market Ops % Opex Allocations'!$E$18</f>
        <v>0</v>
      </c>
      <c r="S40" s="408">
        <f>+'Market Ops % Opex Allocations'!$E$19</f>
        <v>0</v>
      </c>
      <c r="T40" s="408">
        <f>+'Market Ops % Opex Allocations'!$E$15</f>
        <v>8.560710153418144E-2</v>
      </c>
      <c r="U40" s="408">
        <f>+'Market Ops % Opex Allocations'!$E$17</f>
        <v>0.16560667929854933</v>
      </c>
      <c r="V40" s="407">
        <f>SUM(M40:U40)-100%</f>
        <v>0</v>
      </c>
      <c r="W40" s="420"/>
      <c r="X40" s="309">
        <f t="shared" si="3"/>
        <v>1206.3113458221253</v>
      </c>
      <c r="Y40" s="309">
        <f t="shared" si="3"/>
        <v>0</v>
      </c>
      <c r="Z40" s="309">
        <f t="shared" si="3"/>
        <v>15121.6475752811</v>
      </c>
      <c r="AA40" s="309">
        <f t="shared" si="3"/>
        <v>319.96256246008562</v>
      </c>
      <c r="AB40" s="309">
        <f t="shared" si="3"/>
        <v>8640.8459793799484</v>
      </c>
      <c r="AC40" s="309">
        <f t="shared" si="3"/>
        <v>0</v>
      </c>
      <c r="AD40" s="309">
        <f t="shared" si="3"/>
        <v>0</v>
      </c>
      <c r="AE40" s="309">
        <f t="shared" si="3"/>
        <v>2891.2098386133321</v>
      </c>
      <c r="AF40" s="309">
        <f t="shared" si="3"/>
        <v>5593.0366984434186</v>
      </c>
      <c r="AG40" s="309">
        <f>SUM(X40:AF40)</f>
        <v>33773.01400000001</v>
      </c>
      <c r="AH40" s="319">
        <f>+AG40-L40</f>
        <v>0</v>
      </c>
    </row>
    <row r="41" spans="2:34">
      <c r="B41" s="305" t="s">
        <v>143</v>
      </c>
      <c r="C41" s="311" t="s">
        <v>144</v>
      </c>
      <c r="D41" s="312"/>
      <c r="E41" s="417">
        <v>27987.690000000002</v>
      </c>
      <c r="F41" s="418">
        <v>26380.63</v>
      </c>
      <c r="G41" s="417">
        <f t="shared" si="4"/>
        <v>28687.382249999999</v>
      </c>
      <c r="H41" s="418">
        <f t="shared" si="4"/>
        <v>27040.14575</v>
      </c>
      <c r="I41" s="417"/>
      <c r="J41" s="421">
        <v>30636.1</v>
      </c>
      <c r="K41" s="420"/>
      <c r="L41" s="422">
        <f>+J41+H41</f>
        <v>57676.245750000002</v>
      </c>
      <c r="M41" s="408">
        <f>+'Market Ops % Opex Allocations'!$E$16</f>
        <v>3.5718202284881206E-2</v>
      </c>
      <c r="N41" s="408">
        <v>0</v>
      </c>
      <c r="O41" s="408">
        <f>+'Market Ops % Opex Allocations'!$E$12</f>
        <v>0.4477435024093821</v>
      </c>
      <c r="P41" s="408">
        <f>+'Market Ops % Opex Allocations'!$E$13</f>
        <v>9.4739119955383772E-3</v>
      </c>
      <c r="Q41" s="408">
        <f>+'Market Ops % Opex Allocations'!$E$14</f>
        <v>0.25585060247746755</v>
      </c>
      <c r="R41" s="408">
        <f>+'Market Ops % Opex Allocations'!$E$18</f>
        <v>0</v>
      </c>
      <c r="S41" s="408">
        <f>+'Market Ops % Opex Allocations'!$E$19</f>
        <v>0</v>
      </c>
      <c r="T41" s="408">
        <f>+'Market Ops % Opex Allocations'!$E$15</f>
        <v>8.560710153418144E-2</v>
      </c>
      <c r="U41" s="408">
        <f>+'Market Ops % Opex Allocations'!$E$17</f>
        <v>0.16560667929854933</v>
      </c>
      <c r="V41" s="407">
        <f>SUM(M41:U41)-100%</f>
        <v>0</v>
      </c>
      <c r="W41" s="420"/>
      <c r="X41" s="309">
        <f t="shared" si="3"/>
        <v>2060.0918127310201</v>
      </c>
      <c r="Y41" s="309">
        <f t="shared" si="3"/>
        <v>0</v>
      </c>
      <c r="Z41" s="309">
        <f t="shared" si="3"/>
        <v>25824.164277929242</v>
      </c>
      <c r="AA41" s="309">
        <f t="shared" si="3"/>
        <v>546.41967646854437</v>
      </c>
      <c r="AB41" s="309">
        <f t="shared" si="3"/>
        <v>14756.502223775977</v>
      </c>
      <c r="AC41" s="309">
        <f t="shared" si="3"/>
        <v>0</v>
      </c>
      <c r="AD41" s="309">
        <f t="shared" si="3"/>
        <v>0</v>
      </c>
      <c r="AE41" s="309">
        <f t="shared" si="3"/>
        <v>4937.4962260306511</v>
      </c>
      <c r="AF41" s="309">
        <f t="shared" si="3"/>
        <v>9551.5715330645689</v>
      </c>
      <c r="AG41" s="313">
        <f>SUM(X41:AF41)</f>
        <v>57676.245750000002</v>
      </c>
      <c r="AH41" s="319">
        <f>+AG41-L41</f>
        <v>0</v>
      </c>
    </row>
    <row r="42" spans="2:34">
      <c r="B42" s="314" t="s">
        <v>143</v>
      </c>
      <c r="C42" s="315" t="s">
        <v>141</v>
      </c>
      <c r="D42" s="316"/>
      <c r="E42" s="423">
        <f>SUM(E37:E41)</f>
        <v>7332235.7499999991</v>
      </c>
      <c r="F42" s="424">
        <f>SUM(F37:F41)</f>
        <v>6172675.5499999998</v>
      </c>
      <c r="G42" s="425">
        <f>SUM(G37:G41)</f>
        <v>7588037.9734999985</v>
      </c>
      <c r="H42" s="424">
        <f>SUM(H37:H41)</f>
        <v>6387952.6026999997</v>
      </c>
      <c r="I42" s="426"/>
      <c r="J42" s="427">
        <f>SUM(J37:J41)</f>
        <v>7151269.5999999987</v>
      </c>
      <c r="K42" s="420"/>
      <c r="L42" s="427">
        <f>SUM(L37:L41)</f>
        <v>13539222.2027</v>
      </c>
      <c r="M42" s="412"/>
      <c r="N42" s="413"/>
      <c r="O42" s="413"/>
      <c r="P42" s="413"/>
      <c r="Q42" s="413"/>
      <c r="R42" s="413"/>
      <c r="S42" s="413"/>
      <c r="T42" s="413"/>
      <c r="U42" s="413"/>
      <c r="V42" s="414"/>
      <c r="W42" s="420"/>
      <c r="X42" s="317">
        <f t="shared" ref="X42:AH42" si="5">SUM(X37:X41)</f>
        <v>4919099.9013056932</v>
      </c>
      <c r="Y42" s="317">
        <f t="shared" si="5"/>
        <v>0</v>
      </c>
      <c r="Z42" s="317">
        <f t="shared" si="5"/>
        <v>4002568.2944227536</v>
      </c>
      <c r="AA42" s="317">
        <f t="shared" si="5"/>
        <v>84691.301098596872</v>
      </c>
      <c r="AB42" s="317">
        <f t="shared" si="5"/>
        <v>2287156.6065719258</v>
      </c>
      <c r="AC42" s="317">
        <f t="shared" si="5"/>
        <v>0</v>
      </c>
      <c r="AD42" s="317">
        <f t="shared" si="5"/>
        <v>0</v>
      </c>
      <c r="AE42" s="317">
        <f t="shared" si="5"/>
        <v>765278.04096384835</v>
      </c>
      <c r="AF42" s="317">
        <f t="shared" si="5"/>
        <v>1480428.0583371811</v>
      </c>
      <c r="AG42" s="317">
        <f t="shared" si="5"/>
        <v>13539222.2027</v>
      </c>
      <c r="AH42" s="317">
        <f t="shared" si="5"/>
        <v>0</v>
      </c>
    </row>
    <row r="43" spans="2:34">
      <c r="B43" s="320"/>
      <c r="C43" s="321"/>
      <c r="D43" s="322"/>
      <c r="E43" s="417"/>
      <c r="F43" s="418"/>
      <c r="G43" s="417"/>
      <c r="H43" s="418"/>
      <c r="I43" s="417"/>
      <c r="J43" s="421"/>
      <c r="K43" s="420"/>
      <c r="L43" s="421"/>
      <c r="M43" s="415"/>
      <c r="N43" s="415"/>
      <c r="O43" s="415"/>
      <c r="P43" s="415"/>
      <c r="Q43" s="415"/>
      <c r="R43" s="415"/>
      <c r="S43" s="415"/>
      <c r="T43" s="415"/>
      <c r="U43" s="415"/>
      <c r="V43" s="415"/>
      <c r="W43" s="420"/>
      <c r="X43" s="309"/>
      <c r="Y43" s="309"/>
      <c r="Z43" s="309"/>
      <c r="AA43" s="309"/>
      <c r="AB43" s="309"/>
      <c r="AC43" s="309"/>
      <c r="AD43" s="309"/>
      <c r="AE43" s="309"/>
      <c r="AF43" s="309"/>
      <c r="AG43" s="309"/>
      <c r="AH43" s="309"/>
    </row>
    <row r="44" spans="2:34">
      <c r="B44" s="324" t="s">
        <v>142</v>
      </c>
      <c r="C44" s="325" t="s">
        <v>141</v>
      </c>
      <c r="D44" s="326"/>
      <c r="E44" s="428">
        <f>+E42+E35</f>
        <v>11485921.059999999</v>
      </c>
      <c r="F44" s="429">
        <f>+F42+F35</f>
        <v>9566285.4299999997</v>
      </c>
      <c r="G44" s="430">
        <f>+G42+G35</f>
        <v>11906670.054499999</v>
      </c>
      <c r="H44" s="429">
        <f>+H42+H35</f>
        <v>9916749.1732499991</v>
      </c>
      <c r="I44" s="426"/>
      <c r="J44" s="431">
        <f>+J42+J35</f>
        <v>11550305.899999999</v>
      </c>
      <c r="K44" s="420"/>
      <c r="L44" s="431">
        <f>+L42+L35</f>
        <v>21467055.073249999</v>
      </c>
      <c r="M44" s="416"/>
      <c r="N44" s="416"/>
      <c r="O44" s="416"/>
      <c r="P44" s="416"/>
      <c r="Q44" s="416"/>
      <c r="R44" s="416"/>
      <c r="S44" s="416"/>
      <c r="T44" s="416"/>
      <c r="U44" s="416"/>
      <c r="V44" s="415"/>
      <c r="W44" s="420"/>
      <c r="X44" s="327">
        <f t="shared" ref="X44:AH44" si="6">+X42+X35</f>
        <v>4919099.9013056932</v>
      </c>
      <c r="Y44" s="327">
        <f t="shared" si="6"/>
        <v>2717182.5400609425</v>
      </c>
      <c r="Z44" s="327">
        <f t="shared" si="6"/>
        <v>6349012.86867957</v>
      </c>
      <c r="AA44" s="327">
        <f t="shared" si="6"/>
        <v>121928.03811313905</v>
      </c>
      <c r="AB44" s="327">
        <f t="shared" si="6"/>
        <v>3627967.2599327588</v>
      </c>
      <c r="AC44" s="327">
        <f t="shared" si="6"/>
        <v>9865.4521595979495</v>
      </c>
      <c r="AD44" s="327">
        <f t="shared" si="6"/>
        <v>1798.6571125510279</v>
      </c>
      <c r="AE44" s="327">
        <f t="shared" si="6"/>
        <v>1389682.3786829379</v>
      </c>
      <c r="AF44" s="327">
        <f t="shared" si="6"/>
        <v>2330517.9772028066</v>
      </c>
      <c r="AG44" s="327">
        <f t="shared" si="6"/>
        <v>21467055.073249996</v>
      </c>
      <c r="AH44" s="327">
        <f t="shared" si="6"/>
        <v>0</v>
      </c>
    </row>
    <row r="45" spans="2:34">
      <c r="M45" s="162"/>
      <c r="N45" s="162"/>
      <c r="O45" s="162"/>
      <c r="P45" s="162"/>
      <c r="Q45" s="162"/>
      <c r="R45" s="162"/>
      <c r="S45" s="162"/>
      <c r="T45" s="162"/>
      <c r="U45" s="162"/>
      <c r="V45" s="162"/>
      <c r="AG45" s="155">
        <f>+AG44-L44</f>
        <v>0</v>
      </c>
    </row>
    <row r="46" spans="2:34">
      <c r="E46" s="155"/>
      <c r="M46" s="538" t="s">
        <v>156</v>
      </c>
      <c r="N46" s="539"/>
      <c r="O46" s="539"/>
      <c r="P46" s="539"/>
      <c r="Q46" s="539"/>
      <c r="R46" s="539"/>
      <c r="S46" s="539"/>
      <c r="T46" s="539"/>
      <c r="U46" s="540"/>
      <c r="V46" s="298"/>
      <c r="X46" s="538" t="s">
        <v>202</v>
      </c>
      <c r="Y46" s="539"/>
      <c r="Z46" s="539"/>
      <c r="AA46" s="539"/>
      <c r="AB46" s="539"/>
      <c r="AC46" s="539"/>
      <c r="AD46" s="539"/>
      <c r="AE46" s="539"/>
      <c r="AF46" s="540"/>
      <c r="AG46" s="298"/>
      <c r="AH46" s="300"/>
    </row>
    <row r="47" spans="2:34" ht="51">
      <c r="E47" s="155"/>
      <c r="L47" s="436" t="s">
        <v>12</v>
      </c>
      <c r="M47" s="289" t="s">
        <v>160</v>
      </c>
      <c r="N47" s="289" t="s">
        <v>77</v>
      </c>
      <c r="O47" s="289" t="s">
        <v>154</v>
      </c>
      <c r="P47" s="289" t="s">
        <v>155</v>
      </c>
      <c r="Q47" s="289" t="s">
        <v>200</v>
      </c>
      <c r="R47" s="289" t="s">
        <v>157</v>
      </c>
      <c r="S47" s="289" t="s">
        <v>136</v>
      </c>
      <c r="T47" s="289" t="s">
        <v>135</v>
      </c>
      <c r="U47" s="289" t="s">
        <v>159</v>
      </c>
      <c r="V47" s="289" t="s">
        <v>137</v>
      </c>
      <c r="W47" s="420"/>
      <c r="X47" s="289" t="s">
        <v>160</v>
      </c>
      <c r="Y47" s="289" t="s">
        <v>77</v>
      </c>
      <c r="Z47" s="289" t="s">
        <v>154</v>
      </c>
      <c r="AA47" s="289" t="s">
        <v>155</v>
      </c>
      <c r="AB47" s="289" t="s">
        <v>200</v>
      </c>
      <c r="AC47" s="289" t="s">
        <v>157</v>
      </c>
      <c r="AD47" s="289" t="s">
        <v>136</v>
      </c>
      <c r="AE47" s="289" t="s">
        <v>135</v>
      </c>
      <c r="AF47" s="289" t="s">
        <v>159</v>
      </c>
      <c r="AG47" s="292" t="s">
        <v>138</v>
      </c>
      <c r="AH47" s="292" t="s">
        <v>137</v>
      </c>
    </row>
    <row r="48" spans="2:34">
      <c r="E48" s="155"/>
      <c r="L48" s="419">
        <f>+J30</f>
        <v>4374068.3199999994</v>
      </c>
      <c r="M48" s="432">
        <f t="shared" ref="M48:U48" si="7">+M30</f>
        <v>0</v>
      </c>
      <c r="N48" s="432">
        <f t="shared" si="7"/>
        <v>0.34273963445352451</v>
      </c>
      <c r="O48" s="432">
        <f t="shared" si="7"/>
        <v>0.29597553487451733</v>
      </c>
      <c r="P48" s="432">
        <f t="shared" si="7"/>
        <v>4.6969629181850868E-3</v>
      </c>
      <c r="Q48" s="432">
        <f t="shared" si="7"/>
        <v>0.16912700800512881</v>
      </c>
      <c r="R48" s="432">
        <f t="shared" si="7"/>
        <v>1.2444071817212167E-3</v>
      </c>
      <c r="S48" s="432">
        <f t="shared" si="7"/>
        <v>2.2687878792609369E-4</v>
      </c>
      <c r="T48" s="432">
        <f t="shared" si="7"/>
        <v>7.8761036958612266E-2</v>
      </c>
      <c r="U48" s="432">
        <f t="shared" si="7"/>
        <v>0.10722853682038457</v>
      </c>
      <c r="V48" s="407">
        <f>SUM(M48:U48)-100%</f>
        <v>0</v>
      </c>
      <c r="W48" s="420"/>
      <c r="X48" s="308">
        <f t="shared" ref="X48:AF52" si="8">+M48*$L48</f>
        <v>0</v>
      </c>
      <c r="Y48" s="308">
        <f t="shared" si="8"/>
        <v>1499166.5770715419</v>
      </c>
      <c r="Z48" s="308">
        <f t="shared" si="8"/>
        <v>1294617.2105896813</v>
      </c>
      <c r="AA48" s="308">
        <f t="shared" si="8"/>
        <v>20544.836700648139</v>
      </c>
      <c r="AB48" s="308">
        <f t="shared" si="8"/>
        <v>739773.08777162025</v>
      </c>
      <c r="AC48" s="308">
        <f t="shared" si="8"/>
        <v>5443.1220307472568</v>
      </c>
      <c r="AD48" s="308">
        <f t="shared" si="8"/>
        <v>992.38331874752475</v>
      </c>
      <c r="AE48" s="308">
        <f t="shared" si="8"/>
        <v>344506.15661101503</v>
      </c>
      <c r="AF48" s="308">
        <f t="shared" si="8"/>
        <v>469024.94590599759</v>
      </c>
      <c r="AG48" s="308">
        <f>SUM(X48:AF48)</f>
        <v>4374068.3199999984</v>
      </c>
      <c r="AH48" s="309">
        <f>+AG48-L48</f>
        <v>0</v>
      </c>
    </row>
    <row r="49" spans="2:34">
      <c r="E49" s="155"/>
      <c r="L49" s="421">
        <f>+J31</f>
        <v>528.34</v>
      </c>
      <c r="M49" s="433">
        <f t="shared" ref="M49:U49" si="9">+M31</f>
        <v>0</v>
      </c>
      <c r="N49" s="433">
        <f t="shared" si="9"/>
        <v>0.34273963445352451</v>
      </c>
      <c r="O49" s="433">
        <f t="shared" si="9"/>
        <v>0.29597553487451733</v>
      </c>
      <c r="P49" s="433">
        <f t="shared" si="9"/>
        <v>4.6969629181850868E-3</v>
      </c>
      <c r="Q49" s="433">
        <f t="shared" si="9"/>
        <v>0.16912700800512881</v>
      </c>
      <c r="R49" s="433">
        <f t="shared" si="9"/>
        <v>1.2444071817212167E-3</v>
      </c>
      <c r="S49" s="433">
        <f t="shared" si="9"/>
        <v>2.2687878792609369E-4</v>
      </c>
      <c r="T49" s="433">
        <f t="shared" si="9"/>
        <v>7.8761036958612266E-2</v>
      </c>
      <c r="U49" s="433">
        <f t="shared" si="9"/>
        <v>0.10722853682038457</v>
      </c>
      <c r="V49" s="407">
        <f>SUM(M49:U49)-100%</f>
        <v>0</v>
      </c>
      <c r="W49" s="420"/>
      <c r="X49" s="309">
        <f t="shared" si="8"/>
        <v>0</v>
      </c>
      <c r="Y49" s="309">
        <f t="shared" si="8"/>
        <v>181.08305846717516</v>
      </c>
      <c r="Z49" s="309">
        <f t="shared" si="8"/>
        <v>156.37571409560249</v>
      </c>
      <c r="AA49" s="309">
        <f t="shared" si="8"/>
        <v>2.4815933881939087</v>
      </c>
      <c r="AB49" s="309">
        <f t="shared" si="8"/>
        <v>89.356563409429754</v>
      </c>
      <c r="AC49" s="309">
        <f t="shared" si="8"/>
        <v>0.65747009039058768</v>
      </c>
      <c r="AD49" s="309">
        <f t="shared" si="8"/>
        <v>0.11986913881287235</v>
      </c>
      <c r="AE49" s="309">
        <f t="shared" si="8"/>
        <v>41.612606266713208</v>
      </c>
      <c r="AF49" s="309">
        <f t="shared" si="8"/>
        <v>56.653125143681983</v>
      </c>
      <c r="AG49" s="309">
        <f>SUM(X49:AF49)</f>
        <v>528.34</v>
      </c>
      <c r="AH49" s="309">
        <f>+AG49-L49</f>
        <v>0</v>
      </c>
    </row>
    <row r="50" spans="2:34">
      <c r="E50" s="155"/>
      <c r="L50" s="421">
        <f>+J32</f>
        <v>0</v>
      </c>
      <c r="M50" s="433">
        <f t="shared" ref="M50:U50" si="10">+M32</f>
        <v>0</v>
      </c>
      <c r="N50" s="433">
        <f t="shared" si="10"/>
        <v>0.34273963445352451</v>
      </c>
      <c r="O50" s="433">
        <f t="shared" si="10"/>
        <v>0.29597553487451733</v>
      </c>
      <c r="P50" s="433">
        <f t="shared" si="10"/>
        <v>4.6969629181850868E-3</v>
      </c>
      <c r="Q50" s="433">
        <f t="shared" si="10"/>
        <v>0.16912700800512881</v>
      </c>
      <c r="R50" s="433">
        <f t="shared" si="10"/>
        <v>1.2444071817212167E-3</v>
      </c>
      <c r="S50" s="433">
        <f t="shared" si="10"/>
        <v>2.2687878792609369E-4</v>
      </c>
      <c r="T50" s="433">
        <f t="shared" si="10"/>
        <v>7.8761036958612266E-2</v>
      </c>
      <c r="U50" s="433">
        <f t="shared" si="10"/>
        <v>0.10722853682038457</v>
      </c>
      <c r="V50" s="407">
        <f>SUM(M50:U50)-100%</f>
        <v>0</v>
      </c>
      <c r="W50" s="420"/>
      <c r="X50" s="309">
        <f t="shared" si="8"/>
        <v>0</v>
      </c>
      <c r="Y50" s="309">
        <f t="shared" si="8"/>
        <v>0</v>
      </c>
      <c r="Z50" s="309">
        <f t="shared" si="8"/>
        <v>0</v>
      </c>
      <c r="AA50" s="309">
        <f t="shared" si="8"/>
        <v>0</v>
      </c>
      <c r="AB50" s="309">
        <f t="shared" si="8"/>
        <v>0</v>
      </c>
      <c r="AC50" s="309">
        <f t="shared" si="8"/>
        <v>0</v>
      </c>
      <c r="AD50" s="309">
        <f t="shared" si="8"/>
        <v>0</v>
      </c>
      <c r="AE50" s="309">
        <f t="shared" si="8"/>
        <v>0</v>
      </c>
      <c r="AF50" s="309">
        <f t="shared" si="8"/>
        <v>0</v>
      </c>
      <c r="AG50" s="309">
        <f>SUM(X50:AF50)</f>
        <v>0</v>
      </c>
      <c r="AH50" s="309">
        <f>+AG50-L50</f>
        <v>0</v>
      </c>
    </row>
    <row r="51" spans="2:34">
      <c r="E51" s="155"/>
      <c r="L51" s="421">
        <f>+J33</f>
        <v>3095.1900000000005</v>
      </c>
      <c r="M51" s="433">
        <f t="shared" ref="M51:U51" si="11">+M33</f>
        <v>0</v>
      </c>
      <c r="N51" s="433">
        <f t="shared" si="11"/>
        <v>0.34273963445352451</v>
      </c>
      <c r="O51" s="433">
        <f t="shared" si="11"/>
        <v>0.29597553487451733</v>
      </c>
      <c r="P51" s="433">
        <f t="shared" si="11"/>
        <v>4.6969629181850868E-3</v>
      </c>
      <c r="Q51" s="433">
        <f t="shared" si="11"/>
        <v>0.16912700800512881</v>
      </c>
      <c r="R51" s="433">
        <f t="shared" si="11"/>
        <v>1.2444071817212167E-3</v>
      </c>
      <c r="S51" s="433">
        <f t="shared" si="11"/>
        <v>2.2687878792609369E-4</v>
      </c>
      <c r="T51" s="433">
        <f t="shared" si="11"/>
        <v>7.8761036958612266E-2</v>
      </c>
      <c r="U51" s="433">
        <f t="shared" si="11"/>
        <v>0.10722853682038457</v>
      </c>
      <c r="V51" s="407">
        <f>SUM(M51:U51)-100%</f>
        <v>0</v>
      </c>
      <c r="W51" s="420"/>
      <c r="X51" s="309">
        <f t="shared" si="8"/>
        <v>0</v>
      </c>
      <c r="Y51" s="309">
        <f t="shared" si="8"/>
        <v>1060.8442891642046</v>
      </c>
      <c r="Z51" s="309">
        <f t="shared" si="8"/>
        <v>916.10051578825744</v>
      </c>
      <c r="AA51" s="309">
        <f t="shared" si="8"/>
        <v>14.537992654737302</v>
      </c>
      <c r="AB51" s="309">
        <f t="shared" si="8"/>
        <v>523.4802239073947</v>
      </c>
      <c r="AC51" s="309">
        <f t="shared" si="8"/>
        <v>3.8516766647916936</v>
      </c>
      <c r="AD51" s="309">
        <f t="shared" si="8"/>
        <v>0.7022329556009661</v>
      </c>
      <c r="AE51" s="309">
        <f t="shared" si="8"/>
        <v>243.78037398392715</v>
      </c>
      <c r="AF51" s="309">
        <f t="shared" si="8"/>
        <v>331.89269488108613</v>
      </c>
      <c r="AG51" s="309">
        <f>SUM(X51:AF51)</f>
        <v>3095.190000000001</v>
      </c>
      <c r="AH51" s="309">
        <f>+AG51-L51</f>
        <v>0</v>
      </c>
    </row>
    <row r="52" spans="2:34">
      <c r="E52" s="155"/>
      <c r="L52" s="422">
        <f>+J34</f>
        <v>21344.45</v>
      </c>
      <c r="M52" s="434">
        <f t="shared" ref="M52:U52" si="12">+M34</f>
        <v>0</v>
      </c>
      <c r="N52" s="434">
        <f t="shared" si="12"/>
        <v>0.34273963445352451</v>
      </c>
      <c r="O52" s="434">
        <f t="shared" si="12"/>
        <v>0.29597553487451733</v>
      </c>
      <c r="P52" s="434">
        <f t="shared" si="12"/>
        <v>4.6969629181850868E-3</v>
      </c>
      <c r="Q52" s="434">
        <f t="shared" si="12"/>
        <v>0.16912700800512881</v>
      </c>
      <c r="R52" s="434">
        <f t="shared" si="12"/>
        <v>1.2444071817212167E-3</v>
      </c>
      <c r="S52" s="434">
        <f t="shared" si="12"/>
        <v>2.2687878792609369E-4</v>
      </c>
      <c r="T52" s="434">
        <f t="shared" si="12"/>
        <v>7.8761036958612266E-2</v>
      </c>
      <c r="U52" s="434">
        <f t="shared" si="12"/>
        <v>0.10722853682038457</v>
      </c>
      <c r="V52" s="407">
        <f>SUM(M52:U52)-100%</f>
        <v>0</v>
      </c>
      <c r="W52" s="420"/>
      <c r="X52" s="313">
        <f t="shared" si="8"/>
        <v>0</v>
      </c>
      <c r="Y52" s="313">
        <f t="shared" si="8"/>
        <v>7315.5889906115317</v>
      </c>
      <c r="Z52" s="313">
        <f t="shared" si="8"/>
        <v>6317.4350053523913</v>
      </c>
      <c r="AA52" s="313">
        <f t="shared" si="8"/>
        <v>100.25409015905568</v>
      </c>
      <c r="AB52" s="313">
        <f t="shared" si="8"/>
        <v>3609.9229660150718</v>
      </c>
      <c r="AC52" s="313">
        <f t="shared" si="8"/>
        <v>26.561186869889426</v>
      </c>
      <c r="AD52" s="313">
        <f t="shared" si="8"/>
        <v>4.8426029449491104</v>
      </c>
      <c r="AE52" s="313">
        <f t="shared" si="8"/>
        <v>1681.1110153112515</v>
      </c>
      <c r="AF52" s="313">
        <f t="shared" si="8"/>
        <v>2288.7341427358574</v>
      </c>
      <c r="AG52" s="309">
        <f>SUM(X52:AF52)</f>
        <v>21344.45</v>
      </c>
      <c r="AH52" s="309">
        <f>+AG52-L52</f>
        <v>0</v>
      </c>
    </row>
    <row r="53" spans="2:34">
      <c r="E53" s="155"/>
      <c r="L53" s="435">
        <f>SUM(L48:L52)</f>
        <v>4399036.3</v>
      </c>
      <c r="M53" s="410"/>
      <c r="N53" s="410"/>
      <c r="O53" s="410"/>
      <c r="P53" s="410"/>
      <c r="Q53" s="410"/>
      <c r="R53" s="410"/>
      <c r="S53" s="410"/>
      <c r="T53" s="410"/>
      <c r="U53" s="410"/>
      <c r="V53" s="411"/>
      <c r="W53" s="420"/>
      <c r="X53" s="317">
        <f t="shared" ref="X53:AH53" si="13">SUM(X48:X52)</f>
        <v>0</v>
      </c>
      <c r="Y53" s="317">
        <f t="shared" si="13"/>
        <v>1507724.0934097848</v>
      </c>
      <c r="Z53" s="317">
        <f t="shared" si="13"/>
        <v>1302007.1218249174</v>
      </c>
      <c r="AA53" s="317">
        <f t="shared" si="13"/>
        <v>20662.110376850123</v>
      </c>
      <c r="AB53" s="317">
        <f t="shared" si="13"/>
        <v>743995.84752495214</v>
      </c>
      <c r="AC53" s="317">
        <f t="shared" si="13"/>
        <v>5474.1923643723285</v>
      </c>
      <c r="AD53" s="317">
        <f t="shared" si="13"/>
        <v>998.04802378688771</v>
      </c>
      <c r="AE53" s="317">
        <f t="shared" si="13"/>
        <v>346472.66060657689</v>
      </c>
      <c r="AF53" s="317">
        <f t="shared" si="13"/>
        <v>471702.22586875816</v>
      </c>
      <c r="AG53" s="317">
        <f t="shared" si="13"/>
        <v>4399036.2999999989</v>
      </c>
      <c r="AH53" s="317">
        <f t="shared" si="13"/>
        <v>0</v>
      </c>
    </row>
    <row r="54" spans="2:34">
      <c r="E54" s="155"/>
      <c r="L54" s="419"/>
      <c r="M54" s="408"/>
      <c r="N54" s="408"/>
      <c r="O54" s="408"/>
      <c r="P54" s="408"/>
      <c r="Q54" s="408"/>
      <c r="R54" s="408"/>
      <c r="S54" s="408"/>
      <c r="T54" s="408"/>
      <c r="U54" s="408"/>
      <c r="V54" s="407"/>
      <c r="W54" s="420"/>
      <c r="X54" s="308"/>
      <c r="Y54" s="308"/>
      <c r="Z54" s="308"/>
      <c r="AA54" s="308"/>
      <c r="AB54" s="308"/>
      <c r="AC54" s="308"/>
      <c r="AD54" s="308"/>
      <c r="AE54" s="308"/>
      <c r="AF54" s="318"/>
      <c r="AG54" s="308"/>
      <c r="AH54" s="319"/>
    </row>
    <row r="55" spans="2:34">
      <c r="E55" s="155"/>
      <c r="L55" s="421">
        <f>+J37</f>
        <v>4582938.9400000004</v>
      </c>
      <c r="M55" s="408">
        <f t="shared" ref="M55:U55" si="14">+M37</f>
        <v>3.5718202284881206E-2</v>
      </c>
      <c r="N55" s="408">
        <f t="shared" si="14"/>
        <v>0</v>
      </c>
      <c r="O55" s="408">
        <f t="shared" si="14"/>
        <v>0.4477435024093821</v>
      </c>
      <c r="P55" s="408">
        <f t="shared" si="14"/>
        <v>9.4739119955383772E-3</v>
      </c>
      <c r="Q55" s="408">
        <f t="shared" si="14"/>
        <v>0.25585060247746755</v>
      </c>
      <c r="R55" s="408">
        <f t="shared" si="14"/>
        <v>0</v>
      </c>
      <c r="S55" s="408">
        <f t="shared" si="14"/>
        <v>0</v>
      </c>
      <c r="T55" s="408">
        <f t="shared" si="14"/>
        <v>8.560710153418144E-2</v>
      </c>
      <c r="U55" s="408">
        <f t="shared" si="14"/>
        <v>0.16560667929854933</v>
      </c>
      <c r="V55" s="407">
        <f>SUM(M55:U55)-100%</f>
        <v>0</v>
      </c>
      <c r="W55" s="420"/>
      <c r="X55" s="309">
        <f t="shared" ref="X55:AF59" si="15">+M55*$L55</f>
        <v>163694.34011817907</v>
      </c>
      <c r="Y55" s="309">
        <f t="shared" si="15"/>
        <v>0</v>
      </c>
      <c r="Z55" s="309">
        <f t="shared" si="15"/>
        <v>2051981.1323239412</v>
      </c>
      <c r="AA55" s="309">
        <f t="shared" si="15"/>
        <v>43418.360198485942</v>
      </c>
      <c r="AB55" s="309">
        <f t="shared" si="15"/>
        <v>1172547.6889164466</v>
      </c>
      <c r="AC55" s="309">
        <f t="shared" si="15"/>
        <v>0</v>
      </c>
      <c r="AD55" s="309">
        <f t="shared" si="15"/>
        <v>0</v>
      </c>
      <c r="AE55" s="309">
        <f t="shared" si="15"/>
        <v>392332.11916153389</v>
      </c>
      <c r="AF55" s="329">
        <f t="shared" si="15"/>
        <v>758965.29928141367</v>
      </c>
      <c r="AG55" s="309">
        <f>SUM(X55:AF55)</f>
        <v>4582938.9400000004</v>
      </c>
      <c r="AH55" s="319">
        <f>+AG55-L55</f>
        <v>0</v>
      </c>
    </row>
    <row r="56" spans="2:34">
      <c r="E56" s="155"/>
      <c r="L56" s="421">
        <f>+J38</f>
        <v>25365.710000000003</v>
      </c>
      <c r="M56" s="408">
        <f t="shared" ref="M56:U56" si="16">+M38</f>
        <v>3.5718202284881206E-2</v>
      </c>
      <c r="N56" s="408">
        <f t="shared" si="16"/>
        <v>0</v>
      </c>
      <c r="O56" s="408">
        <f t="shared" si="16"/>
        <v>0.4477435024093821</v>
      </c>
      <c r="P56" s="408">
        <f t="shared" si="16"/>
        <v>9.4739119955383772E-3</v>
      </c>
      <c r="Q56" s="408">
        <f t="shared" si="16"/>
        <v>0.25585060247746755</v>
      </c>
      <c r="R56" s="408">
        <f t="shared" si="16"/>
        <v>0</v>
      </c>
      <c r="S56" s="408">
        <f t="shared" si="16"/>
        <v>0</v>
      </c>
      <c r="T56" s="408">
        <f t="shared" si="16"/>
        <v>8.560710153418144E-2</v>
      </c>
      <c r="U56" s="408">
        <f t="shared" si="16"/>
        <v>0.16560667929854933</v>
      </c>
      <c r="V56" s="407">
        <f>SUM(M56:U56)-100%</f>
        <v>0</v>
      </c>
      <c r="W56" s="420"/>
      <c r="X56" s="309">
        <f t="shared" si="15"/>
        <v>906.01756087963417</v>
      </c>
      <c r="Y56" s="309">
        <f t="shared" si="15"/>
        <v>0</v>
      </c>
      <c r="Z56" s="309">
        <f t="shared" si="15"/>
        <v>11357.331836500689</v>
      </c>
      <c r="AA56" s="309">
        <f t="shared" si="15"/>
        <v>240.31250424434779</v>
      </c>
      <c r="AB56" s="309">
        <f t="shared" si="15"/>
        <v>6489.8321857687242</v>
      </c>
      <c r="AC56" s="309">
        <f t="shared" si="15"/>
        <v>0</v>
      </c>
      <c r="AD56" s="309">
        <f t="shared" si="15"/>
        <v>0</v>
      </c>
      <c r="AE56" s="309">
        <f t="shared" si="15"/>
        <v>2171.4849114566018</v>
      </c>
      <c r="AF56" s="329">
        <f t="shared" si="15"/>
        <v>4200.7310011500058</v>
      </c>
      <c r="AG56" s="309">
        <f>SUM(X56:AF56)</f>
        <v>25365.710000000003</v>
      </c>
      <c r="AH56" s="319">
        <f>+AG56-L56</f>
        <v>0</v>
      </c>
    </row>
    <row r="57" spans="2:34">
      <c r="E57" s="155"/>
      <c r="L57" s="421">
        <f>+J39</f>
        <v>2493672.2899999996</v>
      </c>
      <c r="M57" s="408">
        <f t="shared" ref="M57:U57" si="17">+M39</f>
        <v>1</v>
      </c>
      <c r="N57" s="408">
        <f t="shared" si="17"/>
        <v>0</v>
      </c>
      <c r="O57" s="408">
        <f t="shared" si="17"/>
        <v>0</v>
      </c>
      <c r="P57" s="408">
        <f t="shared" si="17"/>
        <v>0</v>
      </c>
      <c r="Q57" s="408">
        <f t="shared" si="17"/>
        <v>0</v>
      </c>
      <c r="R57" s="408">
        <f t="shared" si="17"/>
        <v>0</v>
      </c>
      <c r="S57" s="408">
        <f t="shared" si="17"/>
        <v>0</v>
      </c>
      <c r="T57" s="408">
        <f t="shared" si="17"/>
        <v>0</v>
      </c>
      <c r="U57" s="408">
        <f t="shared" si="17"/>
        <v>0</v>
      </c>
      <c r="V57" s="407">
        <f>SUM(M57:U57)-100%</f>
        <v>0</v>
      </c>
      <c r="W57" s="420"/>
      <c r="X57" s="309">
        <f t="shared" si="15"/>
        <v>2493672.2899999996</v>
      </c>
      <c r="Y57" s="309">
        <f t="shared" si="15"/>
        <v>0</v>
      </c>
      <c r="Z57" s="309">
        <f t="shared" si="15"/>
        <v>0</v>
      </c>
      <c r="AA57" s="309">
        <f t="shared" si="15"/>
        <v>0</v>
      </c>
      <c r="AB57" s="309">
        <f t="shared" si="15"/>
        <v>0</v>
      </c>
      <c r="AC57" s="309">
        <f t="shared" si="15"/>
        <v>0</v>
      </c>
      <c r="AD57" s="309">
        <f t="shared" si="15"/>
        <v>0</v>
      </c>
      <c r="AE57" s="309">
        <f t="shared" si="15"/>
        <v>0</v>
      </c>
      <c r="AF57" s="329">
        <f t="shared" si="15"/>
        <v>0</v>
      </c>
      <c r="AG57" s="309">
        <f>SUM(X57:AF57)</f>
        <v>2493672.2899999996</v>
      </c>
      <c r="AH57" s="319">
        <f>+AG57-L57</f>
        <v>0</v>
      </c>
    </row>
    <row r="58" spans="2:34">
      <c r="E58" s="155"/>
      <c r="L58" s="421">
        <f>+J40</f>
        <v>18656.560000000005</v>
      </c>
      <c r="M58" s="408">
        <f t="shared" ref="M58:U58" si="18">+M40</f>
        <v>3.5718202284881206E-2</v>
      </c>
      <c r="N58" s="408">
        <f t="shared" si="18"/>
        <v>0</v>
      </c>
      <c r="O58" s="408">
        <f t="shared" si="18"/>
        <v>0.4477435024093821</v>
      </c>
      <c r="P58" s="408">
        <f t="shared" si="18"/>
        <v>9.4739119955383772E-3</v>
      </c>
      <c r="Q58" s="408">
        <f t="shared" si="18"/>
        <v>0.25585060247746755</v>
      </c>
      <c r="R58" s="408">
        <f t="shared" si="18"/>
        <v>0</v>
      </c>
      <c r="S58" s="408">
        <f t="shared" si="18"/>
        <v>0</v>
      </c>
      <c r="T58" s="408">
        <f t="shared" si="18"/>
        <v>8.560710153418144E-2</v>
      </c>
      <c r="U58" s="408">
        <f t="shared" si="18"/>
        <v>0.16560667929854933</v>
      </c>
      <c r="V58" s="407">
        <f>SUM(M58:U58)-100%</f>
        <v>0</v>
      </c>
      <c r="W58" s="420"/>
      <c r="X58" s="309">
        <f t="shared" si="15"/>
        <v>666.37878402002355</v>
      </c>
      <c r="Y58" s="309">
        <f t="shared" si="15"/>
        <v>0</v>
      </c>
      <c r="Z58" s="309">
        <f t="shared" si="15"/>
        <v>8353.3535173107848</v>
      </c>
      <c r="AA58" s="309">
        <f t="shared" si="15"/>
        <v>176.75060757948151</v>
      </c>
      <c r="AB58" s="309">
        <f t="shared" si="15"/>
        <v>4773.292116157023</v>
      </c>
      <c r="AC58" s="309">
        <f t="shared" si="15"/>
        <v>0</v>
      </c>
      <c r="AD58" s="309">
        <f t="shared" si="15"/>
        <v>0</v>
      </c>
      <c r="AE58" s="309">
        <f t="shared" si="15"/>
        <v>1597.1340261985486</v>
      </c>
      <c r="AF58" s="329">
        <f t="shared" si="15"/>
        <v>3089.6509487341445</v>
      </c>
      <c r="AG58" s="309">
        <f>SUM(X58:AF58)</f>
        <v>18656.560000000005</v>
      </c>
      <c r="AH58" s="319">
        <f>+AG58-L58</f>
        <v>0</v>
      </c>
    </row>
    <row r="59" spans="2:34">
      <c r="E59" s="155"/>
      <c r="L59" s="421">
        <f>+J41</f>
        <v>30636.1</v>
      </c>
      <c r="M59" s="408">
        <f t="shared" ref="M59:U59" si="19">+M41</f>
        <v>3.5718202284881206E-2</v>
      </c>
      <c r="N59" s="408">
        <f t="shared" si="19"/>
        <v>0</v>
      </c>
      <c r="O59" s="408">
        <f t="shared" si="19"/>
        <v>0.4477435024093821</v>
      </c>
      <c r="P59" s="408">
        <f t="shared" si="19"/>
        <v>9.4739119955383772E-3</v>
      </c>
      <c r="Q59" s="408">
        <f t="shared" si="19"/>
        <v>0.25585060247746755</v>
      </c>
      <c r="R59" s="408">
        <f t="shared" si="19"/>
        <v>0</v>
      </c>
      <c r="S59" s="408">
        <f t="shared" si="19"/>
        <v>0</v>
      </c>
      <c r="T59" s="408">
        <f t="shared" si="19"/>
        <v>8.560710153418144E-2</v>
      </c>
      <c r="U59" s="408">
        <f t="shared" si="19"/>
        <v>0.16560667929854933</v>
      </c>
      <c r="V59" s="407">
        <f>SUM(M59:U59)-100%</f>
        <v>0</v>
      </c>
      <c r="W59" s="420"/>
      <c r="X59" s="309">
        <f t="shared" si="15"/>
        <v>1094.2664170198491</v>
      </c>
      <c r="Y59" s="309">
        <f t="shared" si="15"/>
        <v>0</v>
      </c>
      <c r="Z59" s="309">
        <f t="shared" si="15"/>
        <v>13717.11471416407</v>
      </c>
      <c r="AA59" s="309">
        <f t="shared" si="15"/>
        <v>290.24371528651329</v>
      </c>
      <c r="AB59" s="309">
        <f t="shared" si="15"/>
        <v>7838.2646425599432</v>
      </c>
      <c r="AC59" s="309">
        <f t="shared" si="15"/>
        <v>0</v>
      </c>
      <c r="AD59" s="309">
        <f t="shared" si="15"/>
        <v>0</v>
      </c>
      <c r="AE59" s="309">
        <f t="shared" si="15"/>
        <v>2622.667723311336</v>
      </c>
      <c r="AF59" s="329">
        <f t="shared" si="15"/>
        <v>5073.5427876582871</v>
      </c>
      <c r="AG59" s="313">
        <f>SUM(X59:AF59)</f>
        <v>30636.100000000002</v>
      </c>
      <c r="AH59" s="319">
        <f>+AG59-L59</f>
        <v>0</v>
      </c>
    </row>
    <row r="60" spans="2:34">
      <c r="E60" s="155"/>
      <c r="L60" s="427">
        <f>SUM(L55:L59)</f>
        <v>7151269.5999999987</v>
      </c>
      <c r="M60" s="413"/>
      <c r="N60" s="413"/>
      <c r="O60" s="413"/>
      <c r="P60" s="413"/>
      <c r="Q60" s="413"/>
      <c r="R60" s="413"/>
      <c r="S60" s="413"/>
      <c r="T60" s="413"/>
      <c r="U60" s="413"/>
      <c r="V60" s="414"/>
      <c r="W60" s="420"/>
      <c r="X60" s="317">
        <f t="shared" ref="X60:AH60" si="20">SUM(X55:X59)</f>
        <v>2660033.2928800983</v>
      </c>
      <c r="Y60" s="317">
        <f t="shared" si="20"/>
        <v>0</v>
      </c>
      <c r="Z60" s="317">
        <f t="shared" si="20"/>
        <v>2085408.9323919166</v>
      </c>
      <c r="AA60" s="317">
        <f t="shared" si="20"/>
        <v>44125.667025596289</v>
      </c>
      <c r="AB60" s="317">
        <f t="shared" si="20"/>
        <v>1191649.0778609323</v>
      </c>
      <c r="AC60" s="317">
        <f t="shared" si="20"/>
        <v>0</v>
      </c>
      <c r="AD60" s="317">
        <f t="shared" si="20"/>
        <v>0</v>
      </c>
      <c r="AE60" s="317">
        <f t="shared" si="20"/>
        <v>398723.40582250035</v>
      </c>
      <c r="AF60" s="317">
        <f t="shared" si="20"/>
        <v>771329.22401895607</v>
      </c>
      <c r="AG60" s="317">
        <f t="shared" si="20"/>
        <v>7151269.5999999987</v>
      </c>
      <c r="AH60" s="317">
        <f t="shared" si="20"/>
        <v>0</v>
      </c>
    </row>
    <row r="61" spans="2:34">
      <c r="E61" s="155"/>
      <c r="L61" s="421"/>
      <c r="M61" s="415"/>
      <c r="N61" s="415"/>
      <c r="O61" s="415"/>
      <c r="P61" s="415"/>
      <c r="Q61" s="415"/>
      <c r="R61" s="415"/>
      <c r="S61" s="415"/>
      <c r="T61" s="415"/>
      <c r="U61" s="415"/>
      <c r="V61" s="415"/>
      <c r="W61" s="420"/>
      <c r="X61" s="309"/>
      <c r="Y61" s="309"/>
      <c r="Z61" s="309"/>
      <c r="AA61" s="309"/>
      <c r="AB61" s="309"/>
      <c r="AC61" s="309"/>
      <c r="AD61" s="309"/>
      <c r="AE61" s="309"/>
      <c r="AF61" s="309"/>
      <c r="AG61" s="309"/>
      <c r="AH61" s="309"/>
    </row>
    <row r="62" spans="2:34">
      <c r="E62" s="155"/>
      <c r="L62" s="431">
        <f>+L60+L53</f>
        <v>11550305.899999999</v>
      </c>
      <c r="M62" s="416"/>
      <c r="N62" s="416"/>
      <c r="O62" s="416"/>
      <c r="P62" s="416"/>
      <c r="Q62" s="416"/>
      <c r="R62" s="416"/>
      <c r="S62" s="416"/>
      <c r="T62" s="416"/>
      <c r="U62" s="416"/>
      <c r="V62" s="415"/>
      <c r="W62" s="420"/>
      <c r="X62" s="327">
        <f t="shared" ref="X62:AH62" si="21">+X60+X53</f>
        <v>2660033.2928800983</v>
      </c>
      <c r="Y62" s="327">
        <f t="shared" si="21"/>
        <v>1507724.0934097848</v>
      </c>
      <c r="Z62" s="327">
        <f t="shared" si="21"/>
        <v>3387416.0542168338</v>
      </c>
      <c r="AA62" s="327">
        <f t="shared" si="21"/>
        <v>64787.777402446416</v>
      </c>
      <c r="AB62" s="327">
        <f t="shared" si="21"/>
        <v>1935644.9253858845</v>
      </c>
      <c r="AC62" s="327">
        <f t="shared" si="21"/>
        <v>5474.1923643723285</v>
      </c>
      <c r="AD62" s="327">
        <f t="shared" si="21"/>
        <v>998.04802378688771</v>
      </c>
      <c r="AE62" s="327">
        <f t="shared" si="21"/>
        <v>745196.06642907718</v>
      </c>
      <c r="AF62" s="327">
        <f t="shared" si="21"/>
        <v>1243031.4498877143</v>
      </c>
      <c r="AG62" s="327">
        <f t="shared" si="21"/>
        <v>11550305.899999999</v>
      </c>
      <c r="AH62" s="327">
        <f t="shared" si="21"/>
        <v>0</v>
      </c>
    </row>
    <row r="63" spans="2:34">
      <c r="E63" s="155"/>
      <c r="M63" s="328"/>
      <c r="N63" s="328"/>
      <c r="O63" s="328"/>
      <c r="P63" s="328"/>
      <c r="Q63" s="328"/>
      <c r="R63" s="328"/>
      <c r="S63" s="328"/>
      <c r="T63" s="328"/>
      <c r="U63" s="328"/>
      <c r="AG63" s="155">
        <f>+AG62-J44</f>
        <v>0</v>
      </c>
    </row>
    <row r="64" spans="2:34">
      <c r="B64" s="215" t="s">
        <v>204</v>
      </c>
      <c r="C64" s="400"/>
      <c r="D64" s="400"/>
      <c r="E64" s="400"/>
      <c r="F64" s="400"/>
      <c r="G64" s="400"/>
      <c r="H64" s="400"/>
      <c r="I64" s="400"/>
      <c r="J64" s="400"/>
      <c r="K64" s="400"/>
      <c r="L64" s="400"/>
      <c r="M64" s="400"/>
      <c r="N64" s="400"/>
      <c r="O64" s="400"/>
      <c r="P64" s="400"/>
      <c r="Q64" s="400"/>
      <c r="R64" s="400"/>
      <c r="S64" s="216"/>
      <c r="T64" s="216"/>
      <c r="U64" s="216"/>
      <c r="V64" s="216"/>
      <c r="W64" s="216"/>
      <c r="X64" s="216"/>
      <c r="Y64" s="216"/>
      <c r="Z64" s="216"/>
      <c r="AA64" s="216"/>
      <c r="AB64" s="216"/>
      <c r="AC64" s="216"/>
      <c r="AD64" s="216"/>
      <c r="AE64" s="216"/>
      <c r="AF64" s="216"/>
      <c r="AG64" s="216"/>
      <c r="AH64" s="216"/>
    </row>
    <row r="65" spans="5:35">
      <c r="E65" s="155"/>
      <c r="M65" s="328"/>
      <c r="N65" s="328"/>
      <c r="O65" s="328"/>
      <c r="P65" s="328"/>
      <c r="Q65" s="328"/>
      <c r="R65" s="328"/>
      <c r="S65" s="328"/>
      <c r="T65" s="328"/>
      <c r="U65" s="328"/>
      <c r="AG65" s="155"/>
    </row>
    <row r="66" spans="5:35">
      <c r="E66" s="155"/>
      <c r="M66" s="328"/>
      <c r="N66" s="328"/>
      <c r="O66" s="328"/>
      <c r="P66" s="328"/>
      <c r="Q66" s="328"/>
      <c r="R66" s="328"/>
      <c r="S66" s="328"/>
      <c r="T66" s="328"/>
      <c r="U66" s="328"/>
      <c r="X66" s="533" t="s">
        <v>205</v>
      </c>
      <c r="Y66" s="534"/>
      <c r="Z66" s="535" t="s">
        <v>206</v>
      </c>
      <c r="AA66" s="536"/>
      <c r="AB66" s="536"/>
      <c r="AC66" s="536"/>
      <c r="AD66" s="536"/>
      <c r="AE66" s="536"/>
      <c r="AF66" s="536"/>
      <c r="AG66" s="537"/>
    </row>
    <row r="67" spans="5:35" ht="76.5">
      <c r="E67" s="155"/>
      <c r="M67" s="328"/>
      <c r="N67" s="328"/>
      <c r="O67" s="328"/>
      <c r="P67" s="328"/>
      <c r="Q67" s="328"/>
      <c r="R67" s="328"/>
      <c r="S67" s="328"/>
      <c r="T67" s="328"/>
      <c r="U67" s="328"/>
      <c r="X67" s="289" t="s">
        <v>209</v>
      </c>
      <c r="Y67" s="289" t="s">
        <v>77</v>
      </c>
      <c r="Z67" s="289" t="s">
        <v>166</v>
      </c>
      <c r="AA67" s="289" t="s">
        <v>167</v>
      </c>
      <c r="AB67" s="289" t="s">
        <v>200</v>
      </c>
      <c r="AC67" s="289" t="s">
        <v>157</v>
      </c>
      <c r="AD67" s="289" t="s">
        <v>136</v>
      </c>
      <c r="AE67" s="289" t="s">
        <v>135</v>
      </c>
      <c r="AF67" s="289" t="s">
        <v>159</v>
      </c>
      <c r="AG67" s="437" t="s">
        <v>207</v>
      </c>
    </row>
    <row r="68" spans="5:35">
      <c r="E68" s="155"/>
      <c r="M68" s="328"/>
      <c r="N68" s="328"/>
      <c r="O68" s="328"/>
      <c r="P68" s="328"/>
      <c r="Q68" s="328"/>
      <c r="R68" s="328"/>
      <c r="S68" s="328"/>
      <c r="T68" s="328"/>
      <c r="U68" s="328"/>
      <c r="V68" s="438" t="s">
        <v>141</v>
      </c>
      <c r="X68" s="330">
        <f>+X62</f>
        <v>2660033.2928800983</v>
      </c>
      <c r="Y68" s="330">
        <f>+Y62</f>
        <v>1507724.0934097848</v>
      </c>
      <c r="Z68" s="330">
        <f t="shared" ref="Z68:AF68" si="22">+Z44</f>
        <v>6349012.86867957</v>
      </c>
      <c r="AA68" s="330">
        <f t="shared" si="22"/>
        <v>121928.03811313905</v>
      </c>
      <c r="AB68" s="330">
        <f t="shared" si="22"/>
        <v>3627967.2599327588</v>
      </c>
      <c r="AC68" s="330">
        <f t="shared" si="22"/>
        <v>9865.4521595979495</v>
      </c>
      <c r="AD68" s="330">
        <f t="shared" si="22"/>
        <v>1798.6571125510279</v>
      </c>
      <c r="AE68" s="330">
        <f t="shared" si="22"/>
        <v>1389682.3786829379</v>
      </c>
      <c r="AF68" s="330">
        <f t="shared" si="22"/>
        <v>2330517.9772028066</v>
      </c>
      <c r="AG68" s="330">
        <f>+AE68+AF68</f>
        <v>3720200.3558857446</v>
      </c>
    </row>
    <row r="69" spans="5:35" ht="66.75" customHeight="1">
      <c r="E69" s="155"/>
      <c r="M69" s="328"/>
      <c r="N69" s="328"/>
      <c r="O69" s="328"/>
      <c r="P69" s="328"/>
      <c r="Q69" s="328"/>
      <c r="R69" s="328"/>
      <c r="S69" s="328"/>
      <c r="T69" s="328"/>
      <c r="U69" s="328"/>
      <c r="V69" s="444" t="s">
        <v>134</v>
      </c>
      <c r="X69" s="524" t="s">
        <v>208</v>
      </c>
      <c r="Y69" s="525"/>
      <c r="Z69" s="442" t="s">
        <v>191</v>
      </c>
      <c r="AA69" s="442" t="s">
        <v>191</v>
      </c>
      <c r="AB69" s="443" t="s">
        <v>133</v>
      </c>
      <c r="AC69" s="443" t="s">
        <v>133</v>
      </c>
      <c r="AD69" s="442" t="s">
        <v>192</v>
      </c>
      <c r="AE69" s="443" t="s">
        <v>133</v>
      </c>
      <c r="AF69" s="443" t="s">
        <v>133</v>
      </c>
      <c r="AG69" s="443" t="s">
        <v>133</v>
      </c>
    </row>
    <row r="70" spans="5:35">
      <c r="M70" s="328"/>
      <c r="N70" s="328"/>
      <c r="O70" s="328"/>
      <c r="P70" s="328"/>
      <c r="Q70" s="328"/>
      <c r="R70" s="328"/>
      <c r="S70" s="328"/>
      <c r="T70" s="328"/>
      <c r="U70" s="328"/>
      <c r="V70" s="444" t="s">
        <v>132</v>
      </c>
      <c r="X70" s="331">
        <v>897699.5</v>
      </c>
      <c r="Y70" s="331">
        <v>897699.5</v>
      </c>
      <c r="Z70" s="331">
        <f>+'Market Ops % Opex Allocations'!K27</f>
        <v>67604</v>
      </c>
      <c r="AA70" s="331">
        <f>+'Market Ops % Opex Allocations'!K28</f>
        <v>1073</v>
      </c>
      <c r="AB70" s="331">
        <f>+'Market Ops % Opex Allocations'!K29+'Market Ops % Opex Allocations'!K32</f>
        <v>116341</v>
      </c>
      <c r="AC70" s="331">
        <f>+'Market Ops % Opex Allocations'!K54</f>
        <v>1949</v>
      </c>
      <c r="AD70" s="331">
        <f>+'Market Ops % Opex Allocations'!K55</f>
        <v>436</v>
      </c>
      <c r="AE70" s="331">
        <f>+'Market Ops % Opex Allocations'!K51</f>
        <v>83416</v>
      </c>
      <c r="AF70" s="331">
        <f>+'Market Ops % Opex Allocations'!K53</f>
        <v>161368</v>
      </c>
      <c r="AG70" s="331">
        <f>+AF70+AE70</f>
        <v>244784</v>
      </c>
      <c r="AH70" s="155"/>
    </row>
    <row r="71" spans="5:35" ht="13.5" thickBot="1">
      <c r="M71" s="328"/>
      <c r="N71" s="328"/>
      <c r="O71" s="328"/>
      <c r="P71" s="328"/>
      <c r="Q71" s="328"/>
      <c r="R71" s="328"/>
      <c r="S71" s="328"/>
      <c r="T71" s="328"/>
      <c r="U71" s="328"/>
      <c r="V71" s="444" t="s">
        <v>131</v>
      </c>
      <c r="X71" s="124" t="s">
        <v>130</v>
      </c>
      <c r="Y71" s="332">
        <f t="shared" ref="Y71:AG71" si="23">+Y68/Y70</f>
        <v>1.6795420888724844</v>
      </c>
      <c r="Z71" s="332">
        <f t="shared" si="23"/>
        <v>93.914751622382852</v>
      </c>
      <c r="AA71" s="332">
        <f t="shared" si="23"/>
        <v>113.63284073917897</v>
      </c>
      <c r="AB71" s="332">
        <f t="shared" si="23"/>
        <v>31.183909885016966</v>
      </c>
      <c r="AC71" s="332">
        <f t="shared" si="23"/>
        <v>5.0618020316048993</v>
      </c>
      <c r="AD71" s="332">
        <f t="shared" si="23"/>
        <v>4.1253603498876785</v>
      </c>
      <c r="AE71" s="332">
        <f t="shared" si="23"/>
        <v>16.659662159333198</v>
      </c>
      <c r="AF71" s="332">
        <f t="shared" si="23"/>
        <v>14.442256068134988</v>
      </c>
      <c r="AG71" s="332">
        <f t="shared" si="23"/>
        <v>15.197890204775412</v>
      </c>
    </row>
    <row r="72" spans="5:35">
      <c r="M72" s="328"/>
      <c r="N72" s="328"/>
      <c r="O72" s="328"/>
      <c r="P72" s="328"/>
      <c r="Q72" s="328"/>
      <c r="R72" s="328"/>
      <c r="S72" s="328"/>
      <c r="T72" s="328"/>
      <c r="U72" s="328"/>
      <c r="W72" s="243"/>
      <c r="Z72" s="328"/>
      <c r="AA72" s="328"/>
      <c r="AB72" s="328"/>
      <c r="AC72" s="328"/>
      <c r="AD72" s="328"/>
      <c r="AE72" s="328"/>
      <c r="AF72" s="328"/>
    </row>
    <row r="73" spans="5:35" s="439" customFormat="1" ht="40.5" customHeight="1">
      <c r="I73" s="440"/>
      <c r="M73" s="441"/>
      <c r="N73" s="441"/>
      <c r="O73" s="441"/>
      <c r="P73" s="441"/>
      <c r="Q73" s="441"/>
      <c r="R73" s="441"/>
      <c r="S73" s="441"/>
      <c r="T73" s="441"/>
      <c r="U73" s="441"/>
      <c r="X73" s="529" t="s">
        <v>168</v>
      </c>
      <c r="Y73" s="529"/>
      <c r="Z73" s="529"/>
      <c r="AA73" s="529"/>
      <c r="AB73" s="529"/>
      <c r="AC73" s="529"/>
      <c r="AD73" s="529"/>
      <c r="AE73" s="529"/>
      <c r="AF73" s="529"/>
      <c r="AG73" s="529"/>
    </row>
    <row r="74" spans="5:35">
      <c r="J74" s="162"/>
      <c r="K74" s="162"/>
      <c r="L74" s="162"/>
      <c r="M74" s="333"/>
      <c r="N74" s="333"/>
      <c r="O74" s="333"/>
      <c r="P74" s="333"/>
      <c r="Q74" s="333"/>
      <c r="R74" s="333"/>
      <c r="S74" s="333"/>
      <c r="T74" s="333"/>
      <c r="U74" s="333"/>
      <c r="V74" s="162"/>
      <c r="W74" s="162"/>
      <c r="X74" s="162"/>
      <c r="Y74" s="162"/>
      <c r="Z74" s="333"/>
      <c r="AA74" s="333"/>
      <c r="AB74" s="333"/>
      <c r="AC74" s="333"/>
      <c r="AD74" s="333"/>
      <c r="AE74" s="333"/>
      <c r="AF74" s="333"/>
      <c r="AG74" s="333"/>
      <c r="AH74" s="162"/>
      <c r="AI74" s="162"/>
    </row>
    <row r="75" spans="5:35">
      <c r="J75" s="334"/>
      <c r="K75" s="162"/>
      <c r="L75" s="162"/>
      <c r="M75" s="335"/>
      <c r="N75" s="335"/>
      <c r="O75" s="335"/>
      <c r="P75" s="335"/>
      <c r="Q75" s="335"/>
      <c r="R75" s="335"/>
      <c r="S75" s="335"/>
      <c r="T75" s="335"/>
      <c r="U75" s="335"/>
      <c r="V75" s="162"/>
      <c r="W75" s="334" t="s">
        <v>210</v>
      </c>
      <c r="X75" s="162"/>
      <c r="Y75" s="162"/>
      <c r="Z75" s="335"/>
      <c r="AA75" s="335"/>
      <c r="AB75" s="335"/>
      <c r="AC75" s="335"/>
      <c r="AD75" s="335"/>
      <c r="AE75" s="335"/>
      <c r="AF75" s="335"/>
      <c r="AG75" s="335"/>
      <c r="AH75" s="162"/>
      <c r="AI75" s="162"/>
    </row>
    <row r="76" spans="5:35">
      <c r="J76" s="334"/>
      <c r="K76" s="162"/>
      <c r="L76" s="162"/>
      <c r="M76" s="335"/>
      <c r="N76" s="335"/>
      <c r="O76" s="335"/>
      <c r="P76" s="335"/>
      <c r="Q76" s="335"/>
      <c r="R76" s="335"/>
      <c r="S76" s="335"/>
      <c r="T76" s="335"/>
      <c r="U76" s="335"/>
      <c r="V76" s="162"/>
      <c r="W76" s="334"/>
      <c r="X76" s="162"/>
      <c r="Y76" s="162"/>
      <c r="Z76" s="335"/>
      <c r="AA76" s="335"/>
      <c r="AB76" s="335"/>
      <c r="AC76" s="335"/>
      <c r="AD76" s="335"/>
      <c r="AE76" s="335"/>
      <c r="AF76" s="335"/>
      <c r="AG76" s="335"/>
      <c r="AH76" s="162"/>
      <c r="AI76" s="162"/>
    </row>
    <row r="77" spans="5:35" ht="39.75" customHeight="1">
      <c r="J77" s="523"/>
      <c r="K77" s="523"/>
      <c r="L77" s="523"/>
      <c r="M77" s="523"/>
      <c r="N77" s="523"/>
      <c r="O77" s="523"/>
      <c r="P77" s="523"/>
      <c r="Q77" s="523"/>
      <c r="R77" s="523"/>
      <c r="S77" s="523"/>
      <c r="T77" s="523"/>
      <c r="U77" s="335"/>
      <c r="V77" s="162"/>
      <c r="W77" s="523" t="s">
        <v>162</v>
      </c>
      <c r="X77" s="523"/>
      <c r="Y77" s="523"/>
      <c r="Z77" s="523"/>
      <c r="AA77" s="523"/>
      <c r="AB77" s="523"/>
      <c r="AC77" s="523"/>
      <c r="AD77" s="523"/>
      <c r="AE77" s="523"/>
      <c r="AF77" s="523"/>
      <c r="AG77" s="523"/>
      <c r="AH77" s="162"/>
      <c r="AI77" s="162"/>
    </row>
    <row r="78" spans="5:35">
      <c r="J78" s="336"/>
      <c r="K78" s="162"/>
      <c r="L78" s="162"/>
      <c r="M78" s="335"/>
      <c r="N78" s="335"/>
      <c r="O78" s="335"/>
      <c r="P78" s="335"/>
      <c r="Q78" s="335"/>
      <c r="R78" s="335"/>
      <c r="S78" s="335"/>
      <c r="T78" s="335"/>
      <c r="U78" s="335"/>
      <c r="V78" s="162"/>
      <c r="W78" s="336"/>
      <c r="X78" s="162"/>
      <c r="Y78" s="162"/>
      <c r="Z78" s="335"/>
      <c r="AA78" s="335"/>
      <c r="AB78" s="335"/>
      <c r="AC78" s="335"/>
      <c r="AD78" s="335"/>
      <c r="AE78" s="335"/>
      <c r="AF78" s="335"/>
      <c r="AG78" s="335"/>
      <c r="AH78" s="162"/>
      <c r="AI78" s="162"/>
    </row>
    <row r="79" spans="5:35" ht="26.25" customHeight="1">
      <c r="J79" s="162"/>
      <c r="K79" s="162"/>
      <c r="L79" s="162"/>
      <c r="M79" s="335"/>
      <c r="N79" s="335"/>
      <c r="O79" s="335"/>
      <c r="P79" s="335"/>
      <c r="Q79" s="335"/>
      <c r="R79" s="335"/>
      <c r="S79" s="335"/>
      <c r="T79" s="335"/>
      <c r="U79" s="335"/>
      <c r="V79" s="162"/>
      <c r="W79" s="523" t="s">
        <v>211</v>
      </c>
      <c r="X79" s="523"/>
      <c r="Y79" s="523"/>
      <c r="Z79" s="523"/>
      <c r="AA79" s="523"/>
      <c r="AB79" s="523"/>
      <c r="AC79" s="523"/>
      <c r="AD79" s="523"/>
      <c r="AE79" s="523"/>
      <c r="AF79" s="523"/>
      <c r="AG79" s="523"/>
      <c r="AH79" s="162"/>
      <c r="AI79" s="162"/>
    </row>
    <row r="80" spans="5:35">
      <c r="J80" s="334"/>
      <c r="K80" s="162"/>
      <c r="L80" s="162"/>
      <c r="M80" s="335"/>
      <c r="N80" s="335"/>
      <c r="O80" s="335"/>
      <c r="P80" s="335"/>
      <c r="Q80" s="335"/>
      <c r="R80" s="335"/>
      <c r="S80" s="335"/>
      <c r="T80" s="335"/>
      <c r="U80" s="335"/>
      <c r="V80" s="162"/>
      <c r="W80" s="334"/>
      <c r="X80" s="162"/>
      <c r="Y80" s="162"/>
      <c r="Z80" s="335"/>
      <c r="AA80" s="335"/>
      <c r="AB80" s="335"/>
      <c r="AC80" s="335"/>
      <c r="AD80" s="335"/>
      <c r="AE80" s="335"/>
      <c r="AF80" s="335"/>
      <c r="AG80" s="335"/>
      <c r="AH80" s="162"/>
      <c r="AI80" s="162"/>
    </row>
    <row r="81" spans="10:35">
      <c r="J81" s="334"/>
      <c r="K81" s="162"/>
      <c r="L81" s="162"/>
      <c r="M81" s="335"/>
      <c r="N81" s="335"/>
      <c r="O81" s="337"/>
      <c r="P81" s="337"/>
      <c r="Q81" s="337"/>
      <c r="R81" s="337"/>
      <c r="S81" s="337"/>
      <c r="T81" s="337"/>
      <c r="U81" s="337"/>
      <c r="V81" s="162"/>
      <c r="W81" s="194" t="s">
        <v>216</v>
      </c>
      <c r="X81" s="198"/>
      <c r="Y81" s="198"/>
      <c r="Z81" s="338"/>
      <c r="AA81" s="339"/>
      <c r="AB81" s="340" t="s">
        <v>13</v>
      </c>
      <c r="AC81" s="341" t="s">
        <v>14</v>
      </c>
      <c r="AD81" s="341" t="s">
        <v>15</v>
      </c>
      <c r="AE81" s="341" t="s">
        <v>16</v>
      </c>
      <c r="AF81" s="341" t="s">
        <v>17</v>
      </c>
      <c r="AG81" s="342" t="s">
        <v>18</v>
      </c>
      <c r="AH81" s="162"/>
      <c r="AI81" s="162"/>
    </row>
    <row r="82" spans="10:35">
      <c r="J82" s="162"/>
      <c r="K82" s="162"/>
      <c r="L82" s="162"/>
      <c r="M82" s="335"/>
      <c r="N82" s="335"/>
      <c r="O82" s="343"/>
      <c r="P82" s="344"/>
      <c r="Q82" s="344"/>
      <c r="R82" s="344"/>
      <c r="S82" s="344"/>
      <c r="T82" s="344"/>
      <c r="U82" s="344"/>
      <c r="V82" s="162"/>
      <c r="W82" s="161" t="s">
        <v>217</v>
      </c>
      <c r="X82" s="162"/>
      <c r="Y82" s="162"/>
      <c r="Z82" s="335"/>
      <c r="AA82" s="345"/>
      <c r="AB82" s="346">
        <v>0.15</v>
      </c>
      <c r="AC82" s="344">
        <v>0.05</v>
      </c>
      <c r="AD82" s="344">
        <v>0.05</v>
      </c>
      <c r="AE82" s="344">
        <v>0.05</v>
      </c>
      <c r="AF82" s="344">
        <v>0.05</v>
      </c>
      <c r="AG82" s="347">
        <v>0.05</v>
      </c>
      <c r="AH82" s="162"/>
      <c r="AI82" s="162"/>
    </row>
    <row r="83" spans="10:35">
      <c r="J83" s="162"/>
      <c r="K83" s="162"/>
      <c r="L83" s="162"/>
      <c r="M83" s="335"/>
      <c r="N83" s="335"/>
      <c r="O83" s="344"/>
      <c r="P83" s="344"/>
      <c r="Q83" s="344"/>
      <c r="R83" s="344"/>
      <c r="S83" s="344"/>
      <c r="T83" s="344"/>
      <c r="U83" s="344"/>
      <c r="V83" s="162"/>
      <c r="W83" s="161" t="s">
        <v>215</v>
      </c>
      <c r="X83" s="162"/>
      <c r="Y83" s="162"/>
      <c r="Z83" s="335"/>
      <c r="AA83" s="345"/>
      <c r="AB83" s="348">
        <v>3.5000000000000003E-2</v>
      </c>
      <c r="AC83" s="344">
        <v>3.5000000000000003E-2</v>
      </c>
      <c r="AD83" s="344">
        <v>3.5000000000000003E-2</v>
      </c>
      <c r="AE83" s="344">
        <v>2.5000000000000001E-2</v>
      </c>
      <c r="AF83" s="344">
        <v>2.5000000000000001E-2</v>
      </c>
      <c r="AG83" s="347">
        <v>2.5000000000000001E-2</v>
      </c>
      <c r="AH83" s="162"/>
      <c r="AI83" s="162"/>
    </row>
    <row r="84" spans="10:35">
      <c r="J84" s="162"/>
      <c r="K84" s="162"/>
      <c r="L84" s="162"/>
      <c r="M84" s="349"/>
      <c r="N84" s="335"/>
      <c r="O84" s="344"/>
      <c r="P84" s="344"/>
      <c r="Q84" s="344"/>
      <c r="R84" s="344"/>
      <c r="S84" s="344"/>
      <c r="T84" s="344"/>
      <c r="U84" s="344"/>
      <c r="V84" s="162"/>
      <c r="W84" s="165" t="s">
        <v>129</v>
      </c>
      <c r="X84" s="166"/>
      <c r="Y84" s="166"/>
      <c r="Z84" s="350"/>
      <c r="AA84" s="351"/>
      <c r="AB84" s="352">
        <v>2.5000000000000001E-2</v>
      </c>
      <c r="AC84" s="353">
        <v>2.5000000000000001E-2</v>
      </c>
      <c r="AD84" s="353">
        <v>2.5000000000000001E-2</v>
      </c>
      <c r="AE84" s="353">
        <v>2.5000000000000001E-2</v>
      </c>
      <c r="AF84" s="353">
        <v>2.5000000000000001E-2</v>
      </c>
      <c r="AG84" s="354">
        <v>2.5000000000000001E-2</v>
      </c>
      <c r="AH84" s="162"/>
      <c r="AI84" s="162"/>
    </row>
    <row r="85" spans="10:35">
      <c r="J85" s="162"/>
      <c r="K85" s="162"/>
      <c r="L85" s="334"/>
      <c r="M85" s="335"/>
      <c r="N85" s="335"/>
      <c r="O85" s="335"/>
      <c r="P85" s="335"/>
      <c r="Q85" s="335"/>
      <c r="R85" s="335"/>
      <c r="S85" s="335"/>
      <c r="T85" s="335"/>
      <c r="U85" s="335"/>
      <c r="V85" s="162"/>
      <c r="W85" s="162"/>
      <c r="X85" s="162"/>
      <c r="Y85" s="334"/>
      <c r="Z85" s="335"/>
      <c r="AA85" s="335"/>
      <c r="AB85" s="335"/>
      <c r="AC85" s="335"/>
      <c r="AD85" s="335"/>
      <c r="AE85" s="335"/>
      <c r="AF85" s="335"/>
      <c r="AG85" s="335"/>
      <c r="AH85" s="162"/>
      <c r="AI85" s="162"/>
    </row>
    <row r="86" spans="10:35">
      <c r="J86" s="355"/>
      <c r="K86" s="162"/>
      <c r="L86" s="162"/>
      <c r="M86" s="356"/>
      <c r="N86" s="337"/>
      <c r="O86" s="337"/>
      <c r="P86" s="337"/>
      <c r="Q86" s="337"/>
      <c r="R86" s="337"/>
      <c r="S86" s="337"/>
      <c r="T86" s="337"/>
      <c r="U86" s="335"/>
      <c r="V86" s="162"/>
      <c r="W86" s="194" t="s">
        <v>63</v>
      </c>
      <c r="X86" s="198"/>
      <c r="Y86" s="198"/>
      <c r="Z86" s="357"/>
      <c r="AA86" s="340" t="s">
        <v>12</v>
      </c>
      <c r="AB86" s="341" t="s">
        <v>13</v>
      </c>
      <c r="AC86" s="341" t="s">
        <v>14</v>
      </c>
      <c r="AD86" s="341" t="s">
        <v>15</v>
      </c>
      <c r="AE86" s="341" t="s">
        <v>16</v>
      </c>
      <c r="AF86" s="341" t="s">
        <v>17</v>
      </c>
      <c r="AG86" s="342" t="s">
        <v>18</v>
      </c>
      <c r="AH86" s="162"/>
      <c r="AI86" s="162"/>
    </row>
    <row r="87" spans="10:35">
      <c r="J87" s="162"/>
      <c r="K87" s="162"/>
      <c r="L87" s="162"/>
      <c r="M87" s="358"/>
      <c r="N87" s="358"/>
      <c r="O87" s="335"/>
      <c r="P87" s="335"/>
      <c r="Q87" s="335"/>
      <c r="R87" s="335"/>
      <c r="S87" s="335"/>
      <c r="T87" s="335"/>
      <c r="U87" s="335"/>
      <c r="V87" s="162"/>
      <c r="W87" s="161" t="s">
        <v>163</v>
      </c>
      <c r="X87" s="162"/>
      <c r="Y87" s="162"/>
      <c r="Z87" s="358"/>
      <c r="AA87" s="359">
        <f>X57</f>
        <v>2493672.2899999996</v>
      </c>
      <c r="AB87" s="335">
        <f t="shared" ref="AB87:AG89" si="24">+AA87*(1+AB82)</f>
        <v>2867723.1334999991</v>
      </c>
      <c r="AC87" s="335">
        <f t="shared" si="24"/>
        <v>3011109.2901749993</v>
      </c>
      <c r="AD87" s="335">
        <f t="shared" si="24"/>
        <v>3161664.7546837493</v>
      </c>
      <c r="AE87" s="335">
        <f t="shared" si="24"/>
        <v>3319747.9924179367</v>
      </c>
      <c r="AF87" s="335">
        <f t="shared" si="24"/>
        <v>3485735.3920388338</v>
      </c>
      <c r="AG87" s="345">
        <f t="shared" si="24"/>
        <v>3660022.1616407759</v>
      </c>
      <c r="AH87" s="162"/>
      <c r="AI87" s="162"/>
    </row>
    <row r="88" spans="10:35">
      <c r="J88" s="162"/>
      <c r="K88" s="162"/>
      <c r="L88" s="162"/>
      <c r="M88" s="358"/>
      <c r="N88" s="358"/>
      <c r="O88" s="335"/>
      <c r="P88" s="335"/>
      <c r="Q88" s="335"/>
      <c r="R88" s="335"/>
      <c r="S88" s="335"/>
      <c r="T88" s="335"/>
      <c r="U88" s="335"/>
      <c r="V88" s="162"/>
      <c r="W88" s="161" t="s">
        <v>164</v>
      </c>
      <c r="X88" s="162"/>
      <c r="Y88" s="162"/>
      <c r="Z88" s="358"/>
      <c r="AA88" s="359">
        <f>X55</f>
        <v>163694.34011817907</v>
      </c>
      <c r="AB88" s="335">
        <f t="shared" si="24"/>
        <v>169423.64202231533</v>
      </c>
      <c r="AC88" s="335">
        <f t="shared" si="24"/>
        <v>175353.46949309635</v>
      </c>
      <c r="AD88" s="335">
        <f t="shared" si="24"/>
        <v>181490.84092535471</v>
      </c>
      <c r="AE88" s="335">
        <f t="shared" si="24"/>
        <v>186028.11194848857</v>
      </c>
      <c r="AF88" s="335">
        <f t="shared" si="24"/>
        <v>190678.81474720075</v>
      </c>
      <c r="AG88" s="345">
        <f t="shared" si="24"/>
        <v>195445.78511588075</v>
      </c>
      <c r="AH88" s="162"/>
      <c r="AI88" s="162"/>
    </row>
    <row r="89" spans="10:35">
      <c r="J89" s="162"/>
      <c r="K89" s="162"/>
      <c r="L89" s="162"/>
      <c r="M89" s="358"/>
      <c r="N89" s="358"/>
      <c r="O89" s="335"/>
      <c r="P89" s="335"/>
      <c r="Q89" s="335"/>
      <c r="R89" s="335"/>
      <c r="S89" s="335"/>
      <c r="T89" s="335"/>
      <c r="U89" s="335"/>
      <c r="V89" s="162"/>
      <c r="W89" s="165" t="s">
        <v>165</v>
      </c>
      <c r="X89" s="166"/>
      <c r="Y89" s="166"/>
      <c r="Z89" s="360"/>
      <c r="AA89" s="361">
        <f>+X56+X58+X59</f>
        <v>2666.6627619195069</v>
      </c>
      <c r="AB89" s="362">
        <f t="shared" si="24"/>
        <v>2733.3293309674946</v>
      </c>
      <c r="AC89" s="362">
        <f t="shared" si="24"/>
        <v>2801.6625642416816</v>
      </c>
      <c r="AD89" s="362">
        <f t="shared" si="24"/>
        <v>2871.7041283477233</v>
      </c>
      <c r="AE89" s="362">
        <f t="shared" si="24"/>
        <v>2943.4967315564163</v>
      </c>
      <c r="AF89" s="362">
        <f t="shared" si="24"/>
        <v>3017.0841498453265</v>
      </c>
      <c r="AG89" s="351">
        <f t="shared" si="24"/>
        <v>3092.5112535914595</v>
      </c>
      <c r="AH89" s="162"/>
      <c r="AI89" s="162"/>
    </row>
    <row r="90" spans="10:35">
      <c r="J90" s="363"/>
      <c r="K90" s="364"/>
      <c r="L90" s="364"/>
      <c r="M90" s="365"/>
      <c r="N90" s="366"/>
      <c r="O90" s="366"/>
      <c r="P90" s="366"/>
      <c r="Q90" s="366"/>
      <c r="R90" s="366"/>
      <c r="S90" s="366"/>
      <c r="T90" s="366"/>
      <c r="U90" s="335"/>
      <c r="V90" s="162"/>
      <c r="W90" s="445" t="s">
        <v>128</v>
      </c>
      <c r="X90" s="446"/>
      <c r="Y90" s="446"/>
      <c r="Z90" s="447"/>
      <c r="AA90" s="367">
        <f>SUM(AA87:AA89)</f>
        <v>2660033.2928800983</v>
      </c>
      <c r="AB90" s="368">
        <f>SUM(AB87:AB89)</f>
        <v>3039880.1048532818</v>
      </c>
      <c r="AC90" s="368">
        <f>SUM(AC87:AC89)</f>
        <v>3189264.4222323373</v>
      </c>
      <c r="AD90" s="368">
        <f t="shared" ref="AD90" si="25">SUM(AD87:AD89)</f>
        <v>3346027.2997374516</v>
      </c>
      <c r="AE90" s="368">
        <f t="shared" ref="AE90" si="26">SUM(AE87:AE89)</f>
        <v>3508719.6010979819</v>
      </c>
      <c r="AF90" s="368">
        <f t="shared" ref="AF90" si="27">SUM(AF87:AF89)</f>
        <v>3679431.29093588</v>
      </c>
      <c r="AG90" s="369">
        <f t="shared" ref="AG90" si="28">SUM(AG87:AG89)</f>
        <v>3858560.4580102484</v>
      </c>
      <c r="AH90" s="162"/>
      <c r="AI90" s="162"/>
    </row>
    <row r="91" spans="10:35">
      <c r="J91" s="162"/>
      <c r="K91" s="162"/>
      <c r="L91" s="162"/>
      <c r="M91" s="370"/>
      <c r="N91" s="370"/>
      <c r="O91" s="370"/>
      <c r="P91" s="370"/>
      <c r="Q91" s="370"/>
      <c r="R91" s="370"/>
      <c r="S91" s="370"/>
      <c r="T91" s="370"/>
      <c r="U91" s="335"/>
      <c r="V91" s="162"/>
      <c r="W91" s="162"/>
      <c r="X91" s="162"/>
      <c r="Y91" s="162"/>
      <c r="Z91" s="370"/>
      <c r="AA91" s="370"/>
      <c r="AB91" s="370"/>
      <c r="AC91" s="370"/>
      <c r="AD91" s="370"/>
      <c r="AE91" s="370"/>
      <c r="AF91" s="370"/>
      <c r="AG91" s="370"/>
      <c r="AH91" s="162"/>
      <c r="AI91" s="162"/>
    </row>
    <row r="92" spans="10:35">
      <c r="J92" s="355"/>
      <c r="K92" s="162"/>
      <c r="L92" s="162"/>
      <c r="M92" s="356"/>
      <c r="N92" s="337"/>
      <c r="O92" s="337"/>
      <c r="P92" s="337"/>
      <c r="Q92" s="337"/>
      <c r="R92" s="337"/>
      <c r="S92" s="337"/>
      <c r="T92" s="337"/>
      <c r="U92" s="335"/>
      <c r="V92" s="162"/>
      <c r="W92" s="194" t="s">
        <v>63</v>
      </c>
      <c r="X92" s="198"/>
      <c r="Y92" s="198"/>
      <c r="Z92" s="357"/>
      <c r="AA92" s="340" t="s">
        <v>12</v>
      </c>
      <c r="AB92" s="341" t="s">
        <v>13</v>
      </c>
      <c r="AC92" s="341" t="s">
        <v>14</v>
      </c>
      <c r="AD92" s="341" t="s">
        <v>15</v>
      </c>
      <c r="AE92" s="341" t="s">
        <v>16</v>
      </c>
      <c r="AF92" s="341" t="s">
        <v>17</v>
      </c>
      <c r="AG92" s="342" t="s">
        <v>18</v>
      </c>
      <c r="AH92" s="162"/>
      <c r="AI92" s="162"/>
    </row>
    <row r="93" spans="10:35">
      <c r="J93" s="162"/>
      <c r="K93" s="162"/>
      <c r="L93" s="162"/>
      <c r="M93" s="335"/>
      <c r="N93" s="358"/>
      <c r="O93" s="335"/>
      <c r="P93" s="335"/>
      <c r="Q93" s="335"/>
      <c r="R93" s="335"/>
      <c r="S93" s="335"/>
      <c r="T93" s="335"/>
      <c r="U93" s="335"/>
      <c r="V93" s="162"/>
      <c r="W93" s="161" t="s">
        <v>163</v>
      </c>
      <c r="X93" s="162"/>
      <c r="Y93" s="162"/>
      <c r="Z93" s="335"/>
      <c r="AA93" s="359">
        <f>+AA87</f>
        <v>2493672.2899999996</v>
      </c>
      <c r="AB93" s="335">
        <f>+AB87/(1+$AB84)</f>
        <v>2797778.6668292675</v>
      </c>
      <c r="AC93" s="335">
        <f>+AC87/(1+$AB84)/(1+$AC$84)</f>
        <v>2866017.1708982745</v>
      </c>
      <c r="AD93" s="335">
        <f>+AD87/(1+$AB84)/(1+$AC$84)/(1+$AD$84)</f>
        <v>2935920.0287250625</v>
      </c>
      <c r="AE93" s="335">
        <f>+AE87/(1+$AB84)/(1+$AC$84)/(1+$AD$84)/(1+$AE$84)</f>
        <v>3007527.8343037223</v>
      </c>
      <c r="AF93" s="335">
        <f>+AF87/(1+$AB84)/(1+$AC$84)/(1+$AD$84)/(1+$AE$84)/(1+$AF$84)</f>
        <v>3080882.1717257649</v>
      </c>
      <c r="AG93" s="345">
        <f>+AG87/(1+$AB84)/(1+$AC$84)/(1+$AD$84)/(1+$AE$84)/(1+$AF$84)/(1+$AG$84)</f>
        <v>3156025.6393288327</v>
      </c>
      <c r="AH93" s="162"/>
      <c r="AI93" s="162"/>
    </row>
    <row r="94" spans="10:35">
      <c r="J94" s="162"/>
      <c r="K94" s="162"/>
      <c r="L94" s="162"/>
      <c r="M94" s="335"/>
      <c r="N94" s="358"/>
      <c r="O94" s="335"/>
      <c r="P94" s="335"/>
      <c r="Q94" s="335"/>
      <c r="R94" s="335"/>
      <c r="S94" s="335"/>
      <c r="T94" s="335"/>
      <c r="U94" s="335"/>
      <c r="V94" s="162"/>
      <c r="W94" s="161" t="s">
        <v>164</v>
      </c>
      <c r="X94" s="162"/>
      <c r="Y94" s="162"/>
      <c r="Z94" s="335"/>
      <c r="AA94" s="359">
        <f>+AA88</f>
        <v>163694.34011817907</v>
      </c>
      <c r="AB94" s="335">
        <f>+AB88/(1+$AB83)</f>
        <v>163694.34011817907</v>
      </c>
      <c r="AC94" s="335">
        <f>+AC88/(1+$AB83)/(1+$AC$83)</f>
        <v>163694.34011817907</v>
      </c>
      <c r="AD94" s="335">
        <f>+AD88/(1+$AB83)/(1+$AC$83)/(1+$AD$83)</f>
        <v>163694.34011817907</v>
      </c>
      <c r="AE94" s="335">
        <f>+AE88/(1+$AB83)/(1+$AC$83)/(1+$AD$83)/(1+$AE$83)</f>
        <v>163694.3401181791</v>
      </c>
      <c r="AF94" s="335">
        <f>+AF88/(1+$AB83)/(1+$AC$83)/(1+$AD$83)/(1+$AE$83)/(1+$AF$83)</f>
        <v>163694.3401181791</v>
      </c>
      <c r="AG94" s="345">
        <f>+AG88/(1+$AB83)/(1+$AC$83)/(1+$AD$83)/(1+$AE$83)/(1+$AF$83)/(1+$AG$83)</f>
        <v>163694.34011817907</v>
      </c>
      <c r="AH94" s="162"/>
      <c r="AI94" s="162"/>
    </row>
    <row r="95" spans="10:35">
      <c r="J95" s="162"/>
      <c r="K95" s="162"/>
      <c r="L95" s="162"/>
      <c r="M95" s="335"/>
      <c r="N95" s="358"/>
      <c r="O95" s="335"/>
      <c r="P95" s="335"/>
      <c r="Q95" s="335"/>
      <c r="R95" s="335"/>
      <c r="S95" s="335"/>
      <c r="T95" s="335"/>
      <c r="U95" s="335"/>
      <c r="V95" s="162"/>
      <c r="W95" s="165" t="s">
        <v>165</v>
      </c>
      <c r="X95" s="166"/>
      <c r="Y95" s="166"/>
      <c r="Z95" s="362"/>
      <c r="AA95" s="361">
        <f>+AA89</f>
        <v>2666.6627619195069</v>
      </c>
      <c r="AB95" s="362">
        <f>+AB89/(1+$AB84)</f>
        <v>2666.6627619195069</v>
      </c>
      <c r="AC95" s="362">
        <f>+AC89/(1+$AB84)/(1+$AC$84)</f>
        <v>2666.6627619195069</v>
      </c>
      <c r="AD95" s="362">
        <f>+AD89/(1+$AB84)/(1+$AC84)/(1+$AD$84)</f>
        <v>2666.6627619195069</v>
      </c>
      <c r="AE95" s="362">
        <f>+AE89/(1+$AB84)/(1+$AC$84)/(1+$AD$84)/(1+$AE$84)</f>
        <v>2666.6627619195069</v>
      </c>
      <c r="AF95" s="362">
        <f>+AF89/(1+$AB84)/(1+$AC$84)/(1+$AD$84)/(1+$AE$84)/(1+$AF$84)</f>
        <v>2666.6627619195069</v>
      </c>
      <c r="AG95" s="351">
        <f>+AG89/(1+$AB84)/(1+$AC$84)/(1+$AD$84)/(1+$AE$84)/(1+$AF$84)/(1+$AG$84)</f>
        <v>2666.6627619195069</v>
      </c>
      <c r="AH95" s="162"/>
      <c r="AI95" s="162"/>
    </row>
    <row r="96" spans="10:35">
      <c r="J96" s="363"/>
      <c r="K96" s="363"/>
      <c r="L96" s="364"/>
      <c r="M96" s="371"/>
      <c r="N96" s="366"/>
      <c r="O96" s="366"/>
      <c r="P96" s="366"/>
      <c r="Q96" s="366"/>
      <c r="R96" s="366"/>
      <c r="S96" s="366"/>
      <c r="T96" s="366"/>
      <c r="U96" s="335"/>
      <c r="V96" s="162"/>
      <c r="W96" s="445" t="s">
        <v>213</v>
      </c>
      <c r="X96" s="448"/>
      <c r="Y96" s="446"/>
      <c r="Z96" s="449"/>
      <c r="AA96" s="367">
        <f t="shared" ref="AA96:AG96" si="29">SUM(AA93:AA95)</f>
        <v>2660033.2928800983</v>
      </c>
      <c r="AB96" s="368">
        <f t="shared" si="29"/>
        <v>2964139.6697093663</v>
      </c>
      <c r="AC96" s="368">
        <f t="shared" si="29"/>
        <v>3032378.1737783733</v>
      </c>
      <c r="AD96" s="368">
        <f t="shared" si="29"/>
        <v>3102281.0316051613</v>
      </c>
      <c r="AE96" s="368">
        <f t="shared" si="29"/>
        <v>3173888.837183821</v>
      </c>
      <c r="AF96" s="368">
        <f t="shared" si="29"/>
        <v>3247243.1746058636</v>
      </c>
      <c r="AG96" s="369">
        <f t="shared" si="29"/>
        <v>3322386.6422089315</v>
      </c>
      <c r="AH96" s="162"/>
      <c r="AI96" s="162"/>
    </row>
    <row r="97" spans="10:35">
      <c r="J97" s="162"/>
      <c r="K97" s="162"/>
      <c r="L97" s="162"/>
      <c r="M97" s="335"/>
      <c r="N97" s="370"/>
      <c r="O97" s="370"/>
      <c r="P97" s="370"/>
      <c r="Q97" s="370"/>
      <c r="R97" s="370"/>
      <c r="S97" s="370"/>
      <c r="T97" s="370"/>
      <c r="U97" s="370"/>
      <c r="V97" s="162"/>
      <c r="W97" s="162"/>
      <c r="X97" s="162"/>
      <c r="Y97" s="162"/>
      <c r="Z97" s="335"/>
      <c r="AA97" s="370"/>
      <c r="AB97" s="370"/>
      <c r="AC97" s="370"/>
      <c r="AD97" s="370"/>
      <c r="AE97" s="370"/>
      <c r="AF97" s="370"/>
      <c r="AG97" s="370"/>
      <c r="AH97" s="162"/>
      <c r="AI97" s="162"/>
    </row>
    <row r="98" spans="10:35">
      <c r="J98" s="162"/>
      <c r="K98" s="162"/>
      <c r="L98" s="162"/>
      <c r="M98" s="335"/>
      <c r="N98" s="335"/>
      <c r="O98" s="335"/>
      <c r="P98" s="335"/>
      <c r="Q98" s="335"/>
      <c r="R98" s="335"/>
      <c r="S98" s="335"/>
      <c r="T98" s="335"/>
      <c r="U98" s="335"/>
      <c r="V98" s="162"/>
      <c r="W98" s="157" t="s">
        <v>127</v>
      </c>
      <c r="X98" s="158"/>
      <c r="Y98" s="158"/>
      <c r="Z98" s="372"/>
      <c r="AA98" s="373">
        <f>+$X$70</f>
        <v>897699.5</v>
      </c>
      <c r="AB98" s="374">
        <f t="shared" ref="AB98:AG98" si="30">+$X$70</f>
        <v>897699.5</v>
      </c>
      <c r="AC98" s="374">
        <f t="shared" si="30"/>
        <v>897699.5</v>
      </c>
      <c r="AD98" s="374">
        <f t="shared" si="30"/>
        <v>897699.5</v>
      </c>
      <c r="AE98" s="374">
        <f t="shared" si="30"/>
        <v>897699.5</v>
      </c>
      <c r="AF98" s="374">
        <f t="shared" si="30"/>
        <v>897699.5</v>
      </c>
      <c r="AG98" s="375">
        <f t="shared" si="30"/>
        <v>897699.5</v>
      </c>
      <c r="AH98" s="162"/>
      <c r="AI98" s="162"/>
    </row>
    <row r="99" spans="10:35">
      <c r="J99" s="355"/>
      <c r="K99" s="162"/>
      <c r="L99" s="162"/>
      <c r="M99" s="376"/>
      <c r="N99" s="376"/>
      <c r="O99" s="376"/>
      <c r="P99" s="376"/>
      <c r="Q99" s="376"/>
      <c r="R99" s="376"/>
      <c r="S99" s="376"/>
      <c r="T99" s="376"/>
      <c r="U99" s="376"/>
      <c r="V99" s="162"/>
      <c r="W99" s="296" t="s">
        <v>214</v>
      </c>
      <c r="X99" s="377"/>
      <c r="Y99" s="377"/>
      <c r="Z99" s="378"/>
      <c r="AA99" s="379">
        <f>+AA96/AA98</f>
        <v>2.9631667310498653</v>
      </c>
      <c r="AB99" s="380">
        <f t="shared" ref="AB99" si="31">+AB96/AB98</f>
        <v>3.3019286183287018</v>
      </c>
      <c r="AC99" s="380">
        <f t="shared" ref="AC99" si="32">+AC96/AC98</f>
        <v>3.377943480840051</v>
      </c>
      <c r="AD99" s="380">
        <f t="shared" ref="AD99" si="33">+AD96/AD98</f>
        <v>3.4558123643882626</v>
      </c>
      <c r="AE99" s="380">
        <f t="shared" ref="AE99" si="34">+AE96/AE98</f>
        <v>3.5355804889986246</v>
      </c>
      <c r="AF99" s="380">
        <f t="shared" ref="AF99" si="35">+AF96/AF98</f>
        <v>3.617294177623875</v>
      </c>
      <c r="AG99" s="381">
        <f t="shared" ref="AG99" si="36">+AG96/AG98</f>
        <v>3.7010008830448626</v>
      </c>
      <c r="AH99" s="162"/>
      <c r="AI99" s="162"/>
    </row>
    <row r="100" spans="10:35">
      <c r="J100" s="162"/>
      <c r="K100" s="162"/>
      <c r="L100" s="162"/>
      <c r="M100" s="335"/>
      <c r="N100" s="335"/>
      <c r="O100" s="382"/>
      <c r="P100" s="382"/>
      <c r="Q100" s="382"/>
      <c r="R100" s="382"/>
      <c r="S100" s="382"/>
      <c r="T100" s="382"/>
      <c r="U100" s="382"/>
      <c r="V100" s="162"/>
      <c r="W100" s="162"/>
      <c r="X100" s="162"/>
      <c r="Y100" s="162"/>
      <c r="Z100" s="335"/>
      <c r="AA100" s="335"/>
      <c r="AB100" s="382"/>
      <c r="AC100" s="382"/>
      <c r="AD100" s="382"/>
      <c r="AE100" s="382"/>
      <c r="AF100" s="382"/>
      <c r="AG100" s="382"/>
      <c r="AH100" s="162"/>
      <c r="AI100" s="162"/>
    </row>
    <row r="101" spans="10:35">
      <c r="J101" s="162"/>
      <c r="K101" s="162"/>
      <c r="L101" s="162"/>
      <c r="M101" s="335"/>
      <c r="N101" s="335"/>
      <c r="O101" s="383"/>
      <c r="P101" s="383"/>
      <c r="Q101" s="383"/>
      <c r="R101" s="383"/>
      <c r="S101" s="384"/>
      <c r="T101" s="385"/>
      <c r="U101" s="162"/>
      <c r="V101" s="162"/>
      <c r="W101" s="162"/>
      <c r="X101" s="162"/>
      <c r="Y101" s="162"/>
      <c r="Z101" s="335"/>
      <c r="AA101" s="335"/>
      <c r="AB101" s="383"/>
      <c r="AC101" s="383"/>
      <c r="AD101" s="386"/>
      <c r="AE101" s="387"/>
      <c r="AF101" s="388" t="s">
        <v>212</v>
      </c>
      <c r="AG101" s="389">
        <f>AVERAGE(AC99:AG99)</f>
        <v>3.5375262789791351</v>
      </c>
      <c r="AH101" s="162"/>
      <c r="AI101" s="162"/>
    </row>
    <row r="102" spans="10:35">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row>
    <row r="103" spans="10:35">
      <c r="J103" s="162"/>
      <c r="K103" s="162"/>
      <c r="L103" s="162"/>
      <c r="M103" s="162"/>
      <c r="N103" s="162"/>
      <c r="O103" s="162"/>
      <c r="P103" s="162"/>
      <c r="Q103" s="162"/>
      <c r="R103" s="162"/>
      <c r="S103" s="162"/>
      <c r="T103" s="162"/>
      <c r="U103" s="162"/>
      <c r="V103" s="162"/>
      <c r="W103" s="162"/>
      <c r="X103" s="162"/>
      <c r="Y103" s="162"/>
      <c r="Z103" s="162"/>
      <c r="AA103" s="162"/>
      <c r="AB103" s="162"/>
      <c r="AC103" s="162"/>
      <c r="AD103" s="162"/>
      <c r="AE103" s="162"/>
      <c r="AF103" s="162"/>
      <c r="AG103" s="162"/>
      <c r="AH103" s="162"/>
    </row>
    <row r="104" spans="10:35">
      <c r="J104" s="162"/>
      <c r="K104" s="162"/>
      <c r="L104" s="162"/>
      <c r="M104" s="162"/>
      <c r="N104" s="162"/>
      <c r="O104" s="162"/>
      <c r="P104" s="162"/>
      <c r="Q104" s="162"/>
      <c r="R104" s="162"/>
      <c r="S104" s="162"/>
      <c r="T104" s="162"/>
      <c r="U104" s="162"/>
    </row>
    <row r="105" spans="10:35">
      <c r="J105" s="162"/>
      <c r="K105" s="162"/>
      <c r="L105" s="162"/>
      <c r="M105" s="162"/>
      <c r="N105" s="162"/>
      <c r="O105" s="162"/>
      <c r="P105" s="162"/>
      <c r="Q105" s="162"/>
      <c r="R105" s="162"/>
      <c r="S105" s="162"/>
      <c r="T105" s="162"/>
      <c r="U105" s="162"/>
    </row>
    <row r="106" spans="10:35">
      <c r="J106" s="162"/>
      <c r="K106" s="162"/>
      <c r="L106" s="162"/>
      <c r="M106" s="162"/>
      <c r="N106" s="162"/>
      <c r="O106" s="162"/>
      <c r="P106" s="162"/>
      <c r="Q106" s="162"/>
      <c r="R106" s="162"/>
      <c r="S106" s="162"/>
      <c r="T106" s="162"/>
      <c r="U106" s="162"/>
    </row>
    <row r="107" spans="10:35">
      <c r="J107" s="162"/>
      <c r="K107" s="162"/>
      <c r="L107" s="162"/>
      <c r="M107" s="162"/>
      <c r="N107" s="162"/>
      <c r="O107" s="162"/>
      <c r="P107" s="162"/>
      <c r="Q107" s="162"/>
      <c r="R107" s="162"/>
      <c r="S107" s="162"/>
      <c r="T107" s="162"/>
      <c r="U107" s="162"/>
    </row>
    <row r="108" spans="10:35">
      <c r="J108" s="162"/>
      <c r="K108" s="162"/>
      <c r="L108" s="162"/>
      <c r="M108" s="162"/>
      <c r="N108" s="162"/>
      <c r="O108" s="162"/>
      <c r="P108" s="162"/>
      <c r="Q108" s="162"/>
      <c r="R108" s="162"/>
      <c r="S108" s="162"/>
      <c r="T108" s="162"/>
      <c r="U108" s="162"/>
    </row>
    <row r="109" spans="10:35">
      <c r="J109" s="162"/>
      <c r="K109" s="162"/>
      <c r="L109" s="162"/>
      <c r="M109" s="162"/>
      <c r="N109" s="162"/>
      <c r="O109" s="162"/>
      <c r="P109" s="162"/>
      <c r="Q109" s="162"/>
      <c r="R109" s="162"/>
      <c r="S109" s="162"/>
      <c r="T109" s="162"/>
      <c r="U109" s="162"/>
    </row>
    <row r="110" spans="10:35">
      <c r="J110" s="162"/>
      <c r="K110" s="162"/>
      <c r="L110" s="162"/>
      <c r="M110" s="162"/>
      <c r="N110" s="162"/>
      <c r="O110" s="162"/>
      <c r="P110" s="162"/>
      <c r="Q110" s="162"/>
      <c r="R110" s="162"/>
      <c r="S110" s="162"/>
      <c r="T110" s="162"/>
      <c r="U110" s="162"/>
    </row>
    <row r="111" spans="10:35">
      <c r="J111" s="162"/>
      <c r="K111" s="162"/>
      <c r="L111" s="162"/>
      <c r="M111" s="162"/>
      <c r="N111" s="162"/>
      <c r="O111" s="162"/>
      <c r="P111" s="162"/>
      <c r="Q111" s="162"/>
      <c r="R111" s="162"/>
      <c r="S111" s="162"/>
      <c r="T111" s="162"/>
      <c r="U111" s="162"/>
    </row>
  </sheetData>
  <mergeCells count="18">
    <mergeCell ref="B7:V7"/>
    <mergeCell ref="B5:V5"/>
    <mergeCell ref="B26:D26"/>
    <mergeCell ref="X66:Y66"/>
    <mergeCell ref="Z66:AG66"/>
    <mergeCell ref="M28:U28"/>
    <mergeCell ref="X28:AF28"/>
    <mergeCell ref="M46:U46"/>
    <mergeCell ref="X46:AF46"/>
    <mergeCell ref="W79:AG79"/>
    <mergeCell ref="X69:Y69"/>
    <mergeCell ref="M26:U26"/>
    <mergeCell ref="X26:AF26"/>
    <mergeCell ref="M27:U27"/>
    <mergeCell ref="X27:AF27"/>
    <mergeCell ref="J77:T77"/>
    <mergeCell ref="W77:AG77"/>
    <mergeCell ref="X73:AG73"/>
  </mergeCells>
  <conditionalFormatting sqref="V30">
    <cfRule type="cellIs" dxfId="10" priority="11" operator="notEqual">
      <formula>0</formula>
    </cfRule>
  </conditionalFormatting>
  <conditionalFormatting sqref="V35:V41">
    <cfRule type="cellIs" dxfId="9" priority="10" operator="notEqual">
      <formula>0</formula>
    </cfRule>
  </conditionalFormatting>
  <conditionalFormatting sqref="AH30:AH34">
    <cfRule type="cellIs" dxfId="8" priority="9" operator="notEqual">
      <formula>0</formula>
    </cfRule>
  </conditionalFormatting>
  <conditionalFormatting sqref="AH31:AH34 AH36:AH41">
    <cfRule type="cellIs" dxfId="7" priority="8" operator="notEqual">
      <formula>0</formula>
    </cfRule>
  </conditionalFormatting>
  <conditionalFormatting sqref="AH37:AH41">
    <cfRule type="cellIs" dxfId="6" priority="7" operator="notEqual">
      <formula>0</formula>
    </cfRule>
  </conditionalFormatting>
  <conditionalFormatting sqref="V48">
    <cfRule type="cellIs" dxfId="5" priority="6" operator="notEqual">
      <formula>0</formula>
    </cfRule>
  </conditionalFormatting>
  <conditionalFormatting sqref="V49:V59">
    <cfRule type="cellIs" dxfId="4" priority="5" operator="notEqual">
      <formula>0</formula>
    </cfRule>
  </conditionalFormatting>
  <conditionalFormatting sqref="AH48:AH52">
    <cfRule type="cellIs" dxfId="3" priority="4" operator="notEqual">
      <formula>0</formula>
    </cfRule>
  </conditionalFormatting>
  <conditionalFormatting sqref="AH49:AH52 AH54:AH59">
    <cfRule type="cellIs" dxfId="2" priority="3" operator="notEqual">
      <formula>0</formula>
    </cfRule>
  </conditionalFormatting>
  <conditionalFormatting sqref="AH55:AH59">
    <cfRule type="cellIs" dxfId="1" priority="2" operator="notEqual">
      <formula>0</formula>
    </cfRule>
  </conditionalFormatting>
  <conditionalFormatting sqref="V31:V34">
    <cfRule type="cellIs" dxfId="0" priority="1" operator="notEqual">
      <formula>0</formula>
    </cfRule>
  </conditionalFormatting>
  <pageMargins left="0.39370078740157483" right="0.39370078740157483" top="0.39370078740157483" bottom="0.39370078740157483" header="0.19685039370078741" footer="0.19685039370078741"/>
  <pageSetup paperSize="8" scale="44" orientation="landscape" r:id="rId1"/>
  <headerFooter>
    <oddFooter>&amp;C&amp;F&amp;R&amp;A</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8"/>
  <sheetViews>
    <sheetView showGridLines="0" zoomScaleNormal="100" workbookViewId="0"/>
  </sheetViews>
  <sheetFormatPr defaultColWidth="9.140625" defaultRowHeight="12.75"/>
  <cols>
    <col min="1" max="1" width="2.85546875" style="22" customWidth="1"/>
    <col min="2" max="2" width="21.140625" style="22" bestFit="1" customWidth="1"/>
    <col min="3" max="3" width="16.85546875" style="22" customWidth="1"/>
    <col min="4" max="4" width="13.42578125" style="22" bestFit="1" customWidth="1"/>
    <col min="5" max="5" width="13.42578125" style="22" customWidth="1"/>
    <col min="6" max="6" width="12.7109375" style="22" customWidth="1"/>
    <col min="7" max="10" width="12.85546875" style="24" customWidth="1"/>
    <col min="11" max="11" width="12.85546875" style="22" customWidth="1"/>
    <col min="12" max="12" width="2.85546875" style="22" customWidth="1"/>
    <col min="13" max="13" width="49.85546875" style="25" customWidth="1"/>
    <col min="14" max="14" width="2.85546875" style="22" customWidth="1"/>
    <col min="15" max="17" width="9.140625" style="22" customWidth="1"/>
    <col min="18" max="16384" width="9.140625" style="22"/>
  </cols>
  <sheetData>
    <row r="1" spans="2:13">
      <c r="B1" s="23"/>
    </row>
    <row r="2" spans="2:13" ht="21">
      <c r="B2" s="26" t="s">
        <v>27</v>
      </c>
    </row>
    <row r="3" spans="2:13" ht="21">
      <c r="B3" s="26" t="str">
        <f>'AER Summary'!C3</f>
        <v>Reconnections/Disconnections (Site Visit)</v>
      </c>
    </row>
    <row r="4" spans="2:13" ht="18.75">
      <c r="B4" s="27" t="s">
        <v>28</v>
      </c>
    </row>
    <row r="6" spans="2:13" ht="15.75">
      <c r="B6" s="28" t="s">
        <v>229</v>
      </c>
      <c r="C6" s="29"/>
      <c r="D6" s="29"/>
      <c r="E6" s="29"/>
      <c r="F6" s="29"/>
      <c r="G6" s="30"/>
      <c r="H6" s="30"/>
      <c r="I6" s="30"/>
      <c r="J6" s="30"/>
      <c r="K6" s="29"/>
      <c r="M6" s="31"/>
    </row>
    <row r="8" spans="2:13" ht="25.5">
      <c r="B8" s="541" t="s">
        <v>8</v>
      </c>
      <c r="C8" s="542"/>
      <c r="D8" s="542"/>
      <c r="E8" s="542"/>
      <c r="F8" s="542"/>
      <c r="G8" s="542"/>
      <c r="H8" s="542"/>
      <c r="I8" s="543"/>
      <c r="J8" s="457" t="s">
        <v>44</v>
      </c>
      <c r="K8" s="458" t="s">
        <v>35</v>
      </c>
      <c r="M8" s="36" t="s">
        <v>5</v>
      </c>
    </row>
    <row r="9" spans="2:13" ht="25.5">
      <c r="B9" s="544" t="str">
        <f>'AER Summary'!C3</f>
        <v>Reconnections/Disconnections (Site Visit)</v>
      </c>
      <c r="C9" s="545"/>
      <c r="D9" s="545"/>
      <c r="E9" s="545"/>
      <c r="F9" s="545"/>
      <c r="G9" s="545"/>
      <c r="H9" s="545"/>
      <c r="I9" s="546"/>
      <c r="J9" s="459">
        <v>48.4</v>
      </c>
      <c r="K9" s="460">
        <f>+J9/11*10</f>
        <v>43.999999999999993</v>
      </c>
      <c r="M9" s="452" t="s">
        <v>230</v>
      </c>
    </row>
    <row r="11" spans="2:13" ht="15.75">
      <c r="B11" s="28" t="s">
        <v>2</v>
      </c>
      <c r="C11" s="29"/>
      <c r="D11" s="29"/>
      <c r="E11" s="29"/>
      <c r="F11" s="29"/>
      <c r="G11" s="30"/>
      <c r="H11" s="30"/>
      <c r="I11" s="30"/>
      <c r="J11" s="30"/>
      <c r="K11" s="29"/>
      <c r="M11" s="31"/>
    </row>
    <row r="13" spans="2:13">
      <c r="B13" s="547"/>
      <c r="C13" s="548"/>
      <c r="D13" s="548"/>
      <c r="E13" s="548"/>
      <c r="F13" s="549"/>
      <c r="G13" s="32" t="s">
        <v>9</v>
      </c>
      <c r="H13" s="33" t="s">
        <v>10</v>
      </c>
      <c r="I13" s="34" t="s">
        <v>11</v>
      </c>
      <c r="J13" s="33" t="s">
        <v>12</v>
      </c>
      <c r="K13" s="35" t="s">
        <v>13</v>
      </c>
      <c r="M13" s="36" t="s">
        <v>5</v>
      </c>
    </row>
    <row r="14" spans="2:13" ht="248.25" customHeight="1">
      <c r="B14" s="550" t="s">
        <v>2</v>
      </c>
      <c r="C14" s="551"/>
      <c r="D14" s="551"/>
      <c r="E14" s="551"/>
      <c r="F14" s="552"/>
      <c r="G14" s="19">
        <v>189853.46</v>
      </c>
      <c r="H14" s="19">
        <v>254936.99</v>
      </c>
      <c r="I14" s="19">
        <v>277112</v>
      </c>
      <c r="J14" s="20">
        <v>733480</v>
      </c>
      <c r="K14" s="52"/>
      <c r="M14" s="452" t="s">
        <v>218</v>
      </c>
    </row>
    <row r="16" spans="2:13" ht="15.75">
      <c r="B16" s="28" t="s">
        <v>238</v>
      </c>
      <c r="C16" s="29"/>
      <c r="D16" s="29"/>
      <c r="E16" s="29"/>
      <c r="F16" s="29"/>
      <c r="G16" s="30"/>
      <c r="H16" s="30"/>
      <c r="I16" s="30"/>
      <c r="J16" s="30"/>
      <c r="K16" s="29"/>
      <c r="M16" s="31"/>
    </row>
    <row r="18" spans="2:13">
      <c r="B18" s="547"/>
      <c r="C18" s="548"/>
      <c r="D18" s="548"/>
      <c r="E18" s="548"/>
      <c r="F18" s="549"/>
      <c r="G18" s="32" t="s">
        <v>9</v>
      </c>
      <c r="H18" s="33" t="s">
        <v>10</v>
      </c>
      <c r="I18" s="34" t="s">
        <v>11</v>
      </c>
      <c r="J18" s="33" t="s">
        <v>12</v>
      </c>
      <c r="K18" s="35" t="s">
        <v>13</v>
      </c>
      <c r="M18" s="36" t="s">
        <v>5</v>
      </c>
    </row>
    <row r="19" spans="2:13">
      <c r="B19" s="550" t="s">
        <v>238</v>
      </c>
      <c r="C19" s="551"/>
      <c r="D19" s="551"/>
      <c r="E19" s="551"/>
      <c r="F19" s="552"/>
      <c r="G19" s="461" t="s">
        <v>232</v>
      </c>
      <c r="H19" s="461" t="s">
        <v>232</v>
      </c>
      <c r="I19" s="461" t="s">
        <v>232</v>
      </c>
      <c r="J19" s="20">
        <f>+'Market Ops Unit Rates'!AB62</f>
        <v>1935644.9253858845</v>
      </c>
      <c r="K19" s="52"/>
      <c r="M19" s="452" t="s">
        <v>239</v>
      </c>
    </row>
    <row r="21" spans="2:13" ht="15.75">
      <c r="B21" s="28" t="s">
        <v>36</v>
      </c>
      <c r="C21" s="29"/>
      <c r="D21" s="29"/>
      <c r="E21" s="29"/>
      <c r="F21" s="29"/>
      <c r="G21" s="30"/>
      <c r="H21" s="30"/>
      <c r="I21" s="30"/>
      <c r="J21" s="30"/>
      <c r="K21" s="29"/>
      <c r="M21" s="31"/>
    </row>
    <row r="23" spans="2:13">
      <c r="B23" s="547"/>
      <c r="C23" s="548"/>
      <c r="D23" s="548"/>
      <c r="E23" s="548"/>
      <c r="F23" s="549"/>
      <c r="G23" s="32" t="s">
        <v>9</v>
      </c>
      <c r="H23" s="33" t="s">
        <v>10</v>
      </c>
      <c r="I23" s="34" t="s">
        <v>11</v>
      </c>
      <c r="J23" s="33" t="s">
        <v>12</v>
      </c>
      <c r="K23" s="35" t="s">
        <v>13</v>
      </c>
      <c r="M23" s="36" t="s">
        <v>5</v>
      </c>
    </row>
    <row r="24" spans="2:13">
      <c r="B24" s="550" t="s">
        <v>231</v>
      </c>
      <c r="C24" s="551"/>
      <c r="D24" s="551"/>
      <c r="E24" s="551"/>
      <c r="F24" s="552"/>
      <c r="G24" s="461" t="s">
        <v>232</v>
      </c>
      <c r="H24" s="461" t="s">
        <v>232</v>
      </c>
      <c r="I24" s="461" t="s">
        <v>232</v>
      </c>
      <c r="J24" s="20">
        <f>+'Market Ops % Opex Allocations'!J50</f>
        <v>64400</v>
      </c>
      <c r="K24" s="52"/>
      <c r="M24" s="452" t="s">
        <v>233</v>
      </c>
    </row>
    <row r="26" spans="2:13" ht="15.75">
      <c r="B26" s="28" t="s">
        <v>48</v>
      </c>
      <c r="C26" s="29"/>
      <c r="D26" s="29"/>
      <c r="E26" s="29"/>
      <c r="F26" s="29"/>
      <c r="G26" s="30"/>
      <c r="H26" s="30"/>
      <c r="I26" s="30"/>
      <c r="J26" s="30"/>
      <c r="K26" s="29"/>
      <c r="M26" s="31"/>
    </row>
    <row r="28" spans="2:13">
      <c r="B28" s="453"/>
      <c r="C28" s="454"/>
      <c r="D28" s="454"/>
      <c r="E28" s="454"/>
      <c r="F28" s="98" t="s">
        <v>13</v>
      </c>
      <c r="G28" s="33" t="s">
        <v>14</v>
      </c>
      <c r="H28" s="33" t="s">
        <v>15</v>
      </c>
      <c r="I28" s="33" t="s">
        <v>16</v>
      </c>
      <c r="J28" s="33" t="s">
        <v>17</v>
      </c>
      <c r="K28" s="33" t="s">
        <v>18</v>
      </c>
      <c r="M28" s="36" t="s">
        <v>5</v>
      </c>
    </row>
    <row r="29" spans="2:13" ht="25.5">
      <c r="B29" s="455" t="s">
        <v>48</v>
      </c>
      <c r="C29" s="456"/>
      <c r="D29" s="456"/>
      <c r="E29" s="456"/>
      <c r="F29" s="20">
        <f>J24*1.05</f>
        <v>67620</v>
      </c>
      <c r="G29" s="20">
        <f>ROUND(F29*1.05,0)</f>
        <v>71001</v>
      </c>
      <c r="H29" s="20">
        <f>ROUND(G29*1.05,0)</f>
        <v>74551</v>
      </c>
      <c r="I29" s="20">
        <f>ROUND(H29*1.05,0)</f>
        <v>78279</v>
      </c>
      <c r="J29" s="20">
        <f>ROUND(I29*1.05,0)</f>
        <v>82193</v>
      </c>
      <c r="K29" s="20">
        <f>ROUND(J29*1.05,0)</f>
        <v>86303</v>
      </c>
      <c r="M29" s="452" t="s">
        <v>245</v>
      </c>
    </row>
    <row r="31" spans="2:13" ht="15.75">
      <c r="B31" s="28" t="s">
        <v>177</v>
      </c>
      <c r="C31" s="29"/>
      <c r="D31" s="29"/>
      <c r="E31" s="29"/>
      <c r="F31" s="29"/>
      <c r="G31" s="30"/>
      <c r="H31" s="30"/>
      <c r="I31" s="30"/>
      <c r="J31" s="30"/>
      <c r="K31" s="29"/>
      <c r="M31" s="31"/>
    </row>
    <row r="33" spans="2:13">
      <c r="B33" s="146"/>
      <c r="C33" s="147"/>
      <c r="D33" s="147"/>
      <c r="E33" s="147"/>
      <c r="F33" s="32" t="s">
        <v>178</v>
      </c>
      <c r="G33" s="32" t="s">
        <v>9</v>
      </c>
      <c r="H33" s="33" t="s">
        <v>10</v>
      </c>
      <c r="I33" s="34" t="s">
        <v>11</v>
      </c>
      <c r="J33" s="33" t="s">
        <v>12</v>
      </c>
      <c r="K33" s="35" t="s">
        <v>13</v>
      </c>
      <c r="M33" s="36" t="s">
        <v>5</v>
      </c>
    </row>
    <row r="34" spans="2:13" ht="51">
      <c r="B34" s="144" t="s">
        <v>179</v>
      </c>
      <c r="C34" s="148"/>
      <c r="D34" s="145"/>
      <c r="E34" s="148"/>
      <c r="F34" s="149">
        <v>3.5000000000000003E-2</v>
      </c>
      <c r="G34" s="149">
        <v>3.5000000000000003E-2</v>
      </c>
      <c r="H34" s="149">
        <v>0.04</v>
      </c>
      <c r="I34" s="150">
        <v>0.04</v>
      </c>
      <c r="J34" s="149">
        <v>0</v>
      </c>
      <c r="K34" s="151"/>
      <c r="M34" s="152" t="s">
        <v>219</v>
      </c>
    </row>
    <row r="36" spans="2:13" ht="15.75">
      <c r="B36" s="28" t="s">
        <v>169</v>
      </c>
      <c r="C36" s="29"/>
      <c r="D36" s="29"/>
      <c r="E36" s="29"/>
      <c r="F36" s="29"/>
      <c r="G36" s="30"/>
      <c r="H36" s="30"/>
      <c r="I36" s="30"/>
      <c r="J36" s="30"/>
      <c r="K36" s="29"/>
      <c r="M36" s="31"/>
    </row>
    <row r="37" spans="2:13">
      <c r="E37" s="41"/>
    </row>
    <row r="38" spans="2:13">
      <c r="B38" s="125" t="s">
        <v>3</v>
      </c>
      <c r="C38" s="126"/>
      <c r="D38" s="126"/>
      <c r="E38" s="126"/>
      <c r="F38" s="126"/>
      <c r="G38" s="475" t="s">
        <v>171</v>
      </c>
      <c r="H38" s="33" t="s">
        <v>25</v>
      </c>
      <c r="I38" s="33" t="s">
        <v>24</v>
      </c>
      <c r="J38" s="33" t="s">
        <v>131</v>
      </c>
      <c r="K38" s="39" t="s">
        <v>13</v>
      </c>
      <c r="M38" s="36" t="s">
        <v>5</v>
      </c>
    </row>
    <row r="39" spans="2:13">
      <c r="B39" s="127" t="s">
        <v>170</v>
      </c>
      <c r="C39" s="128"/>
      <c r="D39" s="128"/>
      <c r="E39" s="128"/>
      <c r="F39" s="128"/>
      <c r="G39" s="129"/>
      <c r="H39" s="38"/>
      <c r="I39" s="38"/>
      <c r="J39" s="47">
        <f>'Market Ops Unit Rates'!C14</f>
        <v>31.183909885016966</v>
      </c>
      <c r="K39" s="99"/>
      <c r="M39" s="559" t="s">
        <v>220</v>
      </c>
    </row>
    <row r="40" spans="2:13">
      <c r="B40" s="127" t="s">
        <v>228</v>
      </c>
      <c r="C40" s="128"/>
      <c r="D40" s="128"/>
      <c r="E40" s="128"/>
      <c r="F40" s="128"/>
      <c r="G40" s="47"/>
      <c r="H40" s="38"/>
      <c r="I40" s="38"/>
      <c r="J40" s="47"/>
      <c r="K40" s="100"/>
      <c r="M40" s="560"/>
    </row>
    <row r="41" spans="2:13">
      <c r="E41" s="41"/>
      <c r="H41" s="43"/>
      <c r="I41" s="43"/>
      <c r="J41" s="43"/>
      <c r="M41" s="560"/>
    </row>
    <row r="42" spans="2:13">
      <c r="E42" s="41"/>
      <c r="G42" s="586" t="s">
        <v>222</v>
      </c>
      <c r="H42" s="586"/>
      <c r="I42" s="586"/>
      <c r="J42" s="107">
        <f>SUM(J39:J40)</f>
        <v>31.183909885016966</v>
      </c>
      <c r="K42" s="43"/>
      <c r="M42" s="560"/>
    </row>
    <row r="43" spans="2:13">
      <c r="E43" s="41"/>
      <c r="H43" s="43"/>
      <c r="I43" s="43"/>
      <c r="J43" s="43"/>
      <c r="M43" s="560"/>
    </row>
    <row r="44" spans="2:13">
      <c r="E44" s="41"/>
      <c r="G44" s="586" t="s">
        <v>31</v>
      </c>
      <c r="H44" s="586"/>
      <c r="I44" s="586"/>
      <c r="J44" s="108">
        <f>+K64-1</f>
        <v>1.2648945446885498</v>
      </c>
      <c r="M44" s="560"/>
    </row>
    <row r="45" spans="2:13">
      <c r="E45" s="41"/>
      <c r="H45" s="43"/>
      <c r="I45" s="43"/>
      <c r="J45" s="43"/>
      <c r="M45" s="560"/>
    </row>
    <row r="46" spans="2:13">
      <c r="E46" s="41"/>
      <c r="G46" s="586" t="s">
        <v>221</v>
      </c>
      <c r="H46" s="586"/>
      <c r="I46" s="586"/>
      <c r="J46" s="107">
        <f>+J42+(J44*J42)</f>
        <v>70.62826738063427</v>
      </c>
      <c r="M46" s="561"/>
    </row>
    <row r="47" spans="2:13">
      <c r="E47" s="41"/>
      <c r="H47" s="43"/>
      <c r="I47" s="43"/>
      <c r="J47" s="43"/>
    </row>
    <row r="48" spans="2:13" ht="15.75">
      <c r="B48" s="28" t="s">
        <v>176</v>
      </c>
      <c r="C48" s="29"/>
      <c r="D48" s="29"/>
      <c r="E48" s="29"/>
      <c r="F48" s="29"/>
      <c r="G48" s="30"/>
      <c r="H48" s="30"/>
      <c r="I48" s="30"/>
      <c r="J48" s="30"/>
      <c r="K48" s="29"/>
      <c r="M48" s="31"/>
    </row>
    <row r="49" spans="2:13">
      <c r="E49" s="41"/>
    </row>
    <row r="50" spans="2:13">
      <c r="B50" s="101"/>
      <c r="C50" s="102"/>
      <c r="D50" s="102"/>
      <c r="E50" s="102"/>
      <c r="F50" s="98" t="s">
        <v>13</v>
      </c>
      <c r="G50" s="33" t="s">
        <v>14</v>
      </c>
      <c r="H50" s="33" t="s">
        <v>15</v>
      </c>
      <c r="I50" s="33" t="s">
        <v>16</v>
      </c>
      <c r="J50" s="33" t="s">
        <v>17</v>
      </c>
      <c r="K50" s="33" t="s">
        <v>18</v>
      </c>
      <c r="M50" s="36" t="s">
        <v>5</v>
      </c>
    </row>
    <row r="51" spans="2:13">
      <c r="H51" s="43"/>
      <c r="I51" s="43"/>
      <c r="J51" s="43"/>
      <c r="M51" s="559" t="s">
        <v>174</v>
      </c>
    </row>
    <row r="52" spans="2:13">
      <c r="B52" s="22" t="s">
        <v>172</v>
      </c>
      <c r="F52" s="44">
        <f>G52/1.025</f>
        <v>32.529398928247581</v>
      </c>
      <c r="G52" s="44">
        <f>$J42*G71</f>
        <v>33.342633901453766</v>
      </c>
      <c r="H52" s="44">
        <f>$J42*H71</f>
        <v>34.797363679261728</v>
      </c>
      <c r="I52" s="44">
        <f>$J42*I71</f>
        <v>35.97552235692303</v>
      </c>
      <c r="J52" s="44">
        <f>$J42*J71</f>
        <v>37.242873741062439</v>
      </c>
      <c r="K52" s="44">
        <f>$J42*K71</f>
        <v>38.525382328216715</v>
      </c>
      <c r="M52" s="560"/>
    </row>
    <row r="53" spans="2:13">
      <c r="B53" s="22" t="s">
        <v>173</v>
      </c>
      <c r="F53" s="44">
        <f>G53/1.025</f>
        <v>73.675658174585507</v>
      </c>
      <c r="G53" s="44">
        <f>$J46*G71</f>
        <v>75.517549628950135</v>
      </c>
      <c r="H53" s="44">
        <f>$J46*H71</f>
        <v>78.812359166703374</v>
      </c>
      <c r="I53" s="44">
        <f>$J46*I71</f>
        <v>81.480764328515932</v>
      </c>
      <c r="J53" s="44">
        <f>$J46*J71</f>
        <v>84.35118156465677</v>
      </c>
      <c r="K53" s="44">
        <f>$J46*K71</f>
        <v>87.255928267218707</v>
      </c>
      <c r="M53" s="560"/>
    </row>
    <row r="54" spans="2:13">
      <c r="G54" s="44"/>
      <c r="H54" s="44"/>
      <c r="I54" s="44"/>
      <c r="J54" s="44"/>
      <c r="K54" s="44"/>
      <c r="M54" s="560"/>
    </row>
    <row r="55" spans="2:13">
      <c r="B55" s="133" t="s">
        <v>45</v>
      </c>
      <c r="C55" s="103"/>
      <c r="D55" s="103"/>
      <c r="E55" s="103"/>
      <c r="F55" s="103"/>
      <c r="G55" s="104"/>
      <c r="H55" s="104">
        <f t="shared" ref="H55:K55" si="0">(H53-G53)/G53</f>
        <v>4.3629719898779028E-2</v>
      </c>
      <c r="I55" s="104">
        <f t="shared" si="0"/>
        <v>3.3857699351041694E-2</v>
      </c>
      <c r="J55" s="104">
        <f t="shared" si="0"/>
        <v>3.52281579560033E-2</v>
      </c>
      <c r="K55" s="105">
        <f t="shared" si="0"/>
        <v>3.4436348711196108E-2</v>
      </c>
      <c r="M55" s="561"/>
    </row>
    <row r="56" spans="2:13">
      <c r="E56" s="41"/>
      <c r="H56" s="43"/>
      <c r="I56" s="43"/>
      <c r="J56" s="43"/>
    </row>
    <row r="57" spans="2:13" ht="15.75">
      <c r="B57" s="28" t="s">
        <v>30</v>
      </c>
      <c r="C57" s="29"/>
      <c r="D57" s="29"/>
      <c r="E57" s="29"/>
      <c r="F57" s="29"/>
      <c r="G57" s="30"/>
      <c r="H57" s="30"/>
      <c r="I57" s="30"/>
      <c r="J57" s="30"/>
      <c r="K57" s="29"/>
      <c r="M57" s="31"/>
    </row>
    <row r="59" spans="2:13">
      <c r="B59" s="583" t="s">
        <v>19</v>
      </c>
      <c r="C59" s="584"/>
      <c r="D59" s="584"/>
      <c r="E59" s="585"/>
      <c r="F59" s="98" t="s">
        <v>13</v>
      </c>
      <c r="G59" s="98" t="s">
        <v>14</v>
      </c>
      <c r="H59" s="98" t="s">
        <v>15</v>
      </c>
      <c r="I59" s="98" t="s">
        <v>16</v>
      </c>
      <c r="J59" s="98" t="s">
        <v>17</v>
      </c>
      <c r="K59" s="40" t="s">
        <v>18</v>
      </c>
      <c r="M59" s="36" t="s">
        <v>5</v>
      </c>
    </row>
    <row r="60" spans="2:13" ht="12.75" customHeight="1">
      <c r="B60" s="565" t="s">
        <v>224</v>
      </c>
      <c r="C60" s="566"/>
      <c r="D60" s="566"/>
      <c r="E60" s="567"/>
      <c r="F60" s="37"/>
      <c r="G60" s="42">
        <v>18449161.14072692</v>
      </c>
      <c r="H60" s="42">
        <v>19652616.51053571</v>
      </c>
      <c r="I60" s="42">
        <v>20750302.453561164</v>
      </c>
      <c r="J60" s="42">
        <v>21950966.582370307</v>
      </c>
      <c r="K60" s="37">
        <v>23217206.584968176</v>
      </c>
      <c r="M60" s="559" t="s">
        <v>223</v>
      </c>
    </row>
    <row r="61" spans="2:13">
      <c r="B61" s="568" t="s">
        <v>225</v>
      </c>
      <c r="C61" s="569"/>
      <c r="D61" s="569"/>
      <c r="E61" s="570"/>
      <c r="F61" s="37"/>
      <c r="G61" s="42">
        <v>40098372.700329572</v>
      </c>
      <c r="H61" s="42">
        <v>44414981.708611391</v>
      </c>
      <c r="I61" s="42">
        <v>47124811.758132517</v>
      </c>
      <c r="J61" s="42">
        <v>50429626.415997855</v>
      </c>
      <c r="K61" s="37">
        <v>53924251.70079805</v>
      </c>
      <c r="M61" s="560"/>
    </row>
    <row r="62" spans="2:13">
      <c r="B62" s="571" t="s">
        <v>19</v>
      </c>
      <c r="C62" s="572"/>
      <c r="D62" s="572"/>
      <c r="E62" s="573"/>
      <c r="F62" s="48"/>
      <c r="G62" s="48">
        <f t="shared" ref="G62:K62" si="1">+G61/G60</f>
        <v>2.1734523534412387</v>
      </c>
      <c r="H62" s="48">
        <f t="shared" si="1"/>
        <v>2.2600034801880273</v>
      </c>
      <c r="I62" s="48">
        <f t="shared" si="1"/>
        <v>2.2710421625707418</v>
      </c>
      <c r="J62" s="48">
        <f t="shared" si="1"/>
        <v>2.2973761190315822</v>
      </c>
      <c r="K62" s="130">
        <f t="shared" si="1"/>
        <v>2.3225986082111594</v>
      </c>
      <c r="M62" s="560"/>
    </row>
    <row r="63" spans="2:13">
      <c r="F63" s="24"/>
      <c r="K63" s="24"/>
      <c r="M63" s="560"/>
    </row>
    <row r="64" spans="2:13">
      <c r="F64" s="556" t="s">
        <v>20</v>
      </c>
      <c r="G64" s="557"/>
      <c r="H64" s="557"/>
      <c r="I64" s="557"/>
      <c r="J64" s="558"/>
      <c r="K64" s="131">
        <f>AVERAGE(G62:K62)</f>
        <v>2.2648945446885498</v>
      </c>
      <c r="M64" s="561"/>
    </row>
    <row r="65" spans="2:13">
      <c r="G65" s="22"/>
      <c r="H65" s="22"/>
      <c r="I65" s="22"/>
      <c r="J65" s="22"/>
      <c r="K65" s="143"/>
    </row>
    <row r="66" spans="2:13" ht="15.75">
      <c r="B66" s="28" t="s">
        <v>254</v>
      </c>
      <c r="C66" s="29"/>
      <c r="D66" s="29"/>
      <c r="E66" s="29"/>
      <c r="F66" s="29"/>
      <c r="G66" s="30"/>
      <c r="H66" s="30"/>
      <c r="I66" s="30"/>
      <c r="J66" s="30"/>
      <c r="K66" s="29"/>
      <c r="M66" s="31"/>
    </row>
    <row r="68" spans="2:13">
      <c r="B68" s="574" t="s">
        <v>255</v>
      </c>
      <c r="C68" s="575"/>
      <c r="D68" s="575"/>
      <c r="E68" s="576"/>
      <c r="F68" s="98" t="s">
        <v>13</v>
      </c>
      <c r="G68" s="98" t="s">
        <v>14</v>
      </c>
      <c r="H68" s="98" t="s">
        <v>15</v>
      </c>
      <c r="I68" s="98" t="s">
        <v>16</v>
      </c>
      <c r="J68" s="98" t="s">
        <v>17</v>
      </c>
      <c r="K68" s="40" t="s">
        <v>18</v>
      </c>
      <c r="M68" s="491" t="s">
        <v>5</v>
      </c>
    </row>
    <row r="69" spans="2:13" ht="12.75" customHeight="1">
      <c r="B69" s="562" t="s">
        <v>226</v>
      </c>
      <c r="C69" s="563"/>
      <c r="D69" s="563"/>
      <c r="E69" s="564"/>
      <c r="F69" s="21"/>
      <c r="G69" s="21">
        <v>17254695.000010207</v>
      </c>
      <c r="H69" s="21">
        <v>17611834.848126188</v>
      </c>
      <c r="I69" s="21">
        <v>17986550.838063825</v>
      </c>
      <c r="J69" s="21">
        <v>18379810.552560411</v>
      </c>
      <c r="K69" s="132">
        <v>18792890.146016706</v>
      </c>
      <c r="M69" s="580" t="s">
        <v>253</v>
      </c>
    </row>
    <row r="70" spans="2:13">
      <c r="B70" s="577" t="s">
        <v>256</v>
      </c>
      <c r="C70" s="578"/>
      <c r="D70" s="578"/>
      <c r="E70" s="579"/>
      <c r="F70" s="21"/>
      <c r="G70" s="21">
        <v>18449161.14072692</v>
      </c>
      <c r="H70" s="21">
        <v>19652616.51053571</v>
      </c>
      <c r="I70" s="21">
        <v>20750302.453561164</v>
      </c>
      <c r="J70" s="21">
        <v>21950966.582370307</v>
      </c>
      <c r="K70" s="132">
        <v>23217206.584968176</v>
      </c>
      <c r="M70" s="581"/>
    </row>
    <row r="71" spans="2:13">
      <c r="B71" s="553" t="s">
        <v>257</v>
      </c>
      <c r="C71" s="554"/>
      <c r="D71" s="554"/>
      <c r="E71" s="555"/>
      <c r="F71" s="48"/>
      <c r="G71" s="48">
        <f t="shared" ref="G71:K71" si="2">+G70/G69</f>
        <v>1.0692255725595849</v>
      </c>
      <c r="H71" s="48">
        <f t="shared" si="2"/>
        <v>1.1158755847989712</v>
      </c>
      <c r="I71" s="48">
        <f t="shared" si="2"/>
        <v>1.1536565648622628</v>
      </c>
      <c r="J71" s="48">
        <f t="shared" si="2"/>
        <v>1.1942977605562106</v>
      </c>
      <c r="K71" s="130">
        <f t="shared" si="2"/>
        <v>1.2354250147037249</v>
      </c>
      <c r="M71" s="581"/>
    </row>
    <row r="72" spans="2:13">
      <c r="F72" s="24"/>
      <c r="K72" s="24"/>
      <c r="M72" s="581"/>
    </row>
    <row r="73" spans="2:13">
      <c r="F73" s="556" t="s">
        <v>21</v>
      </c>
      <c r="G73" s="557"/>
      <c r="H73" s="557"/>
      <c r="I73" s="557"/>
      <c r="J73" s="558"/>
      <c r="K73" s="131">
        <f>AVERAGE(G71:K71)</f>
        <v>1.1536960994961507</v>
      </c>
      <c r="M73" s="582"/>
    </row>
    <row r="74" spans="2:13">
      <c r="K74" s="106"/>
      <c r="M74" s="492"/>
    </row>
    <row r="75" spans="2:13">
      <c r="M75" s="50"/>
    </row>
    <row r="76" spans="2:13">
      <c r="M76" s="51"/>
    </row>
    <row r="77" spans="2:13">
      <c r="M77" s="51"/>
    </row>
    <row r="78" spans="2:13">
      <c r="M78" s="51"/>
    </row>
  </sheetData>
  <mergeCells count="25">
    <mergeCell ref="M39:M46"/>
    <mergeCell ref="M51:M55"/>
    <mergeCell ref="B13:F13"/>
    <mergeCell ref="B59:E59"/>
    <mergeCell ref="G42:I42"/>
    <mergeCell ref="G46:I46"/>
    <mergeCell ref="G44:I44"/>
    <mergeCell ref="B14:F14"/>
    <mergeCell ref="B24:F24"/>
    <mergeCell ref="B71:E71"/>
    <mergeCell ref="F64:J64"/>
    <mergeCell ref="F73:J73"/>
    <mergeCell ref="M60:M64"/>
    <mergeCell ref="B69:E69"/>
    <mergeCell ref="B60:E60"/>
    <mergeCell ref="B61:E61"/>
    <mergeCell ref="B62:E62"/>
    <mergeCell ref="B68:E68"/>
    <mergeCell ref="B70:E70"/>
    <mergeCell ref="M69:M73"/>
    <mergeCell ref="B8:I8"/>
    <mergeCell ref="B9:I9"/>
    <mergeCell ref="B23:F23"/>
    <mergeCell ref="B18:F18"/>
    <mergeCell ref="B19:F19"/>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rowBreaks count="1" manualBreakCount="1">
    <brk id="3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cols>
    <col min="1" max="1" width="2.42578125" customWidth="1"/>
    <col min="2" max="5" width="9.140625" customWidth="1"/>
    <col min="6" max="16384" width="9.140625" hidden="1"/>
  </cols>
  <sheetData>
    <row r="1" spans="2:2"/>
    <row r="2" spans="2:2">
      <c r="B2" s="1" t="s">
        <v>29</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zoomScaleNormal="100" workbookViewId="0"/>
  </sheetViews>
  <sheetFormatPr defaultColWidth="9.140625" defaultRowHeight="15"/>
  <cols>
    <col min="1" max="1" width="2.42578125" customWidth="1"/>
    <col min="2" max="2" width="42.85546875" customWidth="1"/>
    <col min="3" max="8" width="14.28515625" customWidth="1"/>
    <col min="9" max="9" width="3" style="2" customWidth="1"/>
  </cols>
  <sheetData>
    <row r="2" spans="2:8" ht="21">
      <c r="B2" s="85" t="s">
        <v>33</v>
      </c>
      <c r="C2" s="86"/>
      <c r="D2" s="86"/>
      <c r="E2" s="86"/>
      <c r="F2" s="86"/>
      <c r="G2" s="86"/>
      <c r="H2" s="86"/>
    </row>
    <row r="3" spans="2:8">
      <c r="B3" s="11" t="s">
        <v>0</v>
      </c>
      <c r="C3" s="121" t="s">
        <v>244</v>
      </c>
      <c r="D3" s="17"/>
      <c r="E3" s="17"/>
      <c r="F3" s="17"/>
      <c r="G3" s="17"/>
      <c r="H3" s="17"/>
    </row>
    <row r="4" spans="2:8">
      <c r="B4" s="11" t="s">
        <v>234</v>
      </c>
      <c r="C4" s="122" t="s">
        <v>247</v>
      </c>
      <c r="D4" s="17"/>
      <c r="E4" s="17"/>
      <c r="F4" s="17"/>
      <c r="G4" s="17"/>
      <c r="H4" s="17"/>
    </row>
    <row r="5" spans="2:8">
      <c r="B5" s="114" t="s">
        <v>58</v>
      </c>
      <c r="C5" s="489" t="s">
        <v>248</v>
      </c>
      <c r="D5" s="16"/>
      <c r="E5" s="16"/>
      <c r="F5" s="16"/>
      <c r="G5" s="16"/>
      <c r="H5" s="16"/>
    </row>
    <row r="6" spans="2:8">
      <c r="B6" s="89" t="s">
        <v>59</v>
      </c>
      <c r="C6" s="587" t="s">
        <v>175</v>
      </c>
      <c r="D6" s="587"/>
      <c r="E6" s="587"/>
      <c r="F6" s="587"/>
      <c r="G6" s="587"/>
      <c r="H6" s="587"/>
    </row>
    <row r="7" spans="2:8">
      <c r="B7" s="89"/>
      <c r="C7" s="113"/>
      <c r="D7" s="115" t="s">
        <v>14</v>
      </c>
      <c r="E7" s="115" t="s">
        <v>15</v>
      </c>
      <c r="F7" s="115" t="s">
        <v>16</v>
      </c>
      <c r="G7" s="115" t="s">
        <v>17</v>
      </c>
      <c r="H7" s="115" t="s">
        <v>18</v>
      </c>
    </row>
    <row r="8" spans="2:8">
      <c r="B8" s="89"/>
      <c r="C8" s="113"/>
      <c r="D8" s="116">
        <f>'Input Sheet'!G53</f>
        <v>75.517549628950135</v>
      </c>
      <c r="E8" s="116">
        <f>'Input Sheet'!H53</f>
        <v>78.812359166703374</v>
      </c>
      <c r="F8" s="116">
        <f>'Input Sheet'!I53</f>
        <v>81.480764328515932</v>
      </c>
      <c r="G8" s="116">
        <f>'Input Sheet'!J53</f>
        <v>84.35118156465677</v>
      </c>
      <c r="H8" s="116">
        <f>'Input Sheet'!K53</f>
        <v>87.255928267218707</v>
      </c>
    </row>
    <row r="10" spans="2:8">
      <c r="B10" s="83" t="s">
        <v>39</v>
      </c>
      <c r="C10" s="80"/>
      <c r="D10" s="80"/>
      <c r="E10" s="80"/>
      <c r="F10" s="80"/>
      <c r="G10" s="80"/>
      <c r="H10" s="80"/>
    </row>
    <row r="11" spans="2:8">
      <c r="B11" s="588" t="s">
        <v>235</v>
      </c>
      <c r="C11" s="588"/>
      <c r="D11" s="588"/>
      <c r="E11" s="588"/>
      <c r="F11" s="588"/>
      <c r="G11" s="588"/>
      <c r="H11" s="588"/>
    </row>
    <row r="13" spans="2:8">
      <c r="B13" s="83" t="s">
        <v>246</v>
      </c>
      <c r="C13" s="80"/>
      <c r="D13" s="80"/>
      <c r="E13" s="80"/>
      <c r="F13" s="80"/>
      <c r="G13" s="80"/>
      <c r="H13" s="80"/>
    </row>
    <row r="14" spans="2:8" ht="15" customHeight="1">
      <c r="B14" s="588" t="s">
        <v>49</v>
      </c>
      <c r="C14" s="588"/>
      <c r="D14" s="588"/>
      <c r="E14" s="588"/>
      <c r="F14" s="588"/>
      <c r="G14" s="588"/>
      <c r="H14" s="588"/>
    </row>
    <row r="15" spans="2:8" ht="47.25" customHeight="1">
      <c r="B15" s="589" t="s">
        <v>50</v>
      </c>
      <c r="C15" s="589"/>
      <c r="D15" s="589"/>
      <c r="E15" s="589"/>
      <c r="F15" s="589"/>
      <c r="G15" s="589"/>
      <c r="H15" s="589"/>
    </row>
    <row r="16" spans="2:8" ht="48" customHeight="1">
      <c r="B16" s="589" t="s">
        <v>236</v>
      </c>
      <c r="C16" s="589"/>
      <c r="D16" s="589"/>
      <c r="E16" s="589"/>
      <c r="F16" s="589"/>
      <c r="G16" s="589"/>
      <c r="H16" s="589"/>
    </row>
    <row r="17" spans="2:8" ht="47.25" customHeight="1">
      <c r="B17" s="589" t="s">
        <v>237</v>
      </c>
      <c r="C17" s="589"/>
      <c r="D17" s="589"/>
      <c r="E17" s="589"/>
      <c r="F17" s="589"/>
      <c r="G17" s="589"/>
      <c r="H17" s="589"/>
    </row>
    <row r="19" spans="2:8">
      <c r="B19" s="83" t="s">
        <v>51</v>
      </c>
      <c r="C19" s="80"/>
      <c r="D19" s="80"/>
      <c r="E19" s="80"/>
      <c r="F19" s="80"/>
      <c r="G19" s="80"/>
      <c r="H19" s="80"/>
    </row>
    <row r="20" spans="2:8" ht="64.5" customHeight="1">
      <c r="B20" s="588" t="s">
        <v>249</v>
      </c>
      <c r="C20" s="588"/>
      <c r="D20" s="588"/>
      <c r="E20" s="588"/>
      <c r="F20" s="588"/>
      <c r="G20" s="588"/>
      <c r="H20" s="588"/>
    </row>
    <row r="22" spans="2:8">
      <c r="B22" s="14" t="s">
        <v>54</v>
      </c>
      <c r="C22" s="590" t="s">
        <v>5</v>
      </c>
      <c r="D22" s="591"/>
      <c r="E22" s="13" t="s">
        <v>10</v>
      </c>
      <c r="F22" s="13" t="s">
        <v>11</v>
      </c>
      <c r="G22" s="13" t="s">
        <v>12</v>
      </c>
      <c r="H22" s="111" t="s">
        <v>1</v>
      </c>
    </row>
    <row r="23" spans="2:8">
      <c r="B23" s="15" t="s">
        <v>52</v>
      </c>
      <c r="C23" s="592" t="s">
        <v>55</v>
      </c>
      <c r="D23" s="592"/>
      <c r="E23" s="9">
        <f>+'Input Sheet'!H14</f>
        <v>254936.99</v>
      </c>
      <c r="F23" s="9">
        <f>+'Input Sheet'!I14</f>
        <v>277112</v>
      </c>
      <c r="G23" s="9">
        <f>+'Input Sheet'!J14</f>
        <v>733480</v>
      </c>
      <c r="H23" s="18">
        <f>SUM(E23:G23)</f>
        <v>1265528.99</v>
      </c>
    </row>
    <row r="24" spans="2:8">
      <c r="B24" s="15" t="s">
        <v>22</v>
      </c>
      <c r="C24" s="592" t="s">
        <v>240</v>
      </c>
      <c r="D24" s="592"/>
      <c r="E24" s="490" t="s">
        <v>232</v>
      </c>
      <c r="F24" s="490" t="s">
        <v>232</v>
      </c>
      <c r="G24" s="9">
        <f>'Input Sheet'!J19</f>
        <v>1935644.9253858845</v>
      </c>
      <c r="H24" s="18">
        <f>SUM(E24:G24)</f>
        <v>1935644.9253858845</v>
      </c>
    </row>
    <row r="25" spans="2:8">
      <c r="B25" t="s">
        <v>4</v>
      </c>
      <c r="C25" s="592" t="s">
        <v>241</v>
      </c>
      <c r="D25" s="592"/>
      <c r="E25" s="490" t="s">
        <v>232</v>
      </c>
      <c r="F25" s="490" t="s">
        <v>232</v>
      </c>
      <c r="G25" s="77">
        <f>+'Fee Breakdown'!F19</f>
        <v>64400</v>
      </c>
      <c r="H25" s="79">
        <f>SUM(D25:G25)</f>
        <v>64400</v>
      </c>
    </row>
    <row r="27" spans="2:8">
      <c r="B27" s="83" t="s">
        <v>53</v>
      </c>
      <c r="C27" s="80"/>
      <c r="D27" s="80"/>
      <c r="E27" s="80"/>
      <c r="F27" s="80"/>
      <c r="G27" s="80"/>
      <c r="H27" s="80"/>
    </row>
    <row r="28" spans="2:8" ht="78" customHeight="1">
      <c r="B28" s="588" t="s">
        <v>243</v>
      </c>
      <c r="C28" s="588"/>
      <c r="D28" s="588"/>
      <c r="E28" s="588"/>
      <c r="F28" s="588"/>
      <c r="G28" s="588"/>
      <c r="H28" s="588"/>
    </row>
    <row r="30" spans="2:8">
      <c r="B30" s="12" t="s">
        <v>54</v>
      </c>
      <c r="C30" s="13" t="s">
        <v>14</v>
      </c>
      <c r="D30" s="13" t="s">
        <v>15</v>
      </c>
      <c r="E30" s="13" t="s">
        <v>16</v>
      </c>
      <c r="F30" s="13" t="s">
        <v>17</v>
      </c>
      <c r="G30" s="13" t="s">
        <v>18</v>
      </c>
      <c r="H30" s="111" t="s">
        <v>1</v>
      </c>
    </row>
    <row r="31" spans="2:8">
      <c r="B31" s="15" t="s">
        <v>52</v>
      </c>
      <c r="C31" s="9">
        <f>'Fee Breakdown'!Z11</f>
        <v>5361821.5412050886</v>
      </c>
      <c r="D31" s="9">
        <f>'Fee Breakdown'!AA11</f>
        <v>5875540.1882369034</v>
      </c>
      <c r="E31" s="9">
        <f>'Fee Breakdown'!AB11</f>
        <v>6378232.7508718986</v>
      </c>
      <c r="F31" s="9">
        <f>'Fee Breakdown'!AC11</f>
        <v>6933076.6663438343</v>
      </c>
      <c r="G31" s="9">
        <f>'Fee Breakdown'!AD11</f>
        <v>7530448.3772457764</v>
      </c>
      <c r="H31" s="18">
        <f>SUM(C31:G31)</f>
        <v>32079119.5239035</v>
      </c>
    </row>
    <row r="32" spans="2:8">
      <c r="B32" s="15"/>
      <c r="C32" s="9"/>
      <c r="D32" s="9"/>
      <c r="E32" s="9"/>
      <c r="F32" s="9"/>
      <c r="G32" s="9"/>
      <c r="H32" s="18"/>
    </row>
    <row r="33" spans="2:8">
      <c r="B33" s="15" t="s">
        <v>22</v>
      </c>
      <c r="C33" s="9">
        <f>'Fee Breakdown'!N19</f>
        <v>2367360.3496371186</v>
      </c>
      <c r="D33" s="9">
        <f>'Fee Breakdown'!O19</f>
        <v>2594178.2596526411</v>
      </c>
      <c r="E33" s="9">
        <f>'Fee Breakdown'!P19</f>
        <v>2816127.9145775777</v>
      </c>
      <c r="F33" s="9">
        <f>'Fee Breakdown'!Q19</f>
        <v>3061103.521399145</v>
      </c>
      <c r="G33" s="9">
        <f>'Fee Breakdown'!R19</f>
        <v>3324856.0710720872</v>
      </c>
      <c r="H33" s="18">
        <f>SUM(C33:G33)</f>
        <v>14163626.11633857</v>
      </c>
    </row>
    <row r="34" spans="2:8">
      <c r="B34" s="15" t="s">
        <v>23</v>
      </c>
      <c r="C34" s="9">
        <f>'Fee Breakdown'!T19</f>
        <v>2777984.5737251504</v>
      </c>
      <c r="D34" s="9">
        <f>'Fee Breakdown'!U19</f>
        <v>3268673.6353904479</v>
      </c>
      <c r="E34" s="9">
        <f>'Fee Breakdown'!V19</f>
        <v>3579417.3146205177</v>
      </c>
      <c r="F34" s="9">
        <f>'Fee Breakdown'!W19</f>
        <v>3971402.6065467326</v>
      </c>
      <c r="G34" s="9">
        <f>'Fee Breakdown'!X19</f>
        <v>4397450.0121023664</v>
      </c>
      <c r="H34" s="18">
        <f>SUM(C34:G34)</f>
        <v>17994928.142385215</v>
      </c>
    </row>
    <row r="35" spans="2:8" ht="15.75" thickBot="1">
      <c r="B35" s="81" t="s">
        <v>43</v>
      </c>
      <c r="C35" s="82">
        <f>SUM(C33:C34)</f>
        <v>5145344.9233622691</v>
      </c>
      <c r="D35" s="82">
        <f t="shared" ref="D35:H35" si="0">SUM(D33:D34)</f>
        <v>5862851.8950430891</v>
      </c>
      <c r="E35" s="82">
        <f t="shared" si="0"/>
        <v>6395545.2291980954</v>
      </c>
      <c r="F35" s="82">
        <f t="shared" si="0"/>
        <v>7032506.1279458776</v>
      </c>
      <c r="G35" s="82">
        <f t="shared" si="0"/>
        <v>7722306.083174454</v>
      </c>
      <c r="H35" s="82">
        <f t="shared" si="0"/>
        <v>32158554.258723784</v>
      </c>
    </row>
    <row r="36" spans="2:8">
      <c r="B36" s="15"/>
      <c r="C36" s="9"/>
      <c r="D36" s="9"/>
      <c r="E36" s="9"/>
      <c r="F36" s="9"/>
      <c r="G36" s="9"/>
      <c r="H36" s="18"/>
    </row>
    <row r="37" spans="2:8">
      <c r="B37" t="s">
        <v>4</v>
      </c>
      <c r="C37" s="109">
        <f>'Fee Breakdown'!H19</f>
        <v>71001</v>
      </c>
      <c r="D37" s="109">
        <f>'Fee Breakdown'!I19</f>
        <v>74551</v>
      </c>
      <c r="E37" s="109">
        <f>'Fee Breakdown'!J19</f>
        <v>78279</v>
      </c>
      <c r="F37" s="109">
        <f>'Fee Breakdown'!K19</f>
        <v>82193</v>
      </c>
      <c r="G37" s="109">
        <f>'Fee Breakdown'!L19</f>
        <v>86303</v>
      </c>
      <c r="H37" s="110">
        <f>SUM(C37:G37)</f>
        <v>392327</v>
      </c>
    </row>
    <row r="38" spans="2:8">
      <c r="C38" s="3"/>
      <c r="D38" s="4"/>
      <c r="E38" s="3"/>
      <c r="F38" s="3"/>
      <c r="G38" s="3"/>
    </row>
    <row r="39" spans="2:8">
      <c r="B39" s="83" t="s">
        <v>40</v>
      </c>
      <c r="C39" s="80"/>
      <c r="D39" s="80"/>
      <c r="E39" s="80"/>
      <c r="F39" s="80"/>
      <c r="G39" s="80"/>
      <c r="H39" s="80"/>
    </row>
    <row r="40" spans="2:8" ht="63.75" customHeight="1">
      <c r="B40" s="588" t="s">
        <v>242</v>
      </c>
      <c r="C40" s="588"/>
      <c r="D40" s="588"/>
      <c r="E40" s="588"/>
      <c r="F40" s="588"/>
      <c r="G40" s="588"/>
      <c r="H40" s="588"/>
    </row>
    <row r="42" spans="2:8">
      <c r="B42" s="12" t="s">
        <v>54</v>
      </c>
      <c r="C42" s="13" t="s">
        <v>14</v>
      </c>
      <c r="D42" s="13" t="s">
        <v>15</v>
      </c>
      <c r="E42" s="13" t="s">
        <v>16</v>
      </c>
      <c r="F42" s="13" t="s">
        <v>17</v>
      </c>
      <c r="G42" s="13" t="s">
        <v>18</v>
      </c>
      <c r="H42" s="111" t="s">
        <v>42</v>
      </c>
    </row>
    <row r="43" spans="2:8">
      <c r="B43" t="s">
        <v>41</v>
      </c>
      <c r="C43" s="8">
        <f>+'Input Sheet'!G62</f>
        <v>2.1734523534412387</v>
      </c>
      <c r="D43" s="8">
        <f>+'Input Sheet'!H62</f>
        <v>2.2600034801880273</v>
      </c>
      <c r="E43" s="8">
        <f>+'Input Sheet'!I62</f>
        <v>2.2710421625707418</v>
      </c>
      <c r="F43" s="8">
        <f>+'Input Sheet'!J62</f>
        <v>2.2973761190315822</v>
      </c>
      <c r="G43" s="8">
        <f>+'Input Sheet'!K62</f>
        <v>2.3225986082111594</v>
      </c>
      <c r="H43" s="78">
        <f>AVERAGE(C43:G43)</f>
        <v>2.2648945446885498</v>
      </c>
    </row>
  </sheetData>
  <mergeCells count="13">
    <mergeCell ref="C6:H6"/>
    <mergeCell ref="B40:H40"/>
    <mergeCell ref="B14:H14"/>
    <mergeCell ref="B11:H11"/>
    <mergeCell ref="B15:H15"/>
    <mergeCell ref="B16:H16"/>
    <mergeCell ref="B20:H20"/>
    <mergeCell ref="B17:H17"/>
    <mergeCell ref="B28:H28"/>
    <mergeCell ref="C22:D22"/>
    <mergeCell ref="C23:D23"/>
    <mergeCell ref="C24:D24"/>
    <mergeCell ref="C25:D25"/>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c r="B2" s="85" t="s">
        <v>32</v>
      </c>
      <c r="C2" s="85"/>
      <c r="D2" s="84"/>
      <c r="E2" s="84"/>
      <c r="F2" s="84"/>
      <c r="G2" s="84"/>
      <c r="H2" s="84"/>
      <c r="I2" s="84"/>
      <c r="J2" s="84"/>
      <c r="K2" s="84"/>
    </row>
    <row r="3" spans="2:13">
      <c r="B3" s="14" t="s">
        <v>0</v>
      </c>
      <c r="C3" s="12"/>
      <c r="D3" s="594" t="str">
        <f>'AER Summary'!C3</f>
        <v>Reconnections/Disconnections (Site Visit)</v>
      </c>
      <c r="E3" s="595"/>
      <c r="F3" s="595"/>
      <c r="G3" s="595"/>
      <c r="H3" s="595"/>
      <c r="I3" s="595"/>
      <c r="J3" s="595"/>
      <c r="K3" s="595"/>
      <c r="M3" s="6"/>
    </row>
    <row r="4" spans="2:13">
      <c r="M4" s="6"/>
    </row>
    <row r="5" spans="2:13">
      <c r="B5" s="83" t="s">
        <v>56</v>
      </c>
      <c r="C5" s="83"/>
      <c r="D5" s="83"/>
      <c r="E5" s="83"/>
      <c r="F5" s="83"/>
      <c r="G5" s="83"/>
      <c r="H5" s="83"/>
      <c r="I5" s="83"/>
      <c r="J5" s="83"/>
      <c r="K5" s="83"/>
      <c r="M5" s="7"/>
    </row>
    <row r="6" spans="2:13" ht="117" customHeight="1">
      <c r="B6" s="588" t="s">
        <v>250</v>
      </c>
      <c r="C6" s="588"/>
      <c r="D6" s="588"/>
      <c r="E6" s="588"/>
      <c r="F6" s="588"/>
      <c r="G6" s="588"/>
      <c r="H6" s="588"/>
      <c r="I6" s="588"/>
      <c r="J6" s="588"/>
      <c r="K6" s="588"/>
      <c r="M6" s="7"/>
    </row>
    <row r="8" spans="2:13">
      <c r="B8" s="83" t="s">
        <v>7</v>
      </c>
      <c r="C8" s="83"/>
      <c r="D8" s="83"/>
      <c r="E8" s="83"/>
      <c r="F8" s="83"/>
      <c r="G8" s="83"/>
      <c r="H8" s="83"/>
      <c r="I8" s="83"/>
      <c r="J8" s="83"/>
      <c r="K8" s="83"/>
    </row>
    <row r="9" spans="2:13" ht="15" customHeight="1">
      <c r="B9" s="596" t="s">
        <v>235</v>
      </c>
      <c r="C9" s="596"/>
      <c r="D9" s="596"/>
      <c r="E9" s="596"/>
      <c r="F9" s="596"/>
      <c r="G9" s="596"/>
      <c r="H9" s="596"/>
      <c r="I9" s="596"/>
      <c r="J9" s="596"/>
      <c r="K9" s="596"/>
    </row>
    <row r="11" spans="2:13">
      <c r="B11" s="83" t="s">
        <v>57</v>
      </c>
      <c r="C11" s="83"/>
      <c r="D11" s="83"/>
      <c r="E11" s="83"/>
      <c r="F11" s="83"/>
      <c r="G11" s="83"/>
      <c r="H11" s="83"/>
      <c r="I11" s="83"/>
      <c r="J11" s="83"/>
      <c r="K11" s="83"/>
    </row>
    <row r="12" spans="2:13" ht="241.5" customHeight="1">
      <c r="B12" s="593" t="s">
        <v>252</v>
      </c>
      <c r="C12" s="593"/>
      <c r="D12" s="593"/>
      <c r="E12" s="593"/>
      <c r="F12" s="593"/>
      <c r="G12" s="593"/>
      <c r="H12" s="593"/>
      <c r="I12" s="593"/>
      <c r="J12" s="593"/>
      <c r="K12" s="593"/>
    </row>
    <row r="13" spans="2:13">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26"/>
  <sheetViews>
    <sheetView showGridLines="0" zoomScaleNormal="100" workbookViewId="0"/>
  </sheetViews>
  <sheetFormatPr defaultColWidth="9.140625" defaultRowHeight="12.75"/>
  <cols>
    <col min="1" max="1" width="2.5703125" style="22" customWidth="1"/>
    <col min="2" max="2" width="57.28515625" style="22" bestFit="1" customWidth="1"/>
    <col min="3" max="6" width="11.42578125" style="22" customWidth="1"/>
    <col min="7" max="7" width="2.85546875" style="22" customWidth="1"/>
    <col min="8" max="9" width="11.42578125" style="22" customWidth="1"/>
    <col min="10" max="12" width="11.42578125" style="43" customWidth="1"/>
    <col min="13" max="13" width="2.85546875" style="43" customWidth="1"/>
    <col min="14" max="18" width="11.42578125" style="43" customWidth="1"/>
    <col min="19" max="19" width="3.7109375" style="55" customWidth="1"/>
    <col min="20" max="24" width="11.42578125" style="56" customWidth="1"/>
    <col min="25" max="25" width="3.7109375" style="22" customWidth="1"/>
    <col min="26" max="30" width="11.42578125" style="22" customWidth="1"/>
    <col min="31" max="31" width="2.85546875" style="22" customWidth="1"/>
    <col min="32" max="61" width="9.140625" style="22" customWidth="1"/>
    <col min="62" max="16384" width="9.140625" style="22"/>
  </cols>
  <sheetData>
    <row r="2" spans="2:31" ht="21">
      <c r="B2" s="95" t="s">
        <v>34</v>
      </c>
      <c r="C2" s="96"/>
      <c r="D2" s="96"/>
      <c r="E2" s="96"/>
      <c r="F2" s="96"/>
      <c r="G2" s="96"/>
      <c r="H2" s="96"/>
      <c r="I2" s="96"/>
      <c r="J2" s="97"/>
      <c r="K2" s="97"/>
      <c r="L2" s="97"/>
      <c r="M2" s="97"/>
      <c r="N2" s="97"/>
      <c r="O2" s="97"/>
      <c r="P2" s="97"/>
      <c r="Q2" s="97"/>
      <c r="R2" s="97"/>
      <c r="S2" s="97"/>
      <c r="T2" s="97"/>
      <c r="U2" s="97"/>
      <c r="V2" s="97"/>
      <c r="W2" s="97"/>
      <c r="X2" s="97"/>
      <c r="Y2" s="97"/>
      <c r="Z2" s="97"/>
      <c r="AA2" s="97"/>
      <c r="AB2" s="97"/>
      <c r="AC2" s="97"/>
      <c r="AD2" s="97"/>
    </row>
    <row r="3" spans="2:31" ht="15">
      <c r="B3" s="53" t="s">
        <v>0</v>
      </c>
      <c r="C3" s="54" t="str">
        <f>+'AER Summary'!C3</f>
        <v>Reconnections/Disconnections (Site Visit)</v>
      </c>
      <c r="D3" s="54"/>
      <c r="E3" s="54"/>
      <c r="F3" s="54"/>
      <c r="G3" s="54"/>
      <c r="H3" s="54"/>
      <c r="I3" s="54"/>
      <c r="J3" s="54"/>
      <c r="K3" s="54"/>
      <c r="L3" s="54"/>
      <c r="M3" s="54"/>
      <c r="N3" s="54"/>
      <c r="O3" s="54"/>
      <c r="P3" s="54"/>
      <c r="Q3" s="54"/>
      <c r="R3" s="54"/>
      <c r="S3" s="54"/>
      <c r="T3" s="54"/>
      <c r="U3" s="54"/>
      <c r="V3" s="54"/>
      <c r="W3" s="54"/>
      <c r="X3" s="54"/>
      <c r="Y3" s="54"/>
      <c r="Z3" s="54"/>
      <c r="AA3" s="54"/>
      <c r="AB3" s="54"/>
      <c r="AC3" s="54"/>
      <c r="AD3" s="54"/>
    </row>
    <row r="5" spans="2:31" ht="15">
      <c r="B5" s="83" t="str">
        <f>"Proposed "&amp;'AER Summary'!C3&amp;" Fees &amp; Revenue"</f>
        <v>Proposed Reconnections/Disconnections (Site Visit) Fees &amp; Revenue</v>
      </c>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row>
    <row r="6" spans="2:31">
      <c r="M6" s="73"/>
      <c r="N6" s="72"/>
      <c r="O6" s="72"/>
      <c r="P6" s="72"/>
      <c r="Q6" s="72"/>
      <c r="R6" s="72"/>
      <c r="T6" s="49"/>
      <c r="U6" s="49"/>
      <c r="V6" s="49"/>
      <c r="W6" s="49"/>
      <c r="X6" s="49"/>
    </row>
    <row r="7" spans="2:31">
      <c r="C7" s="603" t="s">
        <v>6</v>
      </c>
      <c r="D7" s="604"/>
      <c r="E7" s="604"/>
      <c r="F7" s="605"/>
      <c r="H7" s="606" t="s">
        <v>47</v>
      </c>
      <c r="I7" s="607"/>
      <c r="J7" s="607"/>
      <c r="K7" s="607"/>
      <c r="L7" s="608"/>
      <c r="M7" s="57"/>
      <c r="N7" s="72"/>
      <c r="O7" s="72"/>
      <c r="P7" s="72"/>
      <c r="Q7" s="72"/>
      <c r="R7" s="72"/>
      <c r="Y7" s="94"/>
      <c r="Z7" s="606" t="s">
        <v>61</v>
      </c>
      <c r="AA7" s="607"/>
      <c r="AB7" s="607"/>
      <c r="AC7" s="607"/>
      <c r="AD7" s="608"/>
      <c r="AE7" s="94"/>
    </row>
    <row r="8" spans="2:31" ht="38.25">
      <c r="B8" s="58" t="s">
        <v>8</v>
      </c>
      <c r="C8" s="74"/>
      <c r="D8" s="75"/>
      <c r="E8" s="75" t="s">
        <v>44</v>
      </c>
      <c r="F8" s="76" t="s">
        <v>35</v>
      </c>
      <c r="H8" s="60" t="s">
        <v>14</v>
      </c>
      <c r="I8" s="61" t="s">
        <v>15</v>
      </c>
      <c r="J8" s="61" t="s">
        <v>16</v>
      </c>
      <c r="K8" s="61" t="s">
        <v>17</v>
      </c>
      <c r="L8" s="62" t="s">
        <v>18</v>
      </c>
      <c r="M8" s="59"/>
      <c r="N8" s="72"/>
      <c r="O8" s="72"/>
      <c r="P8" s="72"/>
      <c r="Q8" s="72"/>
      <c r="R8" s="72"/>
      <c r="S8" s="49"/>
      <c r="Y8" s="119"/>
      <c r="Z8" s="60" t="s">
        <v>14</v>
      </c>
      <c r="AA8" s="61" t="s">
        <v>15</v>
      </c>
      <c r="AB8" s="61" t="s">
        <v>16</v>
      </c>
      <c r="AC8" s="61" t="s">
        <v>17</v>
      </c>
      <c r="AD8" s="62" t="s">
        <v>18</v>
      </c>
      <c r="AE8" s="94"/>
    </row>
    <row r="9" spans="2:31">
      <c r="B9" s="63" t="str">
        <f>'AER Summary'!C3</f>
        <v>Reconnections/Disconnections (Site Visit)</v>
      </c>
      <c r="C9" s="137"/>
      <c r="D9" s="64"/>
      <c r="E9" s="138">
        <f>'Input Sheet'!J9</f>
        <v>48.4</v>
      </c>
      <c r="F9" s="139">
        <f>'Input Sheet'!K9</f>
        <v>43.999999999999993</v>
      </c>
      <c r="G9" s="67"/>
      <c r="H9" s="134">
        <f>+'Input Sheet'!G53</f>
        <v>75.517549628950135</v>
      </c>
      <c r="I9" s="135">
        <f>+'Input Sheet'!H53</f>
        <v>78.812359166703374</v>
      </c>
      <c r="J9" s="135">
        <f>+'Input Sheet'!I53</f>
        <v>81.480764328515932</v>
      </c>
      <c r="K9" s="135">
        <f>+'Input Sheet'!J53</f>
        <v>84.35118156465677</v>
      </c>
      <c r="L9" s="136">
        <f>+'Input Sheet'!K53</f>
        <v>87.255928267218707</v>
      </c>
      <c r="M9" s="65"/>
      <c r="N9" s="49"/>
      <c r="O9" s="49"/>
      <c r="P9" s="49"/>
      <c r="Q9" s="49"/>
      <c r="R9" s="49"/>
      <c r="S9" s="66"/>
      <c r="Y9" s="94"/>
      <c r="Z9" s="462">
        <f>+H9*H17</f>
        <v>5361821.5412050886</v>
      </c>
      <c r="AA9" s="463">
        <f t="shared" ref="AA9:AD9" si="0">+I9*I17</f>
        <v>5875540.1882369034</v>
      </c>
      <c r="AB9" s="463">
        <f t="shared" si="0"/>
        <v>6378232.7508718986</v>
      </c>
      <c r="AC9" s="463">
        <f t="shared" si="0"/>
        <v>6933076.6663438343</v>
      </c>
      <c r="AD9" s="464">
        <f t="shared" si="0"/>
        <v>7530448.3772457764</v>
      </c>
      <c r="AE9" s="94"/>
    </row>
    <row r="10" spans="2:31">
      <c r="B10" s="70"/>
      <c r="C10" s="140"/>
      <c r="D10" s="46"/>
      <c r="E10" s="46"/>
      <c r="F10" s="71"/>
      <c r="G10" s="68"/>
      <c r="H10" s="90"/>
      <c r="I10" s="87"/>
      <c r="J10" s="87"/>
      <c r="K10" s="87"/>
      <c r="L10" s="88"/>
      <c r="M10" s="69"/>
      <c r="N10" s="72"/>
      <c r="O10" s="72"/>
      <c r="P10" s="72"/>
      <c r="Q10" s="72"/>
      <c r="R10" s="72"/>
      <c r="S10" s="66"/>
      <c r="Y10" s="94"/>
      <c r="Z10" s="466"/>
      <c r="AA10" s="467"/>
      <c r="AB10" s="467"/>
      <c r="AC10" s="467"/>
      <c r="AD10" s="468"/>
      <c r="AE10" s="94"/>
    </row>
    <row r="11" spans="2:31">
      <c r="C11" s="69"/>
      <c r="D11" s="45"/>
      <c r="E11" s="45"/>
      <c r="F11" s="45"/>
      <c r="G11" s="68"/>
      <c r="H11" s="68"/>
      <c r="I11" s="68"/>
      <c r="J11" s="72"/>
      <c r="K11" s="72"/>
      <c r="L11" s="72"/>
      <c r="M11" s="72"/>
      <c r="N11" s="72"/>
      <c r="O11" s="72"/>
      <c r="P11" s="72"/>
      <c r="Q11" s="72"/>
      <c r="R11" s="72"/>
      <c r="T11" s="22"/>
      <c r="U11" s="22"/>
      <c r="V11" s="22"/>
      <c r="W11" s="22"/>
      <c r="X11" s="22"/>
      <c r="Y11" s="94"/>
      <c r="Z11" s="469">
        <f>SUM(Z9:Z10)</f>
        <v>5361821.5412050886</v>
      </c>
      <c r="AA11" s="470">
        <f>SUM(AA9:AA10)</f>
        <v>5875540.1882369034</v>
      </c>
      <c r="AB11" s="470">
        <f>SUM(AB9:AB10)</f>
        <v>6378232.7508718986</v>
      </c>
      <c r="AC11" s="470">
        <f>SUM(AC9:AC10)</f>
        <v>6933076.6663438343</v>
      </c>
      <c r="AD11" s="471">
        <f>SUM(AD9:AD10)</f>
        <v>7530448.3772457764</v>
      </c>
      <c r="AE11" s="94"/>
    </row>
    <row r="12" spans="2:31">
      <c r="C12" s="69"/>
      <c r="D12" s="45"/>
      <c r="E12" s="45"/>
      <c r="F12" s="45"/>
      <c r="G12" s="117"/>
      <c r="H12" s="117"/>
      <c r="I12" s="117"/>
      <c r="J12" s="72"/>
      <c r="K12" s="72"/>
      <c r="L12" s="72"/>
      <c r="M12" s="72"/>
      <c r="N12" s="72"/>
      <c r="O12" s="72"/>
      <c r="P12" s="72"/>
      <c r="Q12" s="72"/>
      <c r="R12" s="72"/>
      <c r="T12" s="118"/>
      <c r="U12" s="118"/>
      <c r="V12" s="118"/>
      <c r="W12" s="118"/>
      <c r="X12" s="118"/>
      <c r="Y12" s="94"/>
      <c r="Z12" s="118"/>
      <c r="AA12" s="118"/>
      <c r="AB12" s="118"/>
      <c r="AC12" s="118"/>
      <c r="AD12" s="118"/>
      <c r="AE12" s="94"/>
    </row>
    <row r="13" spans="2:31" ht="15">
      <c r="B13" s="83" t="s">
        <v>60</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row>
    <row r="14" spans="2:31">
      <c r="M14" s="73"/>
      <c r="T14" s="112"/>
      <c r="U14" s="112"/>
      <c r="V14" s="112"/>
      <c r="W14" s="112"/>
      <c r="X14" s="112"/>
    </row>
    <row r="15" spans="2:31" s="55" customFormat="1">
      <c r="C15" s="597" t="s">
        <v>36</v>
      </c>
      <c r="D15" s="598"/>
      <c r="E15" s="598"/>
      <c r="F15" s="599"/>
      <c r="G15" s="22"/>
      <c r="H15" s="600" t="s">
        <v>48</v>
      </c>
      <c r="I15" s="601"/>
      <c r="J15" s="601"/>
      <c r="K15" s="601"/>
      <c r="L15" s="602"/>
      <c r="N15" s="609" t="s">
        <v>38</v>
      </c>
      <c r="O15" s="610"/>
      <c r="P15" s="610"/>
      <c r="Q15" s="610"/>
      <c r="R15" s="611"/>
      <c r="T15" s="597" t="s">
        <v>37</v>
      </c>
      <c r="U15" s="598"/>
      <c r="V15" s="598"/>
      <c r="W15" s="598"/>
      <c r="X15" s="599"/>
      <c r="Z15" s="597" t="s">
        <v>26</v>
      </c>
      <c r="AA15" s="598"/>
      <c r="AB15" s="598"/>
      <c r="AC15" s="598"/>
      <c r="AD15" s="599"/>
    </row>
    <row r="16" spans="2:31" s="55" customFormat="1">
      <c r="B16" s="58" t="s">
        <v>8</v>
      </c>
      <c r="C16" s="60" t="s">
        <v>9</v>
      </c>
      <c r="D16" s="61" t="s">
        <v>10</v>
      </c>
      <c r="E16" s="61" t="s">
        <v>11</v>
      </c>
      <c r="F16" s="62" t="s">
        <v>12</v>
      </c>
      <c r="G16" s="22"/>
      <c r="H16" s="91" t="s">
        <v>14</v>
      </c>
      <c r="I16" s="92" t="s">
        <v>15</v>
      </c>
      <c r="J16" s="92" t="s">
        <v>16</v>
      </c>
      <c r="K16" s="92" t="s">
        <v>17</v>
      </c>
      <c r="L16" s="93" t="s">
        <v>18</v>
      </c>
      <c r="N16" s="60" t="s">
        <v>14</v>
      </c>
      <c r="O16" s="61" t="s">
        <v>15</v>
      </c>
      <c r="P16" s="61" t="s">
        <v>16</v>
      </c>
      <c r="Q16" s="61" t="s">
        <v>17</v>
      </c>
      <c r="R16" s="62" t="s">
        <v>18</v>
      </c>
      <c r="S16" s="49"/>
      <c r="T16" s="60" t="s">
        <v>14</v>
      </c>
      <c r="U16" s="61" t="s">
        <v>15</v>
      </c>
      <c r="V16" s="61" t="s">
        <v>16</v>
      </c>
      <c r="W16" s="61" t="s">
        <v>17</v>
      </c>
      <c r="X16" s="62" t="s">
        <v>18</v>
      </c>
      <c r="Y16" s="49"/>
      <c r="Z16" s="91" t="s">
        <v>14</v>
      </c>
      <c r="AA16" s="92" t="s">
        <v>15</v>
      </c>
      <c r="AB16" s="92" t="s">
        <v>16</v>
      </c>
      <c r="AC16" s="92" t="s">
        <v>17</v>
      </c>
      <c r="AD16" s="93" t="s">
        <v>18</v>
      </c>
    </row>
    <row r="17" spans="2:30" s="55" customFormat="1">
      <c r="B17" s="63" t="str">
        <f>'AER Summary'!C3</f>
        <v>Reconnections/Disconnections (Site Visit)</v>
      </c>
      <c r="C17" s="476"/>
      <c r="D17" s="477"/>
      <c r="E17" s="477"/>
      <c r="F17" s="478">
        <f>'Input Sheet'!J24</f>
        <v>64400</v>
      </c>
      <c r="G17" s="153"/>
      <c r="H17" s="462">
        <f>'Input Sheet'!G29</f>
        <v>71001</v>
      </c>
      <c r="I17" s="463">
        <f>'Input Sheet'!H29</f>
        <v>74551</v>
      </c>
      <c r="J17" s="463">
        <f>'Input Sheet'!I29</f>
        <v>78279</v>
      </c>
      <c r="K17" s="463">
        <f>'Input Sheet'!J29</f>
        <v>82193</v>
      </c>
      <c r="L17" s="464">
        <f>'Input Sheet'!K29</f>
        <v>86303</v>
      </c>
      <c r="N17" s="462">
        <f>+H17*'Input Sheet'!G52</f>
        <v>2367360.3496371186</v>
      </c>
      <c r="O17" s="463">
        <f>+I17*'Input Sheet'!H52</f>
        <v>2594178.2596526411</v>
      </c>
      <c r="P17" s="463">
        <f>+J17*'Input Sheet'!I52</f>
        <v>2816127.9145775777</v>
      </c>
      <c r="Q17" s="463">
        <f>+K17*'Input Sheet'!J52</f>
        <v>3061103.521399145</v>
      </c>
      <c r="R17" s="464">
        <f>+L17*'Input Sheet'!K52</f>
        <v>3324856.0710720872</v>
      </c>
      <c r="S17" s="465"/>
      <c r="T17" s="462">
        <f>+N17*('Input Sheet'!G$62-1)</f>
        <v>2777984.5737251504</v>
      </c>
      <c r="U17" s="463">
        <f>+O17*('Input Sheet'!H$62-1)</f>
        <v>3268673.6353904479</v>
      </c>
      <c r="V17" s="463">
        <f>+P17*('Input Sheet'!I$62-1)</f>
        <v>3579417.3146205177</v>
      </c>
      <c r="W17" s="463">
        <f>+Q17*('Input Sheet'!J$62-1)</f>
        <v>3971402.6065467326</v>
      </c>
      <c r="X17" s="464">
        <f>+R17*('Input Sheet'!K$62-1)</f>
        <v>4397450.0121023664</v>
      </c>
      <c r="Y17" s="465"/>
      <c r="Z17" s="462">
        <f>+N17+T17</f>
        <v>5145344.9233622691</v>
      </c>
      <c r="AA17" s="463">
        <f t="shared" ref="AA17" si="1">+O17+U17</f>
        <v>5862851.8950430891</v>
      </c>
      <c r="AB17" s="463">
        <f t="shared" ref="AB17" si="2">+P17+V17</f>
        <v>6395545.2291980954</v>
      </c>
      <c r="AC17" s="463">
        <f t="shared" ref="AC17" si="3">+Q17+W17</f>
        <v>7032506.1279458776</v>
      </c>
      <c r="AD17" s="464">
        <f t="shared" ref="AD17" si="4">+R17+X17</f>
        <v>7722306.083174454</v>
      </c>
    </row>
    <row r="18" spans="2:30" s="55" customFormat="1">
      <c r="B18" s="70"/>
      <c r="C18" s="479"/>
      <c r="D18" s="480"/>
      <c r="E18" s="480"/>
      <c r="F18" s="481"/>
      <c r="G18" s="153"/>
      <c r="H18" s="479"/>
      <c r="I18" s="480"/>
      <c r="J18" s="480"/>
      <c r="K18" s="480"/>
      <c r="L18" s="481"/>
      <c r="N18" s="466"/>
      <c r="O18" s="467"/>
      <c r="P18" s="467"/>
      <c r="Q18" s="467"/>
      <c r="R18" s="468"/>
      <c r="S18" s="465"/>
      <c r="T18" s="466"/>
      <c r="U18" s="467"/>
      <c r="V18" s="467"/>
      <c r="W18" s="467"/>
      <c r="X18" s="468"/>
      <c r="Y18" s="465"/>
      <c r="Z18" s="466"/>
      <c r="AA18" s="467"/>
      <c r="AB18" s="467"/>
      <c r="AC18" s="467"/>
      <c r="AD18" s="468"/>
    </row>
    <row r="19" spans="2:30" s="55" customFormat="1">
      <c r="C19" s="482"/>
      <c r="D19" s="483"/>
      <c r="E19" s="483"/>
      <c r="F19" s="484">
        <f>SUM(F17:F18)</f>
        <v>64400</v>
      </c>
      <c r="G19" s="485"/>
      <c r="H19" s="486">
        <f>SUM(H17:H18)</f>
        <v>71001</v>
      </c>
      <c r="I19" s="487">
        <f>SUM(I17:I18)</f>
        <v>74551</v>
      </c>
      <c r="J19" s="487">
        <f>SUM(J17:J18)</f>
        <v>78279</v>
      </c>
      <c r="K19" s="487">
        <f>SUM(K17:K18)</f>
        <v>82193</v>
      </c>
      <c r="L19" s="488">
        <f>SUM(L17:L18)</f>
        <v>86303</v>
      </c>
      <c r="N19" s="469">
        <f>SUM(N17:N18)</f>
        <v>2367360.3496371186</v>
      </c>
      <c r="O19" s="470">
        <f>SUM(O17:O18)</f>
        <v>2594178.2596526411</v>
      </c>
      <c r="P19" s="470">
        <f>SUM(P17:P18)</f>
        <v>2816127.9145775777</v>
      </c>
      <c r="Q19" s="470">
        <f>SUM(Q17:Q18)</f>
        <v>3061103.521399145</v>
      </c>
      <c r="R19" s="471">
        <f>SUM(R17:R18)</f>
        <v>3324856.0710720872</v>
      </c>
      <c r="S19" s="465"/>
      <c r="T19" s="472">
        <f>SUM(T17:T18)</f>
        <v>2777984.5737251504</v>
      </c>
      <c r="U19" s="473">
        <f>SUM(U17:U18)</f>
        <v>3268673.6353904479</v>
      </c>
      <c r="V19" s="473">
        <f>SUM(V17:V18)</f>
        <v>3579417.3146205177</v>
      </c>
      <c r="W19" s="473">
        <f>SUM(W17:W18)</f>
        <v>3971402.6065467326</v>
      </c>
      <c r="X19" s="474">
        <f>SUM(X17:X18)</f>
        <v>4397450.0121023664</v>
      </c>
      <c r="Y19" s="465"/>
      <c r="Z19" s="472">
        <f>SUM(Z17:Z18)</f>
        <v>5145344.9233622691</v>
      </c>
      <c r="AA19" s="473">
        <f>SUM(AA17:AA18)</f>
        <v>5862851.8950430891</v>
      </c>
      <c r="AB19" s="473">
        <f>SUM(AB17:AB18)</f>
        <v>6395545.2291980954</v>
      </c>
      <c r="AC19" s="473">
        <f>SUM(AC17:AC18)</f>
        <v>7032506.1279458776</v>
      </c>
      <c r="AD19" s="474">
        <f>SUM(AD17:AD18)</f>
        <v>7722306.083174454</v>
      </c>
    </row>
    <row r="20" spans="2:30" s="55" customFormat="1">
      <c r="C20" s="106"/>
      <c r="D20" s="106"/>
      <c r="E20" s="106"/>
      <c r="F20" s="106"/>
      <c r="G20" s="106"/>
      <c r="H20" s="106"/>
      <c r="I20" s="106"/>
      <c r="J20" s="106"/>
      <c r="K20" s="106"/>
      <c r="L20" s="106"/>
      <c r="N20" s="465"/>
      <c r="O20" s="465"/>
      <c r="P20" s="465"/>
      <c r="Q20" s="465"/>
      <c r="R20" s="465"/>
      <c r="S20" s="465"/>
      <c r="T20" s="465"/>
      <c r="U20" s="465"/>
      <c r="V20" s="465"/>
      <c r="W20" s="465"/>
      <c r="X20" s="465"/>
      <c r="Y20" s="465"/>
      <c r="Z20" s="465"/>
      <c r="AA20" s="465"/>
      <c r="AB20" s="465"/>
      <c r="AC20" s="465"/>
      <c r="AD20" s="465"/>
    </row>
    <row r="21" spans="2:30" s="55" customFormat="1">
      <c r="T21" s="49"/>
      <c r="U21" s="49"/>
      <c r="V21" s="49"/>
      <c r="W21" s="49"/>
      <c r="X21" s="49"/>
    </row>
    <row r="22" spans="2:30">
      <c r="H22" s="141"/>
      <c r="I22" s="141"/>
      <c r="J22" s="141"/>
      <c r="K22" s="141"/>
      <c r="L22" s="141"/>
      <c r="Z22" s="120"/>
      <c r="AA22" s="120"/>
      <c r="AB22" s="120"/>
      <c r="AC22" s="120"/>
      <c r="AD22" s="120"/>
    </row>
    <row r="23" spans="2:30">
      <c r="AD23" s="120"/>
    </row>
    <row r="24" spans="2:30">
      <c r="AD24" s="120"/>
    </row>
    <row r="25" spans="2:30">
      <c r="AD25" s="142"/>
    </row>
    <row r="26" spans="2:30">
      <c r="AD26" s="120"/>
    </row>
  </sheetData>
  <mergeCells count="8">
    <mergeCell ref="Z15:AD15"/>
    <mergeCell ref="C15:F15"/>
    <mergeCell ref="H15:L15"/>
    <mergeCell ref="C7:F7"/>
    <mergeCell ref="H7:L7"/>
    <mergeCell ref="Z7:AD7"/>
    <mergeCell ref="N15:R15"/>
    <mergeCell ref="T15:X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Input Documents --&gt;</vt:lpstr>
      <vt:lpstr>Market Ops % Opex Allocations</vt:lpstr>
      <vt:lpstr>Market Ops Unit Rates</vt:lpstr>
      <vt:lpstr>Input Sheet</vt:lpstr>
      <vt:lpstr>Methodology Statements --&gt;</vt:lpstr>
      <vt:lpstr>AER Summary</vt:lpstr>
      <vt:lpstr>Service Description</vt:lpstr>
      <vt:lpstr>Fee Breakdown</vt:lpstr>
      <vt:lpstr>'AER Summary'!Print_Area</vt:lpstr>
      <vt:lpstr>'Fee Breakdown'!Print_Area</vt:lpstr>
      <vt:lpstr>'Market Ops % Opex Allocations'!Print_Area</vt:lpstr>
      <vt:lpstr>'Market Ops Unit Rates'!Print_Area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2014-04-15T22:58:30Z</cp:lastPrinted>
  <dcterms:created xsi:type="dcterms:W3CDTF">2013-06-17T01:25:32Z</dcterms:created>
  <dcterms:modified xsi:type="dcterms:W3CDTF">2015-01-04T23:53:05Z</dcterms:modified>
</cp:coreProperties>
</file>