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Breakdown'!$A$1:$AE$22</definedName>
    <definedName name="TM1REBUILDOPTION">1</definedName>
  </definedNames>
  <calcPr calcId="145621" calcMode="manual" concurrentCalc="0"/>
</workbook>
</file>

<file path=xl/calcChain.xml><?xml version="1.0" encoding="utf-8"?>
<calcChain xmlns="http://schemas.openxmlformats.org/spreadsheetml/2006/main">
  <c r="K120" i="13" l="1"/>
  <c r="K101" i="13"/>
  <c r="R17" i="11"/>
  <c r="K111" i="13"/>
  <c r="X17" i="11"/>
  <c r="AD17" i="11"/>
  <c r="AD19" i="11"/>
  <c r="J120" i="13"/>
  <c r="J101" i="13"/>
  <c r="Q17" i="11"/>
  <c r="J111" i="13"/>
  <c r="W17" i="11"/>
  <c r="AC17" i="11"/>
  <c r="AC19" i="11"/>
  <c r="I120" i="13"/>
  <c r="I101" i="13"/>
  <c r="P17" i="11"/>
  <c r="I111" i="13"/>
  <c r="V17" i="11"/>
  <c r="AB17" i="11"/>
  <c r="AB19" i="11"/>
  <c r="H120" i="13"/>
  <c r="H101" i="13"/>
  <c r="O17" i="11"/>
  <c r="H111" i="13"/>
  <c r="U17" i="11"/>
  <c r="AA17" i="11"/>
  <c r="AA19" i="11"/>
  <c r="G120" i="13"/>
  <c r="G101" i="13"/>
  <c r="N17" i="11"/>
  <c r="G111" i="13"/>
  <c r="T17" i="11"/>
  <c r="Z17" i="11"/>
  <c r="Z19" i="11"/>
  <c r="X19" i="11"/>
  <c r="W19" i="11"/>
  <c r="V19" i="11"/>
  <c r="U19" i="11"/>
  <c r="T19" i="11"/>
  <c r="R19" i="11"/>
  <c r="Q19" i="11"/>
  <c r="P19" i="11"/>
  <c r="O19" i="11"/>
  <c r="N19" i="11"/>
  <c r="K113" i="13"/>
  <c r="J93" i="13"/>
  <c r="J95" i="13"/>
  <c r="G102" i="13"/>
  <c r="N9" i="11"/>
  <c r="Z9" i="11"/>
  <c r="Z11" i="11"/>
  <c r="C31" i="8"/>
  <c r="H102" i="13"/>
  <c r="O9" i="11"/>
  <c r="AA9" i="11"/>
  <c r="AA11" i="11"/>
  <c r="D31" i="8"/>
  <c r="I102" i="13"/>
  <c r="P9" i="11"/>
  <c r="AB9" i="11"/>
  <c r="AB11" i="11"/>
  <c r="E31" i="8"/>
  <c r="J102" i="13"/>
  <c r="Q9" i="11"/>
  <c r="AC9" i="11"/>
  <c r="AC11" i="11"/>
  <c r="F31" i="8"/>
  <c r="K102" i="13"/>
  <c r="R9" i="11"/>
  <c r="AD9" i="11"/>
  <c r="AD11" i="11"/>
  <c r="G31" i="8"/>
  <c r="H31" i="8"/>
  <c r="F9" i="11"/>
  <c r="E9" i="11"/>
  <c r="K20" i="13"/>
  <c r="F17" i="11"/>
  <c r="H17" i="11"/>
  <c r="I17" i="11"/>
  <c r="J17" i="11"/>
  <c r="K17" i="11"/>
  <c r="L17" i="11"/>
  <c r="G87" i="13"/>
  <c r="E79" i="13"/>
  <c r="H87" i="13"/>
  <c r="H68" i="13"/>
  <c r="I87" i="13"/>
  <c r="J87" i="13"/>
  <c r="G88" i="13"/>
  <c r="E80" i="13"/>
  <c r="H88" i="13"/>
  <c r="I88" i="13"/>
  <c r="J88" i="13"/>
  <c r="G89" i="13"/>
  <c r="E81" i="13"/>
  <c r="H89" i="13"/>
  <c r="I89" i="13"/>
  <c r="J89" i="13"/>
  <c r="J91" i="13"/>
  <c r="F101" i="13"/>
  <c r="J77" i="13"/>
  <c r="K26" i="13"/>
  <c r="J79" i="13"/>
  <c r="J80" i="13"/>
  <c r="J81" i="13"/>
  <c r="J82" i="13"/>
  <c r="G24" i="8"/>
  <c r="I77" i="13"/>
  <c r="I26" i="13"/>
  <c r="I79" i="13"/>
  <c r="I80" i="13"/>
  <c r="I81" i="13"/>
  <c r="I82" i="13"/>
  <c r="F24" i="8"/>
  <c r="H77" i="13"/>
  <c r="H26" i="13"/>
  <c r="H79" i="13"/>
  <c r="H80" i="13"/>
  <c r="H81" i="13"/>
  <c r="H82" i="13"/>
  <c r="E24" i="8"/>
  <c r="G26" i="13"/>
  <c r="L19" i="11"/>
  <c r="K19" i="11"/>
  <c r="J19" i="11"/>
  <c r="I19" i="11"/>
  <c r="H19" i="11"/>
  <c r="J26" i="13"/>
  <c r="F102" i="13"/>
  <c r="K122" i="13"/>
  <c r="L9" i="11"/>
  <c r="K9" i="11"/>
  <c r="J9" i="11"/>
  <c r="I9" i="11"/>
  <c r="H9" i="11"/>
  <c r="B5" i="11"/>
  <c r="H8" i="8"/>
  <c r="G8" i="8"/>
  <c r="F8" i="8"/>
  <c r="E8" i="8"/>
  <c r="D8" i="8"/>
  <c r="B3" i="13"/>
  <c r="H20" i="13"/>
  <c r="I20" i="13"/>
  <c r="J20" i="13"/>
  <c r="C17" i="11"/>
  <c r="D17" i="11"/>
  <c r="E17" i="11"/>
  <c r="D37" i="8"/>
  <c r="E37" i="8"/>
  <c r="F37" i="8"/>
  <c r="G37" i="8"/>
  <c r="C37" i="8"/>
  <c r="D34" i="8"/>
  <c r="E34" i="8"/>
  <c r="F34" i="8"/>
  <c r="G34" i="8"/>
  <c r="C34" i="8"/>
  <c r="D33" i="8"/>
  <c r="E33" i="8"/>
  <c r="F33" i="8"/>
  <c r="G33" i="8"/>
  <c r="C33" i="8"/>
  <c r="F25" i="8"/>
  <c r="G25" i="8"/>
  <c r="E25" i="8"/>
  <c r="E23" i="8"/>
  <c r="F23" i="8"/>
  <c r="G23" i="8"/>
  <c r="H23" i="8"/>
  <c r="C3" i="11"/>
  <c r="F19" i="11"/>
  <c r="E19" i="11"/>
  <c r="D19" i="11"/>
  <c r="C19" i="11"/>
  <c r="K104" i="13"/>
  <c r="J104" i="13"/>
  <c r="I104" i="13"/>
  <c r="H104" i="13"/>
  <c r="H33" i="8"/>
  <c r="H34" i="8"/>
  <c r="H35" i="8"/>
  <c r="G35" i="8"/>
  <c r="F35" i="8"/>
  <c r="E35" i="8"/>
  <c r="D35" i="8"/>
  <c r="C35" i="8"/>
  <c r="C43" i="8"/>
  <c r="D43" i="8"/>
  <c r="E43" i="8"/>
  <c r="F43" i="8"/>
  <c r="G43" i="8"/>
  <c r="H43" i="8"/>
  <c r="H25" i="8"/>
  <c r="H24" i="8"/>
  <c r="F79" i="13"/>
  <c r="H37" i="8"/>
  <c r="F81" i="13"/>
  <c r="F80" i="13"/>
  <c r="G20" i="13"/>
  <c r="D3" i="9"/>
</calcChain>
</file>

<file path=xl/comments1.xml><?xml version="1.0" encoding="utf-8"?>
<comments xmlns="http://schemas.openxmlformats.org/spreadsheetml/2006/main">
  <authors>
    <author>Jacob Muscat</author>
  </authors>
  <commentList>
    <comment ref="F16"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<sst xmlns="http://schemas.openxmlformats.org/spreadsheetml/2006/main" count="296" uniqueCount="128">
  <si>
    <t>Service:</t>
  </si>
  <si>
    <t>Total</t>
  </si>
  <si>
    <t>Historical Revenue</t>
  </si>
  <si>
    <t>Description</t>
  </si>
  <si>
    <t>Volumes</t>
  </si>
  <si>
    <t>Source</t>
  </si>
  <si>
    <t>Current Fee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</si>
  <si>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</si>
  <si>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</si>
  <si>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</si>
  <si>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</si>
  <si>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</si>
  <si>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</si>
  <si>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</si>
  <si>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</si>
  <si>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</si>
  <si>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</si>
  <si>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</si>
  <si>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</si>
  <si>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</si>
  <si>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</si>
  <si>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</si>
  <si>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</si>
  <si>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</si>
  <si>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</si>
  <si>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</si>
  <si>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Hours</t>
  </si>
  <si>
    <t>Type</t>
  </si>
  <si>
    <t>Work Order Description</t>
  </si>
  <si>
    <t>Historical Work Order Costs</t>
  </si>
  <si>
    <t>EMPLOYEE_ID</t>
  </si>
  <si>
    <t>Name</t>
  </si>
  <si>
    <t>POS_TITLE</t>
  </si>
  <si>
    <t xml:space="preserve">ASSET INFORMATION OFFICER               </t>
  </si>
  <si>
    <t>Hourly Rate (Inc On-cost)</t>
  </si>
  <si>
    <t>AVERAGE</t>
  </si>
  <si>
    <t>No. of People</t>
  </si>
  <si>
    <t>Average hourly Rate
12/13$</t>
  </si>
  <si>
    <t>Average Hourly Rate (Nominal)</t>
  </si>
  <si>
    <t>Assumed annual labour growth</t>
  </si>
  <si>
    <t>Historical Volumes</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</si>
  <si>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</si>
  <si>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</si>
  <si>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</si>
  <si>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</si>
  <si>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</si>
  <si>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</si>
  <si>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</si>
  <si>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</si>
  <si>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</si>
  <si>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</si>
  <si>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</si>
  <si>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</si>
  <si>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</si>
  <si>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</si>
  <si>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</si>
  <si>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</si>
  <si>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</si>
  <si>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</si>
  <si>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</si>
  <si>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</si>
  <si>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2012/13 YTD May Extrapolated</t>
  </si>
  <si>
    <t>Growth</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</si>
  <si>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</si>
  <si>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</si>
  <si>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</si>
  <si>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</si>
  <si>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</si>
  <si>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</si>
  <si>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</si>
  <si>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</si>
  <si>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</si>
  <si>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</si>
  <si>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</si>
  <si>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</si>
  <si>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Conveyancing Information - Desk Inquiry</t>
  </si>
  <si>
    <t>Revenue related to this service is billed through Endeavour Energy's Ellipse billing system and is extracted from the general ledger.</t>
  </si>
  <si>
    <t>No historical work orders exist to capture the costs for this ancillary network service.</t>
  </si>
  <si>
    <t>Conveyancing Information - Per Inquiry</t>
  </si>
  <si>
    <t>Average Hourly Rates for Estimated Costs</t>
  </si>
  <si>
    <t>Asset Information Officer receiving property enquiry request along with cheque, make a copy of cheque</t>
  </si>
  <si>
    <t>Asset Information Officer enters required information into Property Enquiry Database and investigates the property enquiry request</t>
  </si>
  <si>
    <t>Asset Information Officer advising the customer of the results of the property enquiry request</t>
  </si>
  <si>
    <t>Average Unit Rates - 2012/13 Dollars</t>
  </si>
  <si>
    <t>Estimated Costs</t>
  </si>
  <si>
    <t>Unit Rate</t>
  </si>
  <si>
    <t>Average Unit Rates - Forecast Nominal</t>
  </si>
  <si>
    <t>Unit rate (excl overheads)</t>
  </si>
  <si>
    <t>Unit rate (incl overheads)</t>
  </si>
  <si>
    <t xml:space="preserve">The provision of information regarding the availability of supply, presence of DNSP’s equipment, power lines and like information for property conveyancing purposes undertaken without any physical inspection of a site, other than the provision of information or the answering of inquiries relating to any matter under Freedom of Information legislation.
</t>
  </si>
  <si>
    <t>Supply of conveyancing information – desk inquiry;
Supply of conveyancing information – field visit</t>
  </si>
  <si>
    <t>Cost Estimates</t>
  </si>
  <si>
    <t>Average Unit Rate (2012/13$) - Incl OH</t>
  </si>
  <si>
    <t>Payroll data was extracted as at 14/06/13 and provided by the Budgeting &amp; Forecasting Manager.  These hourly labour rates represent 2012/13 labour costs and are used to calculate an average hourly labour rate for those individuals involved in this service.</t>
  </si>
  <si>
    <t>Proposed Revenue (Nominal)</t>
  </si>
  <si>
    <t>2008/09</t>
  </si>
  <si>
    <t>Current fees approved by the AER for the 2009-14 regulatory period.</t>
  </si>
  <si>
    <t>All unit rates have been calculated in real 2012/13 dollars for comparison purposes. To estimate labour rates in real 2012/13 dollars for prior years, the actual salary increases for award staff in those years has been used.</t>
  </si>
  <si>
    <t>These calculations represent the costs related to the provision of this service.  These calculations were based on information provided by the Manager Asset Information as individual work orders which captured the costs do not exist.
Asset Information branch identified which employee positions carried out this type of work and provided and an estimate for the number of hours required to complete each task.</t>
  </si>
  <si>
    <t>The calculation of this unit rate was built up based on the labour resource requirement and the average hourly rate of the employee positions that carry out this service. This is inflated by the overhead factor derived from the CAM to calculate a unit rate inclusive of network and corporate overheads..</t>
  </si>
  <si>
    <t>Direct Opex ANS (Nominal)</t>
  </si>
  <si>
    <t>Total Opex ANS (Nominal)</t>
  </si>
  <si>
    <t>Direct ANS (Real 2012/13$)</t>
  </si>
  <si>
    <t xml:space="preserve">The average unit rate in 2012/13 real dollars is converted to nominal dollars for each year in the next regulatory period using the nominal conversion factors derived from the CAM.  </t>
  </si>
  <si>
    <t>Endeavour Energy's overhead factor is derived from the Cost Allocation Methodology ('CAM') approved by the AER and the final opex budget for the regulatory period. Refer to the CAM model output for the forecast period.</t>
  </si>
  <si>
    <t>Average Unit Rate (2012/13$) - Excl OH</t>
  </si>
  <si>
    <t>Pricing Mechanism:</t>
  </si>
  <si>
    <t>Per inquiry</t>
  </si>
  <si>
    <t>$37 per inquiry</t>
  </si>
  <si>
    <t>Based on the following unit rates for the 2015-19 regulatory period</t>
  </si>
  <si>
    <t>Current Fee (Excl GST):</t>
  </si>
  <si>
    <t>Proposed Fee (Excl GST):</t>
  </si>
  <si>
    <t>Supply of conveyancing information – desk inquiry; and
Supply of conveyancing information – field visit</t>
  </si>
  <si>
    <t>3) An overhead factor derived from Endeavour Energy's Cost Allocation Model ('CAM') was applied to the direct unit rate to calculate a unit rate inclusive of network and corporate overheads. In addition, a 2012/13 real to nominal conversion factor derived from the CAM was applied to the unit rate to calculate the forecast unit rates in nominal dollars over the 2015-19 regulatory period.</t>
  </si>
  <si>
    <t>2) As historic work order data was not available for the provision of this service, a 2012/13 unit rate was built up based on information provided by relevant internal stakeholders. This included identifying the individuals involved in the provision of this service and the number of hours spent in performing the service and quantifying the costs related to the provision of the service using average labour rates.</t>
  </si>
  <si>
    <t xml:space="preserve">Historic revenue was extracted from Endeavour Energy's general ledger via an account code combination specifically set up to capture revenue for this service (as defined in the 2009-14 regulatory period). Historic costs were estimated based on labour resource requirements estimated in the 2012/13 cost build up and historic volumes. Historic volumes were derived based on revenue invoiced divided by the current fee. </t>
  </si>
  <si>
    <t>Revenue / current fee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</si>
  <si>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</si>
  <si>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2009-14 Current Fees</t>
  </si>
  <si>
    <t>Volumes were derived based on revenue divided by the fee rate.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</si>
  <si>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2015-2019 Pricing Methodology for Service (Summary)</t>
  </si>
  <si>
    <t>Proposed fees (including network and corporate overheads) were multiplied by forecast volumes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 uses an average overhead factor for the regulatory period, whereas costs are forecast based on the actual overhead factor for the year in order to balance to CAM outcomes. Volumes were forecasted based on a 5% reduction from previous year volumes to reflect the declining historic trend.</t>
  </si>
  <si>
    <t>The provision of information regarding the availability of supply, presence of Endeavour Energy equipment, power lines and like information for property conveyancing purposes undertaken without any physical inspection of a site, other than the provision of information or the answering of inquiries relating to any matter under freedom of information legislation.</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</si>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</sst>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97">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0" fontId="11" fillId="0" borderId="7" xfId="0" applyFont="1" applyBorder="1" applyAlignment="1">
      <alignment horizontal="center"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67" fontId="19" fillId="0" borderId="7" xfId="0" applyNumberFormat="1" applyFont="1" applyBorder="1" applyAlignment="1">
      <alignment horizontal="center"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7" xfId="0"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170" fontId="11" fillId="2" borderId="7" xfId="0" applyNumberFormat="1" applyFont="1" applyFill="1" applyBorder="1" applyAlignment="1">
      <alignmen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170" fontId="19" fillId="4" borderId="11" xfId="0" quotePrefix="1" applyNumberFormat="1" applyFont="1" applyFill="1" applyBorder="1" applyAlignment="1">
      <alignment horizontal="right" vertical="center" wrapText="1"/>
    </xf>
    <xf numFmtId="170" fontId="19" fillId="4" borderId="12" xfId="0" quotePrefix="1" applyNumberFormat="1" applyFont="1" applyFill="1" applyBorder="1" applyAlignment="1">
      <alignment horizontal="right" vertical="center" wrapText="1"/>
    </xf>
    <xf numFmtId="170" fontId="19" fillId="4" borderId="13"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7" xfId="0" applyFont="1" applyBorder="1" applyAlignment="1">
      <alignment horizontal="left" vertical="center" wrapText="1"/>
    </xf>
    <xf numFmtId="170" fontId="18" fillId="5" borderId="11" xfId="0" applyNumberFormat="1" applyFont="1" applyFill="1" applyBorder="1" applyAlignment="1">
      <alignment horizontal="left"/>
    </xf>
    <xf numFmtId="170" fontId="18" fillId="5" borderId="12" xfId="0" applyNumberFormat="1" applyFont="1" applyFill="1" applyBorder="1" applyAlignment="1">
      <alignment horizontal="left"/>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0" fontId="7" fillId="4" borderId="0" xfId="0" applyFont="1" applyFill="1" applyBorder="1" applyAlignment="1">
      <alignment horizontal="left" vertical="top" wrapText="1"/>
    </xf>
    <xf numFmtId="0" fontId="14" fillId="3" borderId="0" xfId="0" applyFont="1" applyFill="1" applyBorder="1" applyAlignment="1">
      <alignment horizontal="center"/>
    </xf>
    <xf numFmtId="0" fontId="20" fillId="4" borderId="0" xfId="0" applyFont="1" applyFill="1" applyBorder="1" applyAlignment="1">
      <alignment horizontal="left" vertical="top" wrapText="1"/>
    </xf>
    <xf numFmtId="164" fontId="7" fillId="4" borderId="0" xfId="2" applyFont="1" applyFill="1" applyBorder="1" applyAlignment="1">
      <alignment horizontal="left" vertical="top" wrapText="1"/>
    </xf>
    <xf numFmtId="167" fontId="11" fillId="0" borderId="0" xfId="0" applyNumberFormat="1" applyFont="1" applyBorder="1" applyAlignment="1">
      <alignment horizontal="right" vertical="center"/>
    </xf>
    <xf numFmtId="167" fontId="11" fillId="0" borderId="0" xfId="0" applyNumberFormat="1" applyFont="1" applyFill="1" applyBorder="1" applyAlignment="1">
      <alignment vertical="center" wrapText="1"/>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0" xfId="0" applyFont="1" applyBorder="1" applyAlignment="1">
      <alignment horizontal="righ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68" fontId="11" fillId="0" borderId="7" xfId="0" applyNumberFormat="1" applyFont="1" applyBorder="1" applyAlignment="1">
      <alignment horizontal="center"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9" fontId="11" fillId="0" borderId="0" xfId="1" applyFont="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67" fontId="19" fillId="2" borderId="7" xfId="0" applyNumberFormat="1" applyFont="1" applyFill="1" applyBorder="1" applyAlignment="1">
      <alignment horizontal="lef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21" fillId="7" borderId="11" xfId="0" applyFont="1" applyFill="1" applyBorder="1" applyAlignment="1">
      <alignment horizontal="center" vertical="center"/>
    </xf>
    <xf numFmtId="0" fontId="21" fillId="7" borderId="12" xfId="0" applyFont="1" applyFill="1" applyBorder="1" applyAlignment="1">
      <alignment horizontal="center" vertical="center"/>
    </xf>
    <xf numFmtId="0" fontId="21" fillId="7" borderId="13" xfId="0" applyFont="1" applyFill="1" applyBorder="1" applyAlignment="1">
      <alignment horizontal="center"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7" fillId="4" borderId="1" xfId="0" applyFont="1" applyFill="1" applyBorder="1" applyAlignment="1">
      <alignment horizontal="left" vertical="top" wrapText="1"/>
    </xf>
    <xf numFmtId="0" fontId="7" fillId="0" borderId="0" xfId="2" applyNumberFormat="1" applyFont="1" applyAlignment="1">
      <alignment horizontal="left"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0" fontId="0" fillId="0" borderId="0" xfId="0"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88"/>
  <sheetViews>
    <sheetView showGridLines="0" zoomScaleNormal="100" workbookViewId="0"/>
  </sheetViews>
  <sheetFormatPr defaultColWidth="9.140625" defaultRowHeight="12.75" zeroHeight="1" x14ac:dyDescent="0.25"/>
  <cols>
    <col min="1" max="1" width="2.85546875" style="26" customWidth="1"/>
    <col min="2" max="2" width="21.140625" style="26" bestFit="1" customWidth="1"/>
    <col min="3" max="3" width="16.85546875" style="26" customWidth="1"/>
    <col min="4" max="4" width="13.42578125" style="26" bestFit="1" customWidth="1"/>
    <col min="5" max="5" width="13.42578125" style="26" customWidth="1"/>
    <col min="6" max="6" width="12.7109375" style="26" customWidth="1"/>
    <col min="7" max="10" width="12.85546875" style="28" customWidth="1"/>
    <col min="11" max="11" width="12.85546875" style="26" customWidth="1"/>
    <col min="12" max="12" width="2.85546875" style="26" customWidth="1"/>
    <col min="13" max="13" width="49.85546875" style="29" customWidth="1"/>
    <col min="14" max="14" width="2.85546875" style="26" customWidth="1"/>
    <col min="15" max="17" width="9.140625" style="26" customWidth="1"/>
    <col min="18" max="16384" width="9.140625" style="26"/>
  </cols>
  <sheetData>
    <row r="1" spans="2:13" x14ac:dyDescent="0.25">
      <c r="B1" s="27"/>
    </row>
    <row r="2" spans="2:13" ht="21" x14ac:dyDescent="0.25">
      <c r="B2" s="30" t="s">
        <v>43</v>
      </c>
    </row>
    <row r="3" spans="2:13" ht="21" x14ac:dyDescent="0.25">
      <c r="B3" s="30" t="str">
        <f>'AER Summary'!C3</f>
        <v>Conveyancing Information - Desk Inquiry</v>
      </c>
    </row>
    <row r="4" spans="2:13" ht="18.75" x14ac:dyDescent="0.25">
      <c r="B4" s="31" t="s">
        <v>44</v>
      </c>
    </row>
    <row r="5" spans="2:13" x14ac:dyDescent="0.25"/>
    <row r="6" spans="2:13" ht="15.75" x14ac:dyDescent="0.25">
      <c r="B6" s="32" t="s">
        <v>118</v>
      </c>
      <c r="C6" s="33"/>
      <c r="D6" s="33"/>
      <c r="E6" s="33"/>
      <c r="F6" s="33"/>
      <c r="G6" s="34"/>
      <c r="H6" s="34"/>
      <c r="I6" s="34"/>
      <c r="J6" s="34"/>
      <c r="K6" s="33"/>
      <c r="M6" s="35"/>
    </row>
    <row r="7" spans="2:13" x14ac:dyDescent="0.25"/>
    <row r="8" spans="2:13" ht="25.5" x14ac:dyDescent="0.25">
      <c r="B8" s="217" t="s">
        <v>8</v>
      </c>
      <c r="C8" s="218"/>
      <c r="D8" s="218"/>
      <c r="E8" s="218"/>
      <c r="F8" s="218"/>
      <c r="G8" s="218"/>
      <c r="H8" s="218"/>
      <c r="I8" s="219"/>
      <c r="J8" s="135" t="s">
        <v>60</v>
      </c>
      <c r="K8" s="135" t="s">
        <v>51</v>
      </c>
      <c r="M8" s="40" t="s">
        <v>5</v>
      </c>
    </row>
    <row r="9" spans="2:13" ht="25.5" x14ac:dyDescent="0.25">
      <c r="B9" s="220" t="s">
        <v>78</v>
      </c>
      <c r="C9" s="221"/>
      <c r="D9" s="221"/>
      <c r="E9" s="221"/>
      <c r="F9" s="221"/>
      <c r="G9" s="221"/>
      <c r="H9" s="221"/>
      <c r="I9" s="222"/>
      <c r="J9" s="187">
        <v>37</v>
      </c>
      <c r="K9" s="187">
        <v>37</v>
      </c>
      <c r="M9" s="163" t="s">
        <v>96</v>
      </c>
    </row>
    <row r="10" spans="2:13" x14ac:dyDescent="0.25"/>
    <row r="11" spans="2:13" ht="15.75" x14ac:dyDescent="0.25">
      <c r="B11" s="32" t="s">
        <v>2</v>
      </c>
      <c r="C11" s="33"/>
      <c r="D11" s="33"/>
      <c r="E11" s="33"/>
      <c r="F11" s="33"/>
      <c r="G11" s="34"/>
      <c r="H11" s="34"/>
      <c r="I11" s="34"/>
      <c r="J11" s="34"/>
      <c r="K11" s="33"/>
      <c r="M11" s="35"/>
    </row>
    <row r="12" spans="2:13" x14ac:dyDescent="0.25"/>
    <row r="13" spans="2:13" x14ac:dyDescent="0.25">
      <c r="B13" s="217" t="s">
        <v>27</v>
      </c>
      <c r="C13" s="218"/>
      <c r="D13" s="218"/>
      <c r="E13" s="218"/>
      <c r="F13" s="219"/>
      <c r="G13" s="36" t="s">
        <v>10</v>
      </c>
      <c r="H13" s="37" t="s">
        <v>11</v>
      </c>
      <c r="I13" s="38" t="s">
        <v>12</v>
      </c>
      <c r="J13" s="37" t="s">
        <v>13</v>
      </c>
      <c r="K13" s="39" t="s">
        <v>14</v>
      </c>
      <c r="M13" s="40" t="s">
        <v>5</v>
      </c>
    </row>
    <row r="14" spans="2:13" ht="42" customHeight="1" x14ac:dyDescent="0.25">
      <c r="B14" s="220" t="s">
        <v>2</v>
      </c>
      <c r="C14" s="221"/>
      <c r="D14" s="221"/>
      <c r="E14" s="221"/>
      <c r="F14" s="222"/>
      <c r="G14" s="19">
        <v>429368.9</v>
      </c>
      <c r="H14" s="20">
        <v>348617.37</v>
      </c>
      <c r="I14" s="21">
        <v>262922</v>
      </c>
      <c r="J14" s="20">
        <v>233554.09</v>
      </c>
      <c r="K14" s="87"/>
      <c r="M14" s="41" t="s">
        <v>76</v>
      </c>
    </row>
    <row r="15" spans="2:13" x14ac:dyDescent="0.25"/>
    <row r="16" spans="2:13" ht="15.75" x14ac:dyDescent="0.25">
      <c r="B16" s="32" t="s">
        <v>29</v>
      </c>
      <c r="C16" s="33"/>
      <c r="D16" s="33"/>
      <c r="E16" s="33"/>
      <c r="F16" s="33"/>
      <c r="G16" s="34"/>
      <c r="H16" s="34"/>
      <c r="I16" s="34"/>
      <c r="J16" s="34"/>
      <c r="K16" s="33"/>
      <c r="M16" s="35"/>
    </row>
    <row r="17" spans="2:13" x14ac:dyDescent="0.25"/>
    <row r="18" spans="2:13" x14ac:dyDescent="0.25">
      <c r="B18" s="52" t="s">
        <v>24</v>
      </c>
      <c r="C18" s="257" t="s">
        <v>28</v>
      </c>
      <c r="D18" s="257"/>
      <c r="E18" s="257"/>
      <c r="F18" s="257"/>
      <c r="G18" s="37" t="s">
        <v>10</v>
      </c>
      <c r="H18" s="37" t="s">
        <v>11</v>
      </c>
      <c r="I18" s="37" t="s">
        <v>12</v>
      </c>
      <c r="J18" s="37" t="s">
        <v>13</v>
      </c>
      <c r="K18" s="53" t="s">
        <v>14</v>
      </c>
      <c r="M18" s="40" t="s">
        <v>5</v>
      </c>
    </row>
    <row r="19" spans="2:13" ht="27.75" customHeight="1" x14ac:dyDescent="0.25">
      <c r="B19" s="22"/>
      <c r="C19" s="258"/>
      <c r="D19" s="259"/>
      <c r="E19" s="259"/>
      <c r="F19" s="260"/>
      <c r="G19" s="25" t="s">
        <v>9</v>
      </c>
      <c r="H19" s="25" t="s">
        <v>9</v>
      </c>
      <c r="I19" s="25" t="s">
        <v>9</v>
      </c>
      <c r="J19" s="25" t="s">
        <v>9</v>
      </c>
      <c r="K19" s="25" t="s">
        <v>9</v>
      </c>
      <c r="M19" s="163" t="s">
        <v>77</v>
      </c>
    </row>
    <row r="20" spans="2:13" ht="13.5" thickBot="1" x14ac:dyDescent="0.3">
      <c r="B20" s="54"/>
      <c r="C20" s="54"/>
      <c r="D20" s="54"/>
      <c r="E20" s="54"/>
      <c r="F20" s="54"/>
      <c r="G20" s="55">
        <f>SUM(G19:G19)</f>
        <v>0</v>
      </c>
      <c r="H20" s="55">
        <f>SUM(H19:H19)</f>
        <v>0</v>
      </c>
      <c r="I20" s="55">
        <f>SUM(I19:I19)</f>
        <v>0</v>
      </c>
      <c r="J20" s="55">
        <f>SUM(J19:J19)</f>
        <v>0</v>
      </c>
      <c r="K20" s="55">
        <f>SUM(K19:K19)</f>
        <v>0</v>
      </c>
    </row>
    <row r="21" spans="2:13" x14ac:dyDescent="0.25">
      <c r="B21" s="54"/>
      <c r="C21" s="54"/>
      <c r="D21" s="54"/>
      <c r="E21" s="54"/>
      <c r="F21" s="54"/>
      <c r="G21" s="56"/>
      <c r="H21" s="56"/>
      <c r="I21" s="56"/>
      <c r="J21" s="56"/>
      <c r="K21" s="29"/>
    </row>
    <row r="22" spans="2:13" ht="15.75" x14ac:dyDescent="0.25">
      <c r="B22" s="32" t="s">
        <v>40</v>
      </c>
      <c r="C22" s="33"/>
      <c r="D22" s="33"/>
      <c r="E22" s="33"/>
      <c r="F22" s="33"/>
      <c r="G22" s="34"/>
      <c r="H22" s="34"/>
      <c r="I22" s="34"/>
      <c r="J22" s="34"/>
      <c r="K22" s="33"/>
      <c r="M22" s="35"/>
    </row>
    <row r="23" spans="2:13" x14ac:dyDescent="0.25"/>
    <row r="24" spans="2:13" ht="38.25" x14ac:dyDescent="0.25">
      <c r="B24" s="217" t="s">
        <v>8</v>
      </c>
      <c r="C24" s="218"/>
      <c r="D24" s="218"/>
      <c r="E24" s="218"/>
      <c r="F24" s="219"/>
      <c r="G24" s="36" t="s">
        <v>10</v>
      </c>
      <c r="H24" s="37" t="s">
        <v>11</v>
      </c>
      <c r="I24" s="37" t="s">
        <v>12</v>
      </c>
      <c r="J24" s="135" t="s">
        <v>13</v>
      </c>
      <c r="K24" s="135" t="s">
        <v>61</v>
      </c>
      <c r="M24" s="40" t="s">
        <v>5</v>
      </c>
    </row>
    <row r="25" spans="2:13" ht="114.75" x14ac:dyDescent="0.25">
      <c r="B25" s="220" t="s">
        <v>78</v>
      </c>
      <c r="C25" s="221"/>
      <c r="D25" s="221"/>
      <c r="E25" s="221"/>
      <c r="F25" s="222"/>
      <c r="G25" s="42">
        <v>11605</v>
      </c>
      <c r="H25" s="43">
        <v>9422</v>
      </c>
      <c r="I25" s="44">
        <v>7106</v>
      </c>
      <c r="J25" s="43">
        <v>6312</v>
      </c>
      <c r="K25" s="43">
        <v>6317</v>
      </c>
      <c r="M25" s="163" t="s">
        <v>119</v>
      </c>
    </row>
    <row r="26" spans="2:13" ht="13.5" thickBot="1" x14ac:dyDescent="0.3">
      <c r="G26" s="48">
        <f>SUM(G25:G25)</f>
        <v>11605</v>
      </c>
      <c r="H26" s="49">
        <f>SUM(H25:H25)</f>
        <v>9422</v>
      </c>
      <c r="I26" s="50">
        <f>SUM(I25:I25)</f>
        <v>7106</v>
      </c>
      <c r="J26" s="49">
        <f>SUM(J25:J25)</f>
        <v>6312</v>
      </c>
      <c r="K26" s="49">
        <f>SUM(K25:K25)</f>
        <v>6317</v>
      </c>
    </row>
    <row r="27" spans="2:13" x14ac:dyDescent="0.25"/>
    <row r="28" spans="2:13" ht="15.75" x14ac:dyDescent="0.25">
      <c r="B28" s="32" t="s">
        <v>79</v>
      </c>
      <c r="C28" s="33"/>
      <c r="D28" s="33"/>
      <c r="E28" s="33"/>
      <c r="F28" s="33"/>
      <c r="G28" s="34"/>
      <c r="H28" s="34"/>
      <c r="I28" s="34"/>
      <c r="J28" s="34"/>
      <c r="K28" s="33"/>
      <c r="M28" s="35"/>
    </row>
    <row r="29" spans="2:13" x14ac:dyDescent="0.25"/>
    <row r="30" spans="2:13" ht="25.5" x14ac:dyDescent="0.25">
      <c r="B30" s="68" t="s">
        <v>30</v>
      </c>
      <c r="C30" s="69" t="s">
        <v>31</v>
      </c>
      <c r="D30" s="70"/>
      <c r="E30" s="71" t="s">
        <v>32</v>
      </c>
      <c r="F30" s="72"/>
      <c r="G30" s="72"/>
      <c r="H30" s="73" t="s">
        <v>34</v>
      </c>
      <c r="J30" s="26"/>
      <c r="M30" s="40" t="s">
        <v>5</v>
      </c>
    </row>
    <row r="31" spans="2:13" x14ac:dyDescent="0.25">
      <c r="B31" s="291"/>
      <c r="C31" s="292"/>
      <c r="D31" s="293"/>
      <c r="E31" s="74" t="s">
        <v>33</v>
      </c>
      <c r="F31" s="75"/>
      <c r="G31" s="46"/>
      <c r="H31" s="76">
        <v>70.759229179999991</v>
      </c>
      <c r="J31" s="26"/>
      <c r="M31" s="226" t="s">
        <v>93</v>
      </c>
    </row>
    <row r="32" spans="2:13" x14ac:dyDescent="0.25">
      <c r="B32" s="291"/>
      <c r="C32" s="292"/>
      <c r="D32" s="293"/>
      <c r="E32" s="74" t="s">
        <v>33</v>
      </c>
      <c r="F32" s="75"/>
      <c r="G32" s="46"/>
      <c r="H32" s="76">
        <v>69.009106410000001</v>
      </c>
      <c r="J32" s="26"/>
      <c r="M32" s="227"/>
    </row>
    <row r="33" spans="2:13" x14ac:dyDescent="0.25">
      <c r="B33" s="291"/>
      <c r="C33" s="292"/>
      <c r="D33" s="293"/>
      <c r="E33" s="74" t="s">
        <v>33</v>
      </c>
      <c r="F33" s="75"/>
      <c r="G33" s="46"/>
      <c r="H33" s="76">
        <v>69.009106410000001</v>
      </c>
      <c r="J33" s="26"/>
      <c r="M33" s="227"/>
    </row>
    <row r="34" spans="2:13" x14ac:dyDescent="0.25">
      <c r="B34" s="291"/>
      <c r="C34" s="292"/>
      <c r="D34" s="293"/>
      <c r="E34" s="74" t="s">
        <v>33</v>
      </c>
      <c r="F34" s="75"/>
      <c r="G34" s="46"/>
      <c r="H34" s="76">
        <v>67.455908820000005</v>
      </c>
      <c r="J34" s="26"/>
      <c r="M34" s="227"/>
    </row>
    <row r="35" spans="2:13" x14ac:dyDescent="0.25">
      <c r="B35" s="291"/>
      <c r="C35" s="292"/>
      <c r="D35" s="293"/>
      <c r="E35" s="74" t="s">
        <v>33</v>
      </c>
      <c r="F35" s="75"/>
      <c r="G35" s="46"/>
      <c r="H35" s="76">
        <v>69.009106410000001</v>
      </c>
      <c r="J35" s="26"/>
      <c r="M35" s="227"/>
    </row>
    <row r="36" spans="2:13" x14ac:dyDescent="0.25">
      <c r="B36" s="291"/>
      <c r="C36" s="292"/>
      <c r="D36" s="293"/>
      <c r="E36" s="74" t="s">
        <v>33</v>
      </c>
      <c r="F36" s="75"/>
      <c r="G36" s="46"/>
      <c r="H36" s="76">
        <v>69.009106410000001</v>
      </c>
      <c r="J36" s="26"/>
      <c r="M36" s="227"/>
    </row>
    <row r="37" spans="2:13" x14ac:dyDescent="0.25">
      <c r="B37" s="291"/>
      <c r="C37" s="292"/>
      <c r="D37" s="293"/>
      <c r="E37" s="74" t="s">
        <v>33</v>
      </c>
      <c r="F37" s="75"/>
      <c r="G37" s="46"/>
      <c r="H37" s="76">
        <v>70.759229179999991</v>
      </c>
      <c r="J37" s="26"/>
      <c r="M37" s="227"/>
    </row>
    <row r="38" spans="2:13" x14ac:dyDescent="0.25">
      <c r="B38" s="291"/>
      <c r="C38" s="292"/>
      <c r="D38" s="293"/>
      <c r="E38" s="74" t="s">
        <v>33</v>
      </c>
      <c r="F38" s="75"/>
      <c r="G38" s="46"/>
      <c r="H38" s="76">
        <v>70.76520124999999</v>
      </c>
      <c r="J38" s="26"/>
      <c r="M38" s="227"/>
    </row>
    <row r="39" spans="2:13" x14ac:dyDescent="0.25">
      <c r="B39" s="291"/>
      <c r="C39" s="292"/>
      <c r="D39" s="293"/>
      <c r="E39" s="74" t="s">
        <v>33</v>
      </c>
      <c r="F39" s="75"/>
      <c r="G39" s="46"/>
      <c r="H39" s="76">
        <v>70.76520124999999</v>
      </c>
      <c r="J39" s="26"/>
      <c r="M39" s="227"/>
    </row>
    <row r="40" spans="2:13" x14ac:dyDescent="0.25">
      <c r="B40" s="291"/>
      <c r="C40" s="292"/>
      <c r="D40" s="293"/>
      <c r="E40" s="74" t="s">
        <v>33</v>
      </c>
      <c r="F40" s="75"/>
      <c r="G40" s="46"/>
      <c r="H40" s="76">
        <v>67.455908820000005</v>
      </c>
      <c r="J40" s="26"/>
      <c r="M40" s="227"/>
    </row>
    <row r="41" spans="2:13" x14ac:dyDescent="0.25">
      <c r="B41" s="291"/>
      <c r="C41" s="292"/>
      <c r="D41" s="293"/>
      <c r="E41" s="74" t="s">
        <v>33</v>
      </c>
      <c r="F41" s="75"/>
      <c r="G41" s="46"/>
      <c r="H41" s="76">
        <v>69.009106410000001</v>
      </c>
      <c r="J41" s="26"/>
      <c r="M41" s="227"/>
    </row>
    <row r="42" spans="2:13" x14ac:dyDescent="0.25">
      <c r="B42" s="291"/>
      <c r="C42" s="292"/>
      <c r="D42" s="293"/>
      <c r="E42" s="74" t="s">
        <v>33</v>
      </c>
      <c r="F42" s="75"/>
      <c r="G42" s="46"/>
      <c r="H42" s="76">
        <v>69.009106410000001</v>
      </c>
      <c r="J42" s="26"/>
      <c r="M42" s="227"/>
    </row>
    <row r="43" spans="2:13" x14ac:dyDescent="0.25">
      <c r="B43" s="291"/>
      <c r="C43" s="292"/>
      <c r="D43" s="293"/>
      <c r="E43" s="74" t="s">
        <v>33</v>
      </c>
      <c r="F43" s="75"/>
      <c r="G43" s="46"/>
      <c r="H43" s="76">
        <v>70.759229179999991</v>
      </c>
      <c r="J43" s="26"/>
      <c r="M43" s="227"/>
    </row>
    <row r="44" spans="2:13" x14ac:dyDescent="0.25">
      <c r="B44" s="291"/>
      <c r="C44" s="292"/>
      <c r="D44" s="293"/>
      <c r="E44" s="74" t="s">
        <v>33</v>
      </c>
      <c r="F44" s="75"/>
      <c r="G44" s="46"/>
      <c r="H44" s="76">
        <v>67.455908820000005</v>
      </c>
      <c r="J44" s="26"/>
      <c r="M44" s="227"/>
    </row>
    <row r="45" spans="2:13" x14ac:dyDescent="0.25">
      <c r="B45" s="291"/>
      <c r="C45" s="292"/>
      <c r="D45" s="293"/>
      <c r="E45" s="74" t="s">
        <v>33</v>
      </c>
      <c r="F45" s="75"/>
      <c r="G45" s="46"/>
      <c r="H45" s="76">
        <v>67.455908820000005</v>
      </c>
      <c r="J45" s="26"/>
      <c r="M45" s="227"/>
    </row>
    <row r="46" spans="2:13" x14ac:dyDescent="0.25">
      <c r="B46" s="291"/>
      <c r="C46" s="292"/>
      <c r="D46" s="293"/>
      <c r="E46" s="74" t="s">
        <v>33</v>
      </c>
      <c r="F46" s="75"/>
      <c r="G46" s="46"/>
      <c r="H46" s="76">
        <v>67.455908820000005</v>
      </c>
      <c r="J46" s="26"/>
      <c r="M46" s="227"/>
    </row>
    <row r="47" spans="2:13" x14ac:dyDescent="0.25">
      <c r="B47" s="291"/>
      <c r="C47" s="292"/>
      <c r="D47" s="293"/>
      <c r="E47" s="74" t="s">
        <v>33</v>
      </c>
      <c r="F47" s="75"/>
      <c r="G47" s="46"/>
      <c r="H47" s="76">
        <v>67.455908820000005</v>
      </c>
      <c r="J47" s="26"/>
      <c r="M47" s="227"/>
    </row>
    <row r="48" spans="2:13" x14ac:dyDescent="0.25">
      <c r="B48" s="291"/>
      <c r="C48" s="292"/>
      <c r="D48" s="293"/>
      <c r="E48" s="74" t="s">
        <v>33</v>
      </c>
      <c r="F48" s="75"/>
      <c r="G48" s="46"/>
      <c r="H48" s="76">
        <v>69.009106410000001</v>
      </c>
      <c r="J48" s="26"/>
      <c r="M48" s="227"/>
    </row>
    <row r="49" spans="2:13" x14ac:dyDescent="0.25">
      <c r="B49" s="291"/>
      <c r="C49" s="292"/>
      <c r="D49" s="293"/>
      <c r="E49" s="74" t="s">
        <v>33</v>
      </c>
      <c r="F49" s="75"/>
      <c r="G49" s="46"/>
      <c r="H49" s="76">
        <v>69.009106410000001</v>
      </c>
      <c r="J49" s="26"/>
      <c r="M49" s="227"/>
    </row>
    <row r="50" spans="2:13" x14ac:dyDescent="0.25">
      <c r="B50" s="291"/>
      <c r="C50" s="292"/>
      <c r="D50" s="293"/>
      <c r="E50" s="74" t="s">
        <v>33</v>
      </c>
      <c r="F50" s="75"/>
      <c r="G50" s="46"/>
      <c r="H50" s="76">
        <v>70.759229179999991</v>
      </c>
      <c r="J50" s="26"/>
      <c r="M50" s="227"/>
    </row>
    <row r="51" spans="2:13" x14ac:dyDescent="0.25">
      <c r="B51" s="291"/>
      <c r="C51" s="292"/>
      <c r="D51" s="293"/>
      <c r="E51" s="74" t="s">
        <v>33</v>
      </c>
      <c r="F51" s="75"/>
      <c r="G51" s="46"/>
      <c r="H51" s="76">
        <v>72.246734000000004</v>
      </c>
      <c r="J51" s="26"/>
      <c r="M51" s="227"/>
    </row>
    <row r="52" spans="2:13" x14ac:dyDescent="0.25">
      <c r="B52" s="291"/>
      <c r="C52" s="292"/>
      <c r="D52" s="293"/>
      <c r="E52" s="74" t="s">
        <v>33</v>
      </c>
      <c r="F52" s="75"/>
      <c r="G52" s="46"/>
      <c r="H52" s="76">
        <v>62.743945589999996</v>
      </c>
      <c r="J52" s="26"/>
      <c r="M52" s="227"/>
    </row>
    <row r="53" spans="2:13" x14ac:dyDescent="0.25">
      <c r="B53" s="291"/>
      <c r="C53" s="292"/>
      <c r="D53" s="293"/>
      <c r="E53" s="74" t="s">
        <v>33</v>
      </c>
      <c r="F53" s="75"/>
      <c r="G53" s="46"/>
      <c r="H53" s="76">
        <v>69.009106410000001</v>
      </c>
      <c r="J53" s="26"/>
      <c r="M53" s="227"/>
    </row>
    <row r="54" spans="2:13" x14ac:dyDescent="0.25">
      <c r="B54" s="291"/>
      <c r="C54" s="292"/>
      <c r="D54" s="293"/>
      <c r="E54" s="74" t="s">
        <v>33</v>
      </c>
      <c r="F54" s="75"/>
      <c r="G54" s="46"/>
      <c r="H54" s="76">
        <v>70.759229179999991</v>
      </c>
      <c r="J54" s="26"/>
      <c r="M54" s="227"/>
    </row>
    <row r="55" spans="2:13" x14ac:dyDescent="0.25">
      <c r="B55" s="291"/>
      <c r="C55" s="292"/>
      <c r="D55" s="293"/>
      <c r="E55" s="74" t="s">
        <v>33</v>
      </c>
      <c r="F55" s="75"/>
      <c r="G55" s="46"/>
      <c r="H55" s="76">
        <v>62.743945589999996</v>
      </c>
      <c r="J55" s="26"/>
      <c r="M55" s="227"/>
    </row>
    <row r="56" spans="2:13" x14ac:dyDescent="0.25">
      <c r="B56" s="291"/>
      <c r="C56" s="292"/>
      <c r="D56" s="293"/>
      <c r="E56" s="74" t="s">
        <v>33</v>
      </c>
      <c r="F56" s="75"/>
      <c r="G56" s="46"/>
      <c r="H56" s="76">
        <v>64.279533229999998</v>
      </c>
      <c r="J56" s="26"/>
      <c r="M56" s="227"/>
    </row>
    <row r="57" spans="2:13" x14ac:dyDescent="0.25">
      <c r="B57" s="291"/>
      <c r="C57" s="292"/>
      <c r="D57" s="293"/>
      <c r="E57" s="74" t="s">
        <v>33</v>
      </c>
      <c r="F57" s="75"/>
      <c r="G57" s="46"/>
      <c r="H57" s="76">
        <v>69.009106410000001</v>
      </c>
      <c r="J57" s="26"/>
      <c r="M57" s="227"/>
    </row>
    <row r="58" spans="2:13" x14ac:dyDescent="0.25">
      <c r="B58" s="291"/>
      <c r="C58" s="292"/>
      <c r="D58" s="293"/>
      <c r="E58" s="74" t="s">
        <v>33</v>
      </c>
      <c r="F58" s="75"/>
      <c r="G58" s="46"/>
      <c r="H58" s="76">
        <v>62.743945589999996</v>
      </c>
      <c r="J58" s="26"/>
      <c r="M58" s="227"/>
    </row>
    <row r="59" spans="2:13" x14ac:dyDescent="0.25">
      <c r="B59" s="291"/>
      <c r="C59" s="292"/>
      <c r="D59" s="293"/>
      <c r="E59" s="74" t="s">
        <v>33</v>
      </c>
      <c r="F59" s="75"/>
      <c r="G59" s="46"/>
      <c r="H59" s="76">
        <v>67.455908820000005</v>
      </c>
      <c r="J59" s="26"/>
      <c r="M59" s="227"/>
    </row>
    <row r="60" spans="2:13" x14ac:dyDescent="0.25">
      <c r="B60" s="291"/>
      <c r="C60" s="292"/>
      <c r="D60" s="293"/>
      <c r="E60" s="74" t="s">
        <v>33</v>
      </c>
      <c r="F60" s="75"/>
      <c r="G60" s="46"/>
      <c r="H60" s="76">
        <v>65.920321180000002</v>
      </c>
      <c r="J60" s="26"/>
      <c r="M60" s="227"/>
    </row>
    <row r="61" spans="2:13" x14ac:dyDescent="0.25">
      <c r="B61" s="291"/>
      <c r="C61" s="292"/>
      <c r="D61" s="293"/>
      <c r="E61" s="74" t="s">
        <v>33</v>
      </c>
      <c r="F61" s="75"/>
      <c r="G61" s="46"/>
      <c r="H61" s="76">
        <v>69.009106410000001</v>
      </c>
      <c r="J61" s="26"/>
      <c r="M61" s="227"/>
    </row>
    <row r="62" spans="2:13" x14ac:dyDescent="0.25">
      <c r="B62" s="291"/>
      <c r="C62" s="292"/>
      <c r="D62" s="293"/>
      <c r="E62" s="74" t="s">
        <v>33</v>
      </c>
      <c r="F62" s="75"/>
      <c r="G62" s="46"/>
      <c r="H62" s="76">
        <v>77.155622410000007</v>
      </c>
      <c r="J62" s="26"/>
      <c r="M62" s="227"/>
    </row>
    <row r="63" spans="2:13" x14ac:dyDescent="0.25">
      <c r="B63" s="291"/>
      <c r="C63" s="292"/>
      <c r="D63" s="293"/>
      <c r="E63" s="74" t="s">
        <v>33</v>
      </c>
      <c r="F63" s="75"/>
      <c r="G63" s="46"/>
      <c r="H63" s="76">
        <v>80.804557180000003</v>
      </c>
      <c r="J63" s="26"/>
      <c r="M63" s="227"/>
    </row>
    <row r="64" spans="2:13" x14ac:dyDescent="0.25">
      <c r="B64" s="291"/>
      <c r="C64" s="292"/>
      <c r="D64" s="293"/>
      <c r="E64" s="74" t="s">
        <v>33</v>
      </c>
      <c r="F64" s="75"/>
      <c r="G64" s="46"/>
      <c r="H64" s="76">
        <v>64.279533229999998</v>
      </c>
      <c r="J64" s="26"/>
      <c r="M64" s="227"/>
    </row>
    <row r="65" spans="2:15" x14ac:dyDescent="0.25">
      <c r="B65" s="291"/>
      <c r="C65" s="292"/>
      <c r="D65" s="293"/>
      <c r="E65" s="74" t="s">
        <v>33</v>
      </c>
      <c r="F65" s="75"/>
      <c r="G65" s="46"/>
      <c r="H65" s="76">
        <v>72.246734000000004</v>
      </c>
      <c r="J65" s="26"/>
      <c r="M65" s="227"/>
    </row>
    <row r="66" spans="2:15" x14ac:dyDescent="0.25">
      <c r="B66" s="291"/>
      <c r="C66" s="292"/>
      <c r="D66" s="293"/>
      <c r="E66" s="74" t="s">
        <v>33</v>
      </c>
      <c r="F66" s="75"/>
      <c r="G66" s="46"/>
      <c r="H66" s="76">
        <v>67.455908820000005</v>
      </c>
      <c r="J66" s="26"/>
      <c r="M66" s="227"/>
    </row>
    <row r="67" spans="2:15" x14ac:dyDescent="0.25">
      <c r="B67" s="294"/>
      <c r="C67" s="295"/>
      <c r="D67" s="296"/>
      <c r="E67" s="77" t="s">
        <v>33</v>
      </c>
      <c r="F67" s="78"/>
      <c r="G67" s="47"/>
      <c r="H67" s="79">
        <v>69.009106410000001</v>
      </c>
      <c r="J67" s="26"/>
      <c r="M67" s="227"/>
    </row>
    <row r="68" spans="2:15" ht="13.5" thickBot="1" x14ac:dyDescent="0.3">
      <c r="G68" s="80" t="s">
        <v>35</v>
      </c>
      <c r="H68" s="81">
        <f>AVERAGE(H31:H67)</f>
        <v>68.871566699459478</v>
      </c>
      <c r="I68" s="86"/>
      <c r="J68" s="26"/>
      <c r="M68" s="228"/>
    </row>
    <row r="69" spans="2:15" x14ac:dyDescent="0.25"/>
    <row r="70" spans="2:15" ht="15.75" x14ac:dyDescent="0.25">
      <c r="B70" s="32" t="s">
        <v>41</v>
      </c>
      <c r="C70" s="33"/>
      <c r="D70" s="33"/>
      <c r="E70" s="33"/>
      <c r="F70" s="33"/>
      <c r="G70" s="34"/>
      <c r="H70" s="34"/>
      <c r="I70" s="34"/>
      <c r="J70" s="34"/>
      <c r="K70" s="33"/>
      <c r="M70" s="35"/>
    </row>
    <row r="71" spans="2:15" x14ac:dyDescent="0.25"/>
    <row r="72" spans="2:15" x14ac:dyDescent="0.25">
      <c r="B72" s="183" t="s">
        <v>27</v>
      </c>
      <c r="C72" s="184"/>
      <c r="D72" s="184"/>
      <c r="E72" s="184"/>
      <c r="F72" s="36" t="s">
        <v>95</v>
      </c>
      <c r="G72" s="36" t="s">
        <v>10</v>
      </c>
      <c r="H72" s="37" t="s">
        <v>11</v>
      </c>
      <c r="I72" s="38" t="s">
        <v>12</v>
      </c>
      <c r="J72" s="37" t="s">
        <v>13</v>
      </c>
      <c r="K72" s="39" t="s">
        <v>14</v>
      </c>
      <c r="M72" s="40" t="s">
        <v>5</v>
      </c>
    </row>
    <row r="73" spans="2:15" ht="54" customHeight="1" x14ac:dyDescent="0.2">
      <c r="B73" s="179" t="s">
        <v>39</v>
      </c>
      <c r="C73" s="182"/>
      <c r="D73" s="180"/>
      <c r="E73" s="182"/>
      <c r="F73" s="185">
        <v>3.5000000000000003E-2</v>
      </c>
      <c r="G73" s="185">
        <v>3.5000000000000003E-2</v>
      </c>
      <c r="H73" s="185">
        <v>0.04</v>
      </c>
      <c r="I73" s="186">
        <v>0.04</v>
      </c>
      <c r="J73" s="185">
        <v>0</v>
      </c>
      <c r="K73" s="88"/>
      <c r="M73" s="51" t="s">
        <v>97</v>
      </c>
    </row>
    <row r="74" spans="2:15" x14ac:dyDescent="0.25"/>
    <row r="75" spans="2:15" ht="15.75" x14ac:dyDescent="0.25">
      <c r="B75" s="32" t="s">
        <v>84</v>
      </c>
      <c r="C75" s="33"/>
      <c r="D75" s="33"/>
      <c r="E75" s="33"/>
      <c r="F75" s="33"/>
      <c r="G75" s="34"/>
      <c r="H75" s="34"/>
      <c r="I75" s="34"/>
      <c r="J75" s="34"/>
      <c r="K75" s="33"/>
      <c r="M75" s="35"/>
    </row>
    <row r="76" spans="2:15" x14ac:dyDescent="0.25"/>
    <row r="77" spans="2:15" ht="15" customHeight="1" x14ac:dyDescent="0.25">
      <c r="E77" s="261" t="s">
        <v>38</v>
      </c>
      <c r="F77" s="262"/>
      <c r="G77" s="263"/>
      <c r="H77" s="57">
        <f>+I77/(1+H73)</f>
        <v>63.675634892251736</v>
      </c>
      <c r="I77" s="57">
        <f>+J77/(1+I73)</f>
        <v>66.222660287941807</v>
      </c>
      <c r="J77" s="57">
        <f>+$H$68</f>
        <v>68.871566699459478</v>
      </c>
    </row>
    <row r="78" spans="2:15" ht="38.25" x14ac:dyDescent="0.25">
      <c r="B78" s="217" t="s">
        <v>3</v>
      </c>
      <c r="C78" s="219"/>
      <c r="D78" s="58" t="s">
        <v>36</v>
      </c>
      <c r="E78" s="58" t="s">
        <v>26</v>
      </c>
      <c r="F78" s="59" t="s">
        <v>37</v>
      </c>
      <c r="G78" s="36" t="s">
        <v>10</v>
      </c>
      <c r="H78" s="37" t="s">
        <v>11</v>
      </c>
      <c r="I78" s="37" t="s">
        <v>12</v>
      </c>
      <c r="J78" s="37" t="s">
        <v>13</v>
      </c>
      <c r="K78" s="53" t="s">
        <v>14</v>
      </c>
      <c r="M78" s="40" t="s">
        <v>5</v>
      </c>
    </row>
    <row r="79" spans="2:15" ht="39.75" customHeight="1" x14ac:dyDescent="0.25">
      <c r="B79" s="254" t="s">
        <v>80</v>
      </c>
      <c r="C79" s="256"/>
      <c r="D79" s="23">
        <v>1</v>
      </c>
      <c r="E79" s="60">
        <f>10/60</f>
        <v>0.16666666666666666</v>
      </c>
      <c r="F79" s="61">
        <f t="shared" ref="F79:F81" si="0">+$H$68</f>
        <v>68.871566699459478</v>
      </c>
      <c r="G79" s="62"/>
      <c r="H79" s="63">
        <f>+H$77*$D79*$E79*H$26</f>
        <v>99991.971992465973</v>
      </c>
      <c r="I79" s="63">
        <f t="shared" ref="I79:I81" si="1">+I$77*$D79*$E79*I$26</f>
        <v>78429.704001019069</v>
      </c>
      <c r="J79" s="63">
        <f>+J$77*$D79*$E79*K$26</f>
        <v>72510.281140080915</v>
      </c>
      <c r="K79" s="89"/>
      <c r="M79" s="226" t="s">
        <v>98</v>
      </c>
      <c r="O79" s="28"/>
    </row>
    <row r="80" spans="2:15" ht="39.75" customHeight="1" x14ac:dyDescent="0.25">
      <c r="B80" s="254" t="s">
        <v>81</v>
      </c>
      <c r="C80" s="256"/>
      <c r="D80" s="23">
        <v>1</v>
      </c>
      <c r="E80" s="60">
        <f>15/60</f>
        <v>0.25</v>
      </c>
      <c r="F80" s="61">
        <f t="shared" si="0"/>
        <v>68.871566699459478</v>
      </c>
      <c r="G80" s="62"/>
      <c r="H80" s="63">
        <f t="shared" ref="H80:H81" si="2">+H$77*$D80*$E80*H$26</f>
        <v>149987.95798869897</v>
      </c>
      <c r="I80" s="63">
        <f t="shared" si="1"/>
        <v>117644.55600152862</v>
      </c>
      <c r="J80" s="63">
        <f>+J$77*$D80*$E80*K$26</f>
        <v>108765.42171012139</v>
      </c>
      <c r="K80" s="89"/>
      <c r="M80" s="264"/>
      <c r="O80" s="28"/>
    </row>
    <row r="81" spans="2:17" ht="39.75" customHeight="1" x14ac:dyDescent="0.25">
      <c r="B81" s="254" t="s">
        <v>82</v>
      </c>
      <c r="C81" s="256"/>
      <c r="D81" s="23">
        <v>1</v>
      </c>
      <c r="E81" s="60">
        <f>5/60</f>
        <v>8.3333333333333329E-2</v>
      </c>
      <c r="F81" s="61">
        <f t="shared" si="0"/>
        <v>68.871566699459478</v>
      </c>
      <c r="G81" s="62"/>
      <c r="H81" s="63">
        <f t="shared" si="2"/>
        <v>49995.985996232987</v>
      </c>
      <c r="I81" s="63">
        <f t="shared" si="1"/>
        <v>39214.852000509534</v>
      </c>
      <c r="J81" s="63">
        <f>+J$77*$D81*$E81*K$26</f>
        <v>36255.140570040458</v>
      </c>
      <c r="K81" s="89"/>
      <c r="M81" s="265"/>
      <c r="O81" s="28"/>
    </row>
    <row r="82" spans="2:17" ht="13.5" thickBot="1" x14ac:dyDescent="0.3">
      <c r="E82" s="64"/>
      <c r="H82" s="49">
        <f>SUM(H79:H81)</f>
        <v>299975.91597739793</v>
      </c>
      <c r="I82" s="49">
        <f>SUM(I79:I81)</f>
        <v>235289.11200305723</v>
      </c>
      <c r="J82" s="49">
        <f>SUM(J79:J81)</f>
        <v>217530.84342024277</v>
      </c>
      <c r="O82" s="27"/>
      <c r="P82" s="27"/>
      <c r="Q82" s="27"/>
    </row>
    <row r="83" spans="2:17" x14ac:dyDescent="0.25">
      <c r="E83" s="64"/>
    </row>
    <row r="84" spans="2:17" ht="15.75" x14ac:dyDescent="0.25">
      <c r="B84" s="32" t="s">
        <v>83</v>
      </c>
      <c r="C84" s="33"/>
      <c r="D84" s="33"/>
      <c r="E84" s="33"/>
      <c r="F84" s="33"/>
      <c r="G84" s="34"/>
      <c r="H84" s="34"/>
      <c r="I84" s="34"/>
      <c r="J84" s="34"/>
      <c r="K84" s="33"/>
      <c r="M84" s="35"/>
    </row>
    <row r="85" spans="2:17" x14ac:dyDescent="0.25">
      <c r="E85" s="64"/>
    </row>
    <row r="86" spans="2:17" ht="38.25" x14ac:dyDescent="0.2">
      <c r="B86" s="164" t="s">
        <v>3</v>
      </c>
      <c r="C86" s="165"/>
      <c r="D86" s="165"/>
      <c r="E86" s="165"/>
      <c r="F86" s="165"/>
      <c r="G86" s="58" t="s">
        <v>36</v>
      </c>
      <c r="H86" s="58" t="s">
        <v>26</v>
      </c>
      <c r="I86" s="59" t="s">
        <v>37</v>
      </c>
      <c r="J86" s="37" t="s">
        <v>85</v>
      </c>
      <c r="K86" s="66"/>
      <c r="M86" s="40" t="s">
        <v>5</v>
      </c>
    </row>
    <row r="87" spans="2:17" ht="27" customHeight="1" x14ac:dyDescent="0.25">
      <c r="B87" s="254" t="s">
        <v>80</v>
      </c>
      <c r="C87" s="255"/>
      <c r="D87" s="255"/>
      <c r="E87" s="255"/>
      <c r="F87" s="256"/>
      <c r="G87" s="23">
        <f>+D79</f>
        <v>1</v>
      </c>
      <c r="H87" s="60">
        <f t="shared" ref="H87:H89" si="3">+E79</f>
        <v>0.16666666666666666</v>
      </c>
      <c r="I87" s="61">
        <f>+$H$68</f>
        <v>68.871566699459478</v>
      </c>
      <c r="J87" s="61">
        <f>+G87*H87*I87</f>
        <v>11.478594449909913</v>
      </c>
      <c r="K87" s="66"/>
      <c r="M87" s="226" t="s">
        <v>99</v>
      </c>
    </row>
    <row r="88" spans="2:17" ht="27" customHeight="1" x14ac:dyDescent="0.25">
      <c r="B88" s="254" t="s">
        <v>81</v>
      </c>
      <c r="C88" s="255"/>
      <c r="D88" s="255"/>
      <c r="E88" s="255"/>
      <c r="F88" s="256"/>
      <c r="G88" s="23">
        <f>+D80</f>
        <v>1</v>
      </c>
      <c r="H88" s="60">
        <f t="shared" si="3"/>
        <v>0.25</v>
      </c>
      <c r="I88" s="61">
        <f>+$H$68</f>
        <v>68.871566699459478</v>
      </c>
      <c r="J88" s="61">
        <f>+G88*H88*I88</f>
        <v>17.21789167486487</v>
      </c>
      <c r="K88" s="66"/>
      <c r="M88" s="227"/>
    </row>
    <row r="89" spans="2:17" ht="27" customHeight="1" x14ac:dyDescent="0.25">
      <c r="B89" s="254" t="s">
        <v>82</v>
      </c>
      <c r="C89" s="255"/>
      <c r="D89" s="255"/>
      <c r="E89" s="255"/>
      <c r="F89" s="256"/>
      <c r="G89" s="23">
        <f>+D81</f>
        <v>1</v>
      </c>
      <c r="H89" s="60">
        <f t="shared" si="3"/>
        <v>8.3333333333333329E-2</v>
      </c>
      <c r="I89" s="61">
        <f>+$H$68</f>
        <v>68.871566699459478</v>
      </c>
      <c r="J89" s="61">
        <f>+G89*H89*I89</f>
        <v>5.7392972249549565</v>
      </c>
      <c r="K89" s="92"/>
      <c r="M89" s="227"/>
      <c r="N89" s="66"/>
    </row>
    <row r="90" spans="2:17" x14ac:dyDescent="0.25">
      <c r="E90" s="64"/>
      <c r="H90" s="66"/>
      <c r="I90" s="66"/>
      <c r="J90" s="66"/>
      <c r="K90" s="92"/>
      <c r="M90" s="227"/>
    </row>
    <row r="91" spans="2:17" x14ac:dyDescent="0.25">
      <c r="E91" s="64"/>
      <c r="G91" s="232" t="s">
        <v>105</v>
      </c>
      <c r="H91" s="232"/>
      <c r="I91" s="232"/>
      <c r="J91" s="154">
        <f>SUM(J87:J89)</f>
        <v>34.435783349729739</v>
      </c>
      <c r="K91" s="92"/>
      <c r="M91" s="227"/>
    </row>
    <row r="92" spans="2:17" x14ac:dyDescent="0.25">
      <c r="E92" s="64"/>
      <c r="H92" s="66"/>
      <c r="I92" s="66"/>
      <c r="J92" s="66"/>
      <c r="K92" s="92"/>
      <c r="M92" s="227"/>
    </row>
    <row r="93" spans="2:17" x14ac:dyDescent="0.25">
      <c r="E93" s="64"/>
      <c r="G93" s="232" t="s">
        <v>47</v>
      </c>
      <c r="H93" s="232"/>
      <c r="I93" s="232"/>
      <c r="J93" s="155">
        <f>+K113-1</f>
        <v>1.2648945446885498</v>
      </c>
      <c r="K93" s="92"/>
      <c r="M93" s="227"/>
    </row>
    <row r="94" spans="2:17" x14ac:dyDescent="0.25">
      <c r="E94" s="64"/>
      <c r="H94" s="66"/>
      <c r="I94" s="66"/>
      <c r="J94" s="66"/>
      <c r="K94" s="92"/>
      <c r="M94" s="227"/>
    </row>
    <row r="95" spans="2:17" x14ac:dyDescent="0.25">
      <c r="E95" s="64"/>
      <c r="G95" s="232" t="s">
        <v>92</v>
      </c>
      <c r="H95" s="232"/>
      <c r="I95" s="232"/>
      <c r="J95" s="154">
        <f>+J91+(J93*J91)</f>
        <v>77.99341785087968</v>
      </c>
      <c r="K95" s="92"/>
      <c r="M95" s="228"/>
    </row>
    <row r="96" spans="2:17" x14ac:dyDescent="0.25">
      <c r="E96" s="64"/>
      <c r="H96" s="66"/>
      <c r="I96" s="66"/>
      <c r="J96" s="66"/>
    </row>
    <row r="97" spans="2:13" ht="15.75" x14ac:dyDescent="0.25">
      <c r="B97" s="32" t="s">
        <v>86</v>
      </c>
      <c r="C97" s="33"/>
      <c r="D97" s="33"/>
      <c r="E97" s="33"/>
      <c r="F97" s="33"/>
      <c r="G97" s="34"/>
      <c r="H97" s="34"/>
      <c r="I97" s="34"/>
      <c r="J97" s="34"/>
      <c r="K97" s="33"/>
      <c r="M97" s="35"/>
    </row>
    <row r="98" spans="2:13" x14ac:dyDescent="0.25">
      <c r="E98" s="64"/>
    </row>
    <row r="99" spans="2:13" x14ac:dyDescent="0.25">
      <c r="B99" s="148"/>
      <c r="C99" s="149"/>
      <c r="D99" s="149"/>
      <c r="E99" s="149"/>
      <c r="F99" s="37" t="s">
        <v>14</v>
      </c>
      <c r="G99" s="37" t="s">
        <v>15</v>
      </c>
      <c r="H99" s="37" t="s">
        <v>16</v>
      </c>
      <c r="I99" s="37" t="s">
        <v>17</v>
      </c>
      <c r="J99" s="37" t="s">
        <v>18</v>
      </c>
      <c r="K99" s="37" t="s">
        <v>19</v>
      </c>
      <c r="M99" s="40" t="s">
        <v>5</v>
      </c>
    </row>
    <row r="100" spans="2:13" x14ac:dyDescent="0.25">
      <c r="H100" s="66"/>
      <c r="I100" s="66"/>
      <c r="J100" s="66"/>
      <c r="M100" s="226" t="s">
        <v>103</v>
      </c>
    </row>
    <row r="101" spans="2:13" x14ac:dyDescent="0.25">
      <c r="B101" s="26" t="s">
        <v>87</v>
      </c>
      <c r="F101" s="67">
        <f>+G101/1.025</f>
        <v>35.921580652344005</v>
      </c>
      <c r="G101" s="67">
        <f>$J91*G120</f>
        <v>36.819620168652605</v>
      </c>
      <c r="H101" s="67">
        <f>$J91*H120</f>
        <v>38.426049883390348</v>
      </c>
      <c r="I101" s="67">
        <f>$J91*I120</f>
        <v>39.727067527590314</v>
      </c>
      <c r="J101" s="67">
        <f>$J91*J120</f>
        <v>41.126578937581073</v>
      </c>
      <c r="K101" s="67">
        <f>$J91*K120</f>
        <v>42.542828151174149</v>
      </c>
      <c r="M101" s="227"/>
    </row>
    <row r="102" spans="2:13" x14ac:dyDescent="0.25">
      <c r="B102" s="26" t="s">
        <v>88</v>
      </c>
      <c r="F102" s="67">
        <f>+G102/1.025</f>
        <v>81.358592056083694</v>
      </c>
      <c r="G102" s="67">
        <f>$J95*G120</f>
        <v>83.392556857485786</v>
      </c>
      <c r="H102" s="67">
        <f>$J95*H120</f>
        <v>87.030950754820879</v>
      </c>
      <c r="I102" s="67">
        <f>$J95*I120</f>
        <v>89.977618519712934</v>
      </c>
      <c r="J102" s="67">
        <f>$J95*J120</f>
        <v>93.147364277430384</v>
      </c>
      <c r="K102" s="67">
        <f>$J95*K120</f>
        <v>96.355019395216786</v>
      </c>
      <c r="M102" s="227"/>
    </row>
    <row r="103" spans="2:13" x14ac:dyDescent="0.25">
      <c r="G103" s="67"/>
      <c r="H103" s="67"/>
      <c r="I103" s="67"/>
      <c r="J103" s="67"/>
      <c r="K103" s="67"/>
      <c r="M103" s="227"/>
    </row>
    <row r="104" spans="2:13" x14ac:dyDescent="0.25">
      <c r="B104" s="150" t="s">
        <v>62</v>
      </c>
      <c r="C104" s="150"/>
      <c r="D104" s="150"/>
      <c r="E104" s="150"/>
      <c r="F104" s="150"/>
      <c r="G104" s="151"/>
      <c r="H104" s="151">
        <f t="shared" ref="H104:K104" si="4">(H102-G102)/G102</f>
        <v>4.3629719898778827E-2</v>
      </c>
      <c r="I104" s="151">
        <f t="shared" si="4"/>
        <v>3.385769935104186E-2</v>
      </c>
      <c r="J104" s="151">
        <f t="shared" si="4"/>
        <v>3.5228157956003245E-2</v>
      </c>
      <c r="K104" s="152">
        <f t="shared" si="4"/>
        <v>3.443634871119608E-2</v>
      </c>
      <c r="M104" s="228"/>
    </row>
    <row r="105" spans="2:13" x14ac:dyDescent="0.25">
      <c r="E105" s="64"/>
      <c r="H105" s="66"/>
      <c r="I105" s="66"/>
      <c r="J105" s="66"/>
    </row>
    <row r="106" spans="2:13" ht="15.75" x14ac:dyDescent="0.25">
      <c r="B106" s="32" t="s">
        <v>46</v>
      </c>
      <c r="C106" s="33"/>
      <c r="D106" s="33"/>
      <c r="E106" s="33"/>
      <c r="F106" s="33"/>
      <c r="G106" s="34"/>
      <c r="H106" s="34"/>
      <c r="I106" s="34"/>
      <c r="J106" s="34"/>
      <c r="K106" s="33"/>
      <c r="M106" s="35"/>
    </row>
    <row r="107" spans="2:13" x14ac:dyDescent="0.25"/>
    <row r="108" spans="2:13" x14ac:dyDescent="0.25">
      <c r="B108" s="245" t="s">
        <v>20</v>
      </c>
      <c r="C108" s="246"/>
      <c r="D108" s="246"/>
      <c r="E108" s="247"/>
      <c r="F108" s="147" t="s">
        <v>14</v>
      </c>
      <c r="G108" s="147" t="s">
        <v>15</v>
      </c>
      <c r="H108" s="147" t="s">
        <v>16</v>
      </c>
      <c r="I108" s="147" t="s">
        <v>17</v>
      </c>
      <c r="J108" s="147" t="s">
        <v>18</v>
      </c>
      <c r="K108" s="58" t="s">
        <v>19</v>
      </c>
      <c r="M108" s="40" t="s">
        <v>5</v>
      </c>
    </row>
    <row r="109" spans="2:13" ht="12.75" customHeight="1" x14ac:dyDescent="0.25">
      <c r="B109" s="248" t="s">
        <v>100</v>
      </c>
      <c r="C109" s="249"/>
      <c r="D109" s="249"/>
      <c r="E109" s="250"/>
      <c r="F109" s="45"/>
      <c r="G109" s="65">
        <v>18449161.14072692</v>
      </c>
      <c r="H109" s="65">
        <v>19652616.51053571</v>
      </c>
      <c r="I109" s="65">
        <v>20750302.453561164</v>
      </c>
      <c r="J109" s="65">
        <v>21950966.582370307</v>
      </c>
      <c r="K109" s="45">
        <v>23217206.584968176</v>
      </c>
      <c r="M109" s="226" t="s">
        <v>104</v>
      </c>
    </row>
    <row r="110" spans="2:13" x14ac:dyDescent="0.25">
      <c r="B110" s="251" t="s">
        <v>101</v>
      </c>
      <c r="C110" s="252"/>
      <c r="D110" s="252"/>
      <c r="E110" s="253"/>
      <c r="F110" s="45"/>
      <c r="G110" s="65">
        <v>40098372.700329572</v>
      </c>
      <c r="H110" s="65">
        <v>44414981.708611391</v>
      </c>
      <c r="I110" s="65">
        <v>47124811.758132517</v>
      </c>
      <c r="J110" s="65">
        <v>50429626.415997855</v>
      </c>
      <c r="K110" s="45">
        <v>53924251.70079805</v>
      </c>
      <c r="M110" s="227"/>
    </row>
    <row r="111" spans="2:13" x14ac:dyDescent="0.25">
      <c r="B111" s="233" t="s">
        <v>20</v>
      </c>
      <c r="C111" s="234"/>
      <c r="D111" s="234"/>
      <c r="E111" s="235"/>
      <c r="F111" s="82"/>
      <c r="G111" s="82">
        <f t="shared" ref="G111:K111" si="5">+G110/G109</f>
        <v>2.1734523534412387</v>
      </c>
      <c r="H111" s="82">
        <f t="shared" si="5"/>
        <v>2.2600034801880273</v>
      </c>
      <c r="I111" s="82">
        <f t="shared" si="5"/>
        <v>2.2710421625707418</v>
      </c>
      <c r="J111" s="82">
        <f t="shared" si="5"/>
        <v>2.2973761190315822</v>
      </c>
      <c r="K111" s="175">
        <f t="shared" si="5"/>
        <v>2.3225986082111594</v>
      </c>
      <c r="M111" s="227"/>
    </row>
    <row r="112" spans="2:13" x14ac:dyDescent="0.25">
      <c r="F112" s="28"/>
      <c r="K112" s="28"/>
      <c r="M112" s="227"/>
    </row>
    <row r="113" spans="2:13" x14ac:dyDescent="0.25">
      <c r="F113" s="223" t="s">
        <v>21</v>
      </c>
      <c r="G113" s="224"/>
      <c r="H113" s="224"/>
      <c r="I113" s="224"/>
      <c r="J113" s="225"/>
      <c r="K113" s="176">
        <f>AVERAGE(G111:K111)</f>
        <v>2.2648945446885498</v>
      </c>
      <c r="M113" s="228"/>
    </row>
    <row r="114" spans="2:13" x14ac:dyDescent="0.25">
      <c r="G114" s="26"/>
      <c r="H114" s="26"/>
      <c r="I114" s="26"/>
      <c r="J114" s="26"/>
      <c r="K114" s="177"/>
    </row>
    <row r="115" spans="2:13" ht="15.75" x14ac:dyDescent="0.25">
      <c r="B115" s="32" t="s">
        <v>123</v>
      </c>
      <c r="C115" s="33"/>
      <c r="D115" s="33"/>
      <c r="E115" s="33"/>
      <c r="F115" s="33"/>
      <c r="G115" s="34"/>
      <c r="H115" s="34"/>
      <c r="I115" s="34"/>
      <c r="J115" s="34"/>
      <c r="K115" s="33"/>
      <c r="M115" s="35"/>
    </row>
    <row r="116" spans="2:13" x14ac:dyDescent="0.25"/>
    <row r="117" spans="2:13" x14ac:dyDescent="0.2">
      <c r="B117" s="236" t="s">
        <v>124</v>
      </c>
      <c r="C117" s="237"/>
      <c r="D117" s="237"/>
      <c r="E117" s="238"/>
      <c r="F117" s="147" t="s">
        <v>14</v>
      </c>
      <c r="G117" s="147" t="s">
        <v>15</v>
      </c>
      <c r="H117" s="147" t="s">
        <v>16</v>
      </c>
      <c r="I117" s="147" t="s">
        <v>17</v>
      </c>
      <c r="J117" s="147" t="s">
        <v>18</v>
      </c>
      <c r="K117" s="58" t="s">
        <v>19</v>
      </c>
      <c r="M117" s="212" t="s">
        <v>5</v>
      </c>
    </row>
    <row r="118" spans="2:13" ht="12.75" customHeight="1" x14ac:dyDescent="0.2">
      <c r="B118" s="229" t="s">
        <v>102</v>
      </c>
      <c r="C118" s="230"/>
      <c r="D118" s="230"/>
      <c r="E118" s="231"/>
      <c r="F118" s="24"/>
      <c r="G118" s="24">
        <v>17254695.000010207</v>
      </c>
      <c r="H118" s="24">
        <v>17611834.848126188</v>
      </c>
      <c r="I118" s="24">
        <v>17986550.838063825</v>
      </c>
      <c r="J118" s="24">
        <v>18379810.552560411</v>
      </c>
      <c r="K118" s="178">
        <v>18792890.146016706</v>
      </c>
      <c r="M118" s="214" t="s">
        <v>127</v>
      </c>
    </row>
    <row r="119" spans="2:13" x14ac:dyDescent="0.2">
      <c r="B119" s="239" t="s">
        <v>125</v>
      </c>
      <c r="C119" s="240"/>
      <c r="D119" s="240"/>
      <c r="E119" s="241"/>
      <c r="F119" s="24"/>
      <c r="G119" s="24">
        <v>18449161.14072692</v>
      </c>
      <c r="H119" s="24">
        <v>19652616.51053571</v>
      </c>
      <c r="I119" s="24">
        <v>20750302.453561164</v>
      </c>
      <c r="J119" s="24">
        <v>21950966.582370307</v>
      </c>
      <c r="K119" s="178">
        <v>23217206.584968176</v>
      </c>
      <c r="M119" s="215"/>
    </row>
    <row r="120" spans="2:13" x14ac:dyDescent="0.2">
      <c r="B120" s="242" t="s">
        <v>126</v>
      </c>
      <c r="C120" s="243"/>
      <c r="D120" s="243"/>
      <c r="E120" s="244"/>
      <c r="F120" s="82"/>
      <c r="G120" s="82">
        <f t="shared" ref="G120:K120" si="6">+G119/G118</f>
        <v>1.0692255725595849</v>
      </c>
      <c r="H120" s="82">
        <f t="shared" si="6"/>
        <v>1.1158755847989712</v>
      </c>
      <c r="I120" s="82">
        <f t="shared" si="6"/>
        <v>1.1536565648622628</v>
      </c>
      <c r="J120" s="82">
        <f t="shared" si="6"/>
        <v>1.1942977605562106</v>
      </c>
      <c r="K120" s="175">
        <f t="shared" si="6"/>
        <v>1.2354250147037249</v>
      </c>
      <c r="M120" s="215"/>
    </row>
    <row r="121" spans="2:13" x14ac:dyDescent="0.25">
      <c r="F121" s="28"/>
      <c r="K121" s="28"/>
      <c r="M121" s="215"/>
    </row>
    <row r="122" spans="2:13" x14ac:dyDescent="0.25">
      <c r="F122" s="223" t="s">
        <v>22</v>
      </c>
      <c r="G122" s="224"/>
      <c r="H122" s="224"/>
      <c r="I122" s="224"/>
      <c r="J122" s="225"/>
      <c r="K122" s="176">
        <f>AVERAGE(G120:K120)</f>
        <v>1.1536960994961507</v>
      </c>
      <c r="M122" s="216"/>
    </row>
    <row r="123" spans="2:13" x14ac:dyDescent="0.25">
      <c r="K123" s="153"/>
      <c r="M123" s="213"/>
    </row>
    <row r="124" spans="2:13" ht="12.75" customHeight="1" x14ac:dyDescent="0.25">
      <c r="M124" s="84"/>
    </row>
    <row r="125" spans="2:13" ht="12.75" customHeight="1" x14ac:dyDescent="0.25">
      <c r="M125" s="85"/>
    </row>
    <row r="126" spans="2:13" ht="12.75" customHeight="1" x14ac:dyDescent="0.25">
      <c r="M126" s="85"/>
    </row>
    <row r="127" spans="2:13" x14ac:dyDescent="0.25">
      <c r="M127" s="85"/>
    </row>
    <row r="128" spans="2:13"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sheetData>
  <mergeCells count="35">
    <mergeCell ref="M31:M68"/>
    <mergeCell ref="E77:G77"/>
    <mergeCell ref="M79:M81"/>
    <mergeCell ref="B79:C79"/>
    <mergeCell ref="B78:C78"/>
    <mergeCell ref="C18:F18"/>
    <mergeCell ref="C19:F19"/>
    <mergeCell ref="B13:F13"/>
    <mergeCell ref="B14:F14"/>
    <mergeCell ref="B24:F24"/>
    <mergeCell ref="B25:F25"/>
    <mergeCell ref="B108:E108"/>
    <mergeCell ref="B109:E109"/>
    <mergeCell ref="B110:E110"/>
    <mergeCell ref="B88:F88"/>
    <mergeCell ref="B87:F87"/>
    <mergeCell ref="B89:F89"/>
    <mergeCell ref="B80:C80"/>
    <mergeCell ref="B81:C81"/>
    <mergeCell ref="M118:M122"/>
    <mergeCell ref="B8:I8"/>
    <mergeCell ref="B9:I9"/>
    <mergeCell ref="F122:J122"/>
    <mergeCell ref="M109:M113"/>
    <mergeCell ref="B118:E118"/>
    <mergeCell ref="G91:I91"/>
    <mergeCell ref="G95:I95"/>
    <mergeCell ref="G93:I93"/>
    <mergeCell ref="B111:E111"/>
    <mergeCell ref="B117:E117"/>
    <mergeCell ref="B119:E119"/>
    <mergeCell ref="B120:E120"/>
    <mergeCell ref="F113:J113"/>
    <mergeCell ref="M87:M95"/>
    <mergeCell ref="M100:M104"/>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8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70"/>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29" t="s">
        <v>49</v>
      </c>
      <c r="C2" s="130"/>
      <c r="D2" s="130"/>
      <c r="E2" s="130"/>
      <c r="F2" s="130"/>
      <c r="G2" s="130"/>
      <c r="H2" s="130"/>
    </row>
    <row r="3" spans="2:8" x14ac:dyDescent="0.25">
      <c r="B3" s="11" t="s">
        <v>0</v>
      </c>
      <c r="C3" s="16" t="s">
        <v>75</v>
      </c>
      <c r="D3" s="17"/>
      <c r="E3" s="17"/>
      <c r="F3" s="17"/>
      <c r="G3" s="17"/>
      <c r="H3" s="17"/>
    </row>
    <row r="4" spans="2:8" x14ac:dyDescent="0.25">
      <c r="B4" s="11" t="s">
        <v>106</v>
      </c>
      <c r="C4" s="16" t="s">
        <v>107</v>
      </c>
      <c r="D4" s="17"/>
      <c r="E4" s="17"/>
      <c r="F4" s="17"/>
      <c r="G4" s="17"/>
      <c r="H4" s="17"/>
    </row>
    <row r="5" spans="2:8" x14ac:dyDescent="0.25">
      <c r="B5" s="11" t="s">
        <v>110</v>
      </c>
      <c r="C5" s="266" t="s">
        <v>108</v>
      </c>
      <c r="D5" s="266"/>
      <c r="E5" s="266"/>
      <c r="F5" s="266"/>
      <c r="G5" s="266"/>
      <c r="H5" s="266"/>
    </row>
    <row r="6" spans="2:8" x14ac:dyDescent="0.25">
      <c r="B6" s="133" t="s">
        <v>111</v>
      </c>
      <c r="C6" s="266" t="s">
        <v>109</v>
      </c>
      <c r="D6" s="266"/>
      <c r="E6" s="266"/>
      <c r="F6" s="266"/>
      <c r="G6" s="266"/>
      <c r="H6" s="266"/>
    </row>
    <row r="7" spans="2:8" x14ac:dyDescent="0.25">
      <c r="B7" s="133"/>
      <c r="C7" s="169"/>
      <c r="D7" s="170" t="s">
        <v>15</v>
      </c>
      <c r="E7" s="170" t="s">
        <v>16</v>
      </c>
      <c r="F7" s="170" t="s">
        <v>17</v>
      </c>
      <c r="G7" s="170" t="s">
        <v>18</v>
      </c>
      <c r="H7" s="170" t="s">
        <v>19</v>
      </c>
    </row>
    <row r="8" spans="2:8" x14ac:dyDescent="0.25">
      <c r="B8" s="133"/>
      <c r="C8" s="171"/>
      <c r="D8" s="172">
        <f>+'Input Sheet'!G102</f>
        <v>83.392556857485786</v>
      </c>
      <c r="E8" s="172">
        <f>+'Input Sheet'!H102</f>
        <v>87.030950754820879</v>
      </c>
      <c r="F8" s="172">
        <f>+'Input Sheet'!I102</f>
        <v>89.977618519712934</v>
      </c>
      <c r="G8" s="172">
        <f>+'Input Sheet'!J102</f>
        <v>93.147364277430384</v>
      </c>
      <c r="H8" s="172">
        <f>+'Input Sheet'!K102</f>
        <v>96.355019395216786</v>
      </c>
    </row>
    <row r="10" spans="2:8" x14ac:dyDescent="0.25">
      <c r="B10" s="127" t="s">
        <v>55</v>
      </c>
      <c r="C10" s="124"/>
      <c r="D10" s="124"/>
      <c r="E10" s="124"/>
      <c r="F10" s="124"/>
      <c r="G10" s="124"/>
      <c r="H10" s="124"/>
    </row>
    <row r="11" spans="2:8" ht="30" customHeight="1" x14ac:dyDescent="0.25">
      <c r="B11" s="268" t="s">
        <v>112</v>
      </c>
      <c r="C11" s="268"/>
      <c r="D11" s="268"/>
      <c r="E11" s="268"/>
      <c r="F11" s="268"/>
      <c r="G11" s="268"/>
      <c r="H11" s="268"/>
    </row>
    <row r="13" spans="2:8" x14ac:dyDescent="0.25">
      <c r="B13" s="127" t="s">
        <v>120</v>
      </c>
      <c r="C13" s="124"/>
      <c r="D13" s="124"/>
      <c r="E13" s="124"/>
      <c r="F13" s="124"/>
      <c r="G13" s="124"/>
      <c r="H13" s="124"/>
    </row>
    <row r="14" spans="2:8" ht="15" customHeight="1" x14ac:dyDescent="0.25">
      <c r="B14" s="268" t="s">
        <v>66</v>
      </c>
      <c r="C14" s="268"/>
      <c r="D14" s="268"/>
      <c r="E14" s="268"/>
      <c r="F14" s="268"/>
      <c r="G14" s="268"/>
      <c r="H14" s="268"/>
    </row>
    <row r="15" spans="2:8" ht="45.75" customHeight="1" x14ac:dyDescent="0.25">
      <c r="B15" s="269" t="s">
        <v>67</v>
      </c>
      <c r="C15" s="269"/>
      <c r="D15" s="269"/>
      <c r="E15" s="269"/>
      <c r="F15" s="269"/>
      <c r="G15" s="269"/>
      <c r="H15" s="269"/>
    </row>
    <row r="16" spans="2:8" ht="48" customHeight="1" x14ac:dyDescent="0.25">
      <c r="B16" s="269" t="s">
        <v>114</v>
      </c>
      <c r="C16" s="269"/>
      <c r="D16" s="269"/>
      <c r="E16" s="269"/>
      <c r="F16" s="269"/>
      <c r="G16" s="269"/>
      <c r="H16" s="269"/>
    </row>
    <row r="17" spans="2:8" ht="47.25" customHeight="1" x14ac:dyDescent="0.25">
      <c r="B17" s="269" t="s">
        <v>113</v>
      </c>
      <c r="C17" s="269"/>
      <c r="D17" s="269"/>
      <c r="E17" s="269"/>
      <c r="F17" s="269"/>
      <c r="G17" s="269"/>
      <c r="H17" s="269"/>
    </row>
    <row r="19" spans="2:8" x14ac:dyDescent="0.25">
      <c r="B19" s="127" t="s">
        <v>68</v>
      </c>
      <c r="C19" s="124"/>
      <c r="D19" s="124"/>
      <c r="E19" s="124"/>
      <c r="F19" s="124"/>
      <c r="G19" s="124"/>
      <c r="H19" s="124"/>
    </row>
    <row r="20" spans="2:8" ht="47.25" customHeight="1" x14ac:dyDescent="0.25">
      <c r="B20" s="268" t="s">
        <v>115</v>
      </c>
      <c r="C20" s="268"/>
      <c r="D20" s="268"/>
      <c r="E20" s="268"/>
      <c r="F20" s="268"/>
      <c r="G20" s="268"/>
      <c r="H20" s="268"/>
    </row>
    <row r="22" spans="2:8" x14ac:dyDescent="0.25">
      <c r="B22" s="14" t="s">
        <v>71</v>
      </c>
      <c r="C22" s="270" t="s">
        <v>5</v>
      </c>
      <c r="D22" s="271"/>
      <c r="E22" s="13" t="s">
        <v>11</v>
      </c>
      <c r="F22" s="13" t="s">
        <v>12</v>
      </c>
      <c r="G22" s="13" t="s">
        <v>13</v>
      </c>
      <c r="H22" s="161" t="s">
        <v>1</v>
      </c>
    </row>
    <row r="23" spans="2:8" x14ac:dyDescent="0.25">
      <c r="B23" s="15" t="s">
        <v>69</v>
      </c>
      <c r="C23" s="267" t="s">
        <v>72</v>
      </c>
      <c r="D23" s="267"/>
      <c r="E23" s="9">
        <f>'Input Sheet'!H14</f>
        <v>348617.37</v>
      </c>
      <c r="F23" s="9">
        <f>'Input Sheet'!I14</f>
        <v>262922</v>
      </c>
      <c r="G23" s="9">
        <f>'Input Sheet'!J14</f>
        <v>233554.09</v>
      </c>
      <c r="H23" s="18">
        <f>SUM(D23:G23)</f>
        <v>845093.46</v>
      </c>
    </row>
    <row r="24" spans="2:8" x14ac:dyDescent="0.25">
      <c r="B24" s="15" t="s">
        <v>23</v>
      </c>
      <c r="C24" s="267" t="s">
        <v>91</v>
      </c>
      <c r="D24" s="267"/>
      <c r="E24" s="9">
        <f>+'Input Sheet'!H82</f>
        <v>299975.91597739793</v>
      </c>
      <c r="F24" s="9">
        <f>+'Input Sheet'!I82</f>
        <v>235289.11200305723</v>
      </c>
      <c r="G24" s="9">
        <f>+'Input Sheet'!J82</f>
        <v>217530.84342024277</v>
      </c>
      <c r="H24" s="18">
        <f>SUM(D24:G24)</f>
        <v>752795.87140069797</v>
      </c>
    </row>
    <row r="25" spans="2:8" x14ac:dyDescent="0.25">
      <c r="B25" t="s">
        <v>4</v>
      </c>
      <c r="C25" s="267" t="s">
        <v>116</v>
      </c>
      <c r="D25" s="267"/>
      <c r="E25" s="121">
        <f>'Input Sheet'!H26</f>
        <v>9422</v>
      </c>
      <c r="F25" s="121">
        <f>'Input Sheet'!I26</f>
        <v>7106</v>
      </c>
      <c r="G25" s="121">
        <f>'Input Sheet'!J26</f>
        <v>6312</v>
      </c>
      <c r="H25" s="123">
        <f>SUM(D25:G25)</f>
        <v>22840</v>
      </c>
    </row>
    <row r="27" spans="2:8" x14ac:dyDescent="0.25">
      <c r="B27" s="127" t="s">
        <v>70</v>
      </c>
      <c r="C27" s="124"/>
      <c r="D27" s="124"/>
      <c r="E27" s="124"/>
      <c r="F27" s="124"/>
      <c r="G27" s="124"/>
      <c r="H27" s="124"/>
    </row>
    <row r="28" spans="2:8" ht="78.75" customHeight="1" x14ac:dyDescent="0.25">
      <c r="B28" s="268" t="s">
        <v>121</v>
      </c>
      <c r="C28" s="268"/>
      <c r="D28" s="268"/>
      <c r="E28" s="268"/>
      <c r="F28" s="268"/>
      <c r="G28" s="268"/>
      <c r="H28" s="268"/>
    </row>
    <row r="30" spans="2:8" x14ac:dyDescent="0.25">
      <c r="B30" s="12" t="s">
        <v>71</v>
      </c>
      <c r="C30" s="13" t="s">
        <v>15</v>
      </c>
      <c r="D30" s="13" t="s">
        <v>16</v>
      </c>
      <c r="E30" s="13" t="s">
        <v>17</v>
      </c>
      <c r="F30" s="13" t="s">
        <v>18</v>
      </c>
      <c r="G30" s="13" t="s">
        <v>19</v>
      </c>
      <c r="H30" s="161" t="s">
        <v>1</v>
      </c>
    </row>
    <row r="31" spans="2:8" x14ac:dyDescent="0.25">
      <c r="B31" s="15" t="s">
        <v>69</v>
      </c>
      <c r="C31" s="9">
        <f>'Fee Breakdown'!Z11</f>
        <v>475420.96664452646</v>
      </c>
      <c r="D31" s="9">
        <f>'Fee Breakdown'!AA11</f>
        <v>471359.62928810989</v>
      </c>
      <c r="E31" s="9">
        <f>'Fee Breakdown'!AB11</f>
        <v>462934.84728392307</v>
      </c>
      <c r="F31" s="9">
        <f>'Fee Breakdown'!AC11</f>
        <v>455304.31658807973</v>
      </c>
      <c r="G31" s="9">
        <f>'Fee Breakdown'!AD11</f>
        <v>447472.71007138677</v>
      </c>
      <c r="H31" s="18">
        <f>SUM(C31:G31)</f>
        <v>2312492.4698760258</v>
      </c>
    </row>
    <row r="32" spans="2:8" x14ac:dyDescent="0.25">
      <c r="B32" s="15"/>
      <c r="C32" s="9"/>
      <c r="D32" s="9"/>
      <c r="E32" s="9"/>
      <c r="F32" s="9"/>
      <c r="G32" s="9"/>
      <c r="H32" s="18"/>
    </row>
    <row r="33" spans="2:8" x14ac:dyDescent="0.25">
      <c r="B33" s="15" t="s">
        <v>23</v>
      </c>
      <c r="C33" s="9">
        <f>'Fee Breakdown'!N19</f>
        <v>209908.65458148849</v>
      </c>
      <c r="D33" s="9">
        <f>'Fee Breakdown'!O19</f>
        <v>208115.48616844212</v>
      </c>
      <c r="E33" s="9">
        <f>'Fee Breakdown'!P19</f>
        <v>204395.76242945218</v>
      </c>
      <c r="F33" s="9">
        <f>'Fee Breakdown'!Q19</f>
        <v>201026.7178468963</v>
      </c>
      <c r="G33" s="9">
        <f>'Fee Breakdown'!R19</f>
        <v>197568.89393405276</v>
      </c>
      <c r="H33" s="18">
        <f>SUM(C33:G33)</f>
        <v>1021015.5149603318</v>
      </c>
    </row>
    <row r="34" spans="2:8" x14ac:dyDescent="0.25">
      <c r="B34" s="15" t="s">
        <v>25</v>
      </c>
      <c r="C34" s="9">
        <f>'Fee Breakdown'!T19</f>
        <v>246317.8047263317</v>
      </c>
      <c r="D34" s="9">
        <f>'Fee Breakdown'!U19</f>
        <v>262226.23685326031</v>
      </c>
      <c r="E34" s="9">
        <f>'Fee Breakdown'!V19</f>
        <v>259795.63189862648</v>
      </c>
      <c r="F34" s="9">
        <f>'Fee Breakdown'!W19</f>
        <v>260807.26302186321</v>
      </c>
      <c r="G34" s="9">
        <f>'Fee Breakdown'!X19</f>
        <v>261304.34414299636</v>
      </c>
      <c r="H34" s="18">
        <f>SUM(C34:G34)</f>
        <v>1290451.280643078</v>
      </c>
    </row>
    <row r="35" spans="2:8" ht="15.75" thickBot="1" x14ac:dyDescent="0.3">
      <c r="B35" s="125" t="s">
        <v>59</v>
      </c>
      <c r="C35" s="126">
        <f>SUM(C33:C34)</f>
        <v>456226.45930782019</v>
      </c>
      <c r="D35" s="126">
        <f t="shared" ref="D35:H35" si="0">SUM(D33:D34)</f>
        <v>470341.72302170243</v>
      </c>
      <c r="E35" s="126">
        <f t="shared" si="0"/>
        <v>464191.39432807866</v>
      </c>
      <c r="F35" s="126">
        <f t="shared" si="0"/>
        <v>461833.98086875951</v>
      </c>
      <c r="G35" s="126">
        <f t="shared" si="0"/>
        <v>458873.23807704914</v>
      </c>
      <c r="H35" s="126">
        <f t="shared" si="0"/>
        <v>2311466.7956034099</v>
      </c>
    </row>
    <row r="36" spans="2:8" x14ac:dyDescent="0.25">
      <c r="B36" s="15"/>
      <c r="C36" s="9"/>
      <c r="D36" s="9"/>
      <c r="E36" s="9"/>
      <c r="F36" s="9"/>
      <c r="G36" s="9"/>
      <c r="H36" s="9"/>
    </row>
    <row r="37" spans="2:8" x14ac:dyDescent="0.25">
      <c r="B37" t="s">
        <v>4</v>
      </c>
      <c r="C37" s="159">
        <f>'Fee Breakdown'!H19</f>
        <v>5701</v>
      </c>
      <c r="D37" s="159">
        <f>'Fee Breakdown'!I19</f>
        <v>5416</v>
      </c>
      <c r="E37" s="159">
        <f>'Fee Breakdown'!J19</f>
        <v>5145</v>
      </c>
      <c r="F37" s="159">
        <f>'Fee Breakdown'!K19</f>
        <v>4888</v>
      </c>
      <c r="G37" s="159">
        <f>'Fee Breakdown'!L19</f>
        <v>4644</v>
      </c>
      <c r="H37" s="160">
        <f>SUM(C37:G37)</f>
        <v>25794</v>
      </c>
    </row>
    <row r="38" spans="2:8" x14ac:dyDescent="0.25">
      <c r="C38" s="3"/>
      <c r="D38" s="4"/>
      <c r="E38" s="3"/>
      <c r="F38" s="3"/>
      <c r="G38" s="3"/>
    </row>
    <row r="39" spans="2:8" x14ac:dyDescent="0.25">
      <c r="B39" s="127" t="s">
        <v>56</v>
      </c>
      <c r="C39" s="124"/>
      <c r="D39" s="124"/>
      <c r="E39" s="124"/>
      <c r="F39" s="124"/>
      <c r="G39" s="124"/>
      <c r="H39" s="124"/>
    </row>
    <row r="40" spans="2:8" ht="61.5" customHeight="1" x14ac:dyDescent="0.25">
      <c r="B40" s="268" t="s">
        <v>117</v>
      </c>
      <c r="C40" s="268"/>
      <c r="D40" s="268"/>
      <c r="E40" s="268"/>
      <c r="F40" s="268"/>
      <c r="G40" s="268"/>
      <c r="H40" s="268"/>
    </row>
    <row r="42" spans="2:8" x14ac:dyDescent="0.25">
      <c r="B42" s="12" t="s">
        <v>71</v>
      </c>
      <c r="C42" s="13" t="s">
        <v>15</v>
      </c>
      <c r="D42" s="13" t="s">
        <v>16</v>
      </c>
      <c r="E42" s="13" t="s">
        <v>17</v>
      </c>
      <c r="F42" s="13" t="s">
        <v>18</v>
      </c>
      <c r="G42" s="13" t="s">
        <v>19</v>
      </c>
      <c r="H42" s="161" t="s">
        <v>58</v>
      </c>
    </row>
    <row r="43" spans="2:8" x14ac:dyDescent="0.25">
      <c r="B43" t="s">
        <v>57</v>
      </c>
      <c r="C43" s="8">
        <f>+'Input Sheet'!G111</f>
        <v>2.1734523534412387</v>
      </c>
      <c r="D43" s="8">
        <f>+'Input Sheet'!H111</f>
        <v>2.2600034801880273</v>
      </c>
      <c r="E43" s="8">
        <f>+'Input Sheet'!I111</f>
        <v>2.2710421625707418</v>
      </c>
      <c r="F43" s="8">
        <f>+'Input Sheet'!J111</f>
        <v>2.2973761190315822</v>
      </c>
      <c r="G43" s="8">
        <f>+'Input Sheet'!K111</f>
        <v>2.3225986082111594</v>
      </c>
      <c r="H43" s="122">
        <f>AVERAGE(C43:G43)</f>
        <v>2.2648945446885498</v>
      </c>
    </row>
    <row r="45" spans="2:8" hidden="1" x14ac:dyDescent="0.25"/>
    <row r="46" spans="2:8" hidden="1" x14ac:dyDescent="0.25"/>
    <row r="47" spans="2:8" hidden="1" x14ac:dyDescent="0.25"/>
    <row r="48" spans="2: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sheetData>
  <mergeCells count="14">
    <mergeCell ref="B40:H40"/>
    <mergeCell ref="B14:H14"/>
    <mergeCell ref="B11:H11"/>
    <mergeCell ref="B15:H15"/>
    <mergeCell ref="B16:H16"/>
    <mergeCell ref="B17:H17"/>
    <mergeCell ref="B20:H20"/>
    <mergeCell ref="B28:H28"/>
    <mergeCell ref="C22:D22"/>
    <mergeCell ref="C5:H5"/>
    <mergeCell ref="C23:D23"/>
    <mergeCell ref="C24:D24"/>
    <mergeCell ref="C25:D25"/>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4"/>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29" t="s">
        <v>48</v>
      </c>
      <c r="C2" s="129"/>
      <c r="D2" s="128"/>
      <c r="E2" s="128"/>
      <c r="F2" s="128"/>
      <c r="G2" s="128"/>
      <c r="H2" s="128"/>
      <c r="I2" s="128"/>
      <c r="J2" s="128"/>
      <c r="K2" s="128"/>
    </row>
    <row r="3" spans="2:13" x14ac:dyDescent="0.25">
      <c r="B3" s="14" t="s">
        <v>0</v>
      </c>
      <c r="C3" s="12"/>
      <c r="D3" s="272" t="str">
        <f>'AER Summary'!C3</f>
        <v>Conveyancing Information - Desk Inquiry</v>
      </c>
      <c r="E3" s="273"/>
      <c r="F3" s="273"/>
      <c r="G3" s="273"/>
      <c r="H3" s="273"/>
      <c r="I3" s="273"/>
      <c r="J3" s="273"/>
      <c r="K3" s="273"/>
      <c r="M3" s="6"/>
    </row>
    <row r="4" spans="2:13" x14ac:dyDescent="0.25">
      <c r="M4" s="6"/>
    </row>
    <row r="5" spans="2:13" x14ac:dyDescent="0.25">
      <c r="B5" s="127" t="s">
        <v>73</v>
      </c>
      <c r="C5" s="127"/>
      <c r="D5" s="127"/>
      <c r="E5" s="127"/>
      <c r="F5" s="127"/>
      <c r="G5" s="127"/>
      <c r="H5" s="127"/>
      <c r="I5" s="127"/>
      <c r="J5" s="127"/>
      <c r="K5" s="127"/>
      <c r="M5" s="7"/>
    </row>
    <row r="6" spans="2:13" ht="48.75" customHeight="1" x14ac:dyDescent="0.25">
      <c r="B6" s="268" t="s">
        <v>89</v>
      </c>
      <c r="C6" s="268"/>
      <c r="D6" s="268"/>
      <c r="E6" s="268"/>
      <c r="F6" s="268"/>
      <c r="G6" s="268"/>
      <c r="H6" s="268"/>
      <c r="I6" s="268"/>
      <c r="J6" s="268"/>
      <c r="K6" s="268"/>
      <c r="M6" s="7"/>
    </row>
    <row r="8" spans="2:13" x14ac:dyDescent="0.25">
      <c r="B8" s="127" t="s">
        <v>7</v>
      </c>
      <c r="C8" s="127"/>
      <c r="D8" s="127"/>
      <c r="E8" s="127"/>
      <c r="F8" s="127"/>
      <c r="G8" s="127"/>
      <c r="H8" s="127"/>
      <c r="I8" s="127"/>
      <c r="J8" s="127"/>
      <c r="K8" s="127"/>
    </row>
    <row r="9" spans="2:13" ht="30.75" customHeight="1" x14ac:dyDescent="0.25">
      <c r="B9" s="268" t="s">
        <v>90</v>
      </c>
      <c r="C9" s="268"/>
      <c r="D9" s="268"/>
      <c r="E9" s="268"/>
      <c r="F9" s="268"/>
      <c r="G9" s="268"/>
      <c r="H9" s="268"/>
      <c r="I9" s="268"/>
      <c r="J9" s="268"/>
      <c r="K9" s="268"/>
    </row>
    <row r="11" spans="2:13" x14ac:dyDescent="0.25">
      <c r="B11" s="127" t="s">
        <v>74</v>
      </c>
      <c r="C11" s="127"/>
      <c r="D11" s="127"/>
      <c r="E11" s="127"/>
      <c r="F11" s="127"/>
      <c r="G11" s="127"/>
      <c r="H11" s="127"/>
      <c r="I11" s="127"/>
      <c r="J11" s="127"/>
      <c r="K11" s="127"/>
    </row>
    <row r="12" spans="2:13" ht="48.75" customHeight="1" x14ac:dyDescent="0.25">
      <c r="B12" s="268" t="s">
        <v>122</v>
      </c>
      <c r="C12" s="268"/>
      <c r="D12" s="268"/>
      <c r="E12" s="268"/>
      <c r="F12" s="268"/>
      <c r="G12" s="268"/>
      <c r="H12" s="268"/>
      <c r="I12" s="268"/>
      <c r="J12" s="268"/>
      <c r="K12" s="268"/>
    </row>
    <row r="13" spans="2:13" x14ac:dyDescent="0.25">
      <c r="B13" s="10"/>
    </row>
    <row r="14" spans="2:13" ht="46.5" customHeight="1" x14ac:dyDescent="0.25">
      <c r="B14" s="274"/>
      <c r="C14" s="274"/>
      <c r="D14" s="274"/>
      <c r="E14" s="274"/>
      <c r="F14" s="274"/>
      <c r="G14" s="274"/>
      <c r="H14" s="274"/>
      <c r="I14" s="274"/>
      <c r="J14" s="274"/>
      <c r="K14" s="274"/>
    </row>
  </sheetData>
  <mergeCells count="5">
    <mergeCell ref="D3:K3"/>
    <mergeCell ref="B9:K9"/>
    <mergeCell ref="B6:K6"/>
    <mergeCell ref="B12:K12"/>
    <mergeCell ref="B14:K14"/>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E21"/>
  <sheetViews>
    <sheetView showGridLines="0" zoomScaleNormal="100" workbookViewId="0"/>
  </sheetViews>
  <sheetFormatPr defaultColWidth="9.140625" defaultRowHeight="12.75" x14ac:dyDescent="0.25"/>
  <cols>
    <col min="1" max="1" width="2.5703125" style="26" customWidth="1"/>
    <col min="2" max="2" width="57.28515625" style="26" bestFit="1" customWidth="1"/>
    <col min="3" max="6" width="10" style="26" customWidth="1"/>
    <col min="7" max="7" width="2.85546875" style="26" customWidth="1"/>
    <col min="8" max="9" width="10" style="26" customWidth="1"/>
    <col min="10" max="12" width="10" style="66" customWidth="1"/>
    <col min="13" max="13" width="2.85546875" style="66" customWidth="1"/>
    <col min="14" max="18" width="10" style="66" customWidth="1"/>
    <col min="19" max="19" width="3.7109375" style="92" customWidth="1"/>
    <col min="20" max="24" width="10" style="93" customWidth="1"/>
    <col min="25" max="25" width="3.7109375" style="26" customWidth="1"/>
    <col min="26" max="30" width="10" style="26" customWidth="1"/>
    <col min="31" max="31" width="2.85546875" style="26" customWidth="1"/>
    <col min="32" max="63" width="9.140625" style="26" customWidth="1"/>
    <col min="64" max="16384" width="9.140625" style="26"/>
  </cols>
  <sheetData>
    <row r="2" spans="2:31" ht="21" x14ac:dyDescent="0.25">
      <c r="B2" s="144" t="s">
        <v>50</v>
      </c>
      <c r="C2" s="145"/>
      <c r="D2" s="145"/>
      <c r="E2" s="145"/>
      <c r="F2" s="145"/>
      <c r="G2" s="145"/>
      <c r="H2" s="145"/>
      <c r="I2" s="145"/>
      <c r="J2" s="146"/>
      <c r="K2" s="146"/>
      <c r="L2" s="146"/>
      <c r="M2" s="146"/>
      <c r="N2" s="146"/>
      <c r="O2" s="146"/>
      <c r="P2" s="146"/>
      <c r="Q2" s="146"/>
      <c r="R2" s="146"/>
      <c r="S2" s="146"/>
      <c r="T2" s="146"/>
      <c r="U2" s="146"/>
      <c r="V2" s="146"/>
      <c r="W2" s="146"/>
      <c r="X2" s="146"/>
      <c r="Y2" s="146"/>
      <c r="Z2" s="146"/>
      <c r="AA2" s="146"/>
      <c r="AB2" s="146"/>
      <c r="AC2" s="146"/>
      <c r="AD2" s="146"/>
    </row>
    <row r="3" spans="2:31" ht="15" x14ac:dyDescent="0.25">
      <c r="B3" s="90" t="s">
        <v>0</v>
      </c>
      <c r="C3" s="91" t="str">
        <f>+'AER Summary'!C3</f>
        <v>Conveyancing Information - Desk Inquiry</v>
      </c>
      <c r="D3" s="91"/>
      <c r="E3" s="91"/>
      <c r="F3" s="91"/>
      <c r="G3" s="91"/>
      <c r="H3" s="91"/>
      <c r="I3" s="91"/>
      <c r="J3" s="91"/>
      <c r="K3" s="91"/>
      <c r="L3" s="91"/>
      <c r="M3" s="91"/>
      <c r="N3" s="91"/>
      <c r="O3" s="91"/>
      <c r="P3" s="91"/>
      <c r="Q3" s="91"/>
      <c r="R3" s="91"/>
      <c r="S3" s="91"/>
      <c r="T3" s="91"/>
      <c r="U3" s="91"/>
      <c r="V3" s="91"/>
      <c r="W3" s="91"/>
      <c r="X3" s="91"/>
      <c r="Y3" s="91"/>
      <c r="Z3" s="91"/>
      <c r="AA3" s="91"/>
      <c r="AB3" s="91"/>
      <c r="AC3" s="91"/>
      <c r="AD3" s="91"/>
    </row>
    <row r="5" spans="2:31" ht="15" x14ac:dyDescent="0.25">
      <c r="B5" s="127" t="str">
        <f>"Proposed "&amp;'AER Summary'!C3&amp;" Fees &amp; Revenue"</f>
        <v>Proposed Conveyancing Information - Desk Inquiry Fees &amp; Revenue</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row>
    <row r="6" spans="2:31" x14ac:dyDescent="0.25">
      <c r="M6" s="113"/>
      <c r="T6" s="83"/>
      <c r="U6" s="83"/>
      <c r="V6" s="83"/>
      <c r="W6" s="83"/>
      <c r="X6" s="83"/>
    </row>
    <row r="7" spans="2:31" x14ac:dyDescent="0.25">
      <c r="C7" s="281" t="s">
        <v>6</v>
      </c>
      <c r="D7" s="282"/>
      <c r="E7" s="282"/>
      <c r="F7" s="283"/>
      <c r="H7" s="284" t="s">
        <v>63</v>
      </c>
      <c r="I7" s="285"/>
      <c r="J7" s="285"/>
      <c r="K7" s="285"/>
      <c r="L7" s="286"/>
      <c r="M7" s="94"/>
      <c r="N7" s="284" t="s">
        <v>63</v>
      </c>
      <c r="O7" s="285"/>
      <c r="P7" s="285"/>
      <c r="Q7" s="285"/>
      <c r="R7" s="286"/>
      <c r="T7" s="287"/>
      <c r="U7" s="287"/>
      <c r="V7" s="287"/>
      <c r="W7" s="287"/>
      <c r="X7" s="287"/>
      <c r="Y7" s="136"/>
      <c r="Z7" s="284" t="s">
        <v>94</v>
      </c>
      <c r="AA7" s="285"/>
      <c r="AB7" s="285"/>
      <c r="AC7" s="285"/>
      <c r="AD7" s="286"/>
      <c r="AE7" s="136"/>
    </row>
    <row r="8" spans="2:31" ht="38.25" x14ac:dyDescent="0.25">
      <c r="B8" s="95" t="s">
        <v>8</v>
      </c>
      <c r="C8" s="114"/>
      <c r="D8" s="115"/>
      <c r="E8" s="115" t="s">
        <v>60</v>
      </c>
      <c r="F8" s="116" t="s">
        <v>51</v>
      </c>
      <c r="H8" s="97" t="s">
        <v>15</v>
      </c>
      <c r="I8" s="98" t="s">
        <v>16</v>
      </c>
      <c r="J8" s="98" t="s">
        <v>17</v>
      </c>
      <c r="K8" s="98" t="s">
        <v>18</v>
      </c>
      <c r="L8" s="99" t="s">
        <v>19</v>
      </c>
      <c r="M8" s="96"/>
      <c r="N8" s="97" t="s">
        <v>15</v>
      </c>
      <c r="O8" s="98" t="s">
        <v>16</v>
      </c>
      <c r="P8" s="98" t="s">
        <v>17</v>
      </c>
      <c r="Q8" s="98" t="s">
        <v>18</v>
      </c>
      <c r="R8" s="99" t="s">
        <v>19</v>
      </c>
      <c r="T8" s="137"/>
      <c r="U8" s="137"/>
      <c r="V8" s="137"/>
      <c r="W8" s="137"/>
      <c r="X8" s="137"/>
      <c r="Y8" s="136"/>
      <c r="Z8" s="97" t="s">
        <v>15</v>
      </c>
      <c r="AA8" s="98" t="s">
        <v>16</v>
      </c>
      <c r="AB8" s="98" t="s">
        <v>17</v>
      </c>
      <c r="AC8" s="98" t="s">
        <v>18</v>
      </c>
      <c r="AD8" s="99" t="s">
        <v>19</v>
      </c>
      <c r="AE8" s="136"/>
    </row>
    <row r="9" spans="2:31" x14ac:dyDescent="0.25">
      <c r="B9" s="102" t="s">
        <v>78</v>
      </c>
      <c r="C9" s="105"/>
      <c r="D9" s="106"/>
      <c r="E9" s="118">
        <f>'Input Sheet'!J9</f>
        <v>37</v>
      </c>
      <c r="F9" s="117">
        <f>'Input Sheet'!K9</f>
        <v>37</v>
      </c>
      <c r="G9" s="107"/>
      <c r="H9" s="166">
        <f>('Input Sheet'!$J$77*(1+'Input Sheet'!$J$93)*'Input Sheet'!G120)</f>
        <v>166.78511371497157</v>
      </c>
      <c r="I9" s="167">
        <f>('Input Sheet'!$J$77*(1+'Input Sheet'!$J$93)*'Input Sheet'!H120)</f>
        <v>174.06190150964176</v>
      </c>
      <c r="J9" s="167">
        <f>('Input Sheet'!$J$77*(1+'Input Sheet'!$J$93)*'Input Sheet'!I120)</f>
        <v>179.95523703942587</v>
      </c>
      <c r="K9" s="167">
        <f>('Input Sheet'!$J$77*(1+'Input Sheet'!$J$93)*'Input Sheet'!J120)</f>
        <v>186.29472855486077</v>
      </c>
      <c r="L9" s="168">
        <f>('Input Sheet'!$J$77*(1+'Input Sheet'!$J$93)*'Input Sheet'!K120)</f>
        <v>192.71003879043357</v>
      </c>
      <c r="M9" s="103"/>
      <c r="N9" s="166">
        <f>'Input Sheet'!G102</f>
        <v>83.392556857485786</v>
      </c>
      <c r="O9" s="167">
        <f>'Input Sheet'!H102</f>
        <v>87.030950754820879</v>
      </c>
      <c r="P9" s="167">
        <f>'Input Sheet'!I102</f>
        <v>89.977618519712934</v>
      </c>
      <c r="Q9" s="167">
        <f>'Input Sheet'!J102</f>
        <v>93.147364277430384</v>
      </c>
      <c r="R9" s="168">
        <f>'Input Sheet'!K102</f>
        <v>96.355019395216786</v>
      </c>
      <c r="S9" s="104"/>
      <c r="T9" s="138"/>
      <c r="U9" s="138"/>
      <c r="V9" s="138"/>
      <c r="W9" s="138"/>
      <c r="X9" s="138"/>
      <c r="Y9" s="136"/>
      <c r="Z9" s="188">
        <f>+N9*H17</f>
        <v>475420.96664452646</v>
      </c>
      <c r="AA9" s="189">
        <f t="shared" ref="AA9:AD9" si="0">+O9*I17</f>
        <v>471359.62928810989</v>
      </c>
      <c r="AB9" s="189">
        <f t="shared" si="0"/>
        <v>462934.84728392307</v>
      </c>
      <c r="AC9" s="189">
        <f t="shared" si="0"/>
        <v>455304.31658807973</v>
      </c>
      <c r="AD9" s="190">
        <f t="shared" si="0"/>
        <v>447472.71007138677</v>
      </c>
      <c r="AE9" s="136"/>
    </row>
    <row r="10" spans="2:31" x14ac:dyDescent="0.25">
      <c r="B10" s="119"/>
      <c r="C10" s="120"/>
      <c r="D10" s="78"/>
      <c r="E10" s="78"/>
      <c r="F10" s="111"/>
      <c r="G10" s="108"/>
      <c r="H10" s="134"/>
      <c r="I10" s="131"/>
      <c r="J10" s="131"/>
      <c r="K10" s="131"/>
      <c r="L10" s="132"/>
      <c r="M10" s="109"/>
      <c r="N10" s="156"/>
      <c r="O10" s="157"/>
      <c r="P10" s="157"/>
      <c r="Q10" s="157"/>
      <c r="R10" s="158"/>
      <c r="S10" s="104"/>
      <c r="T10" s="138"/>
      <c r="U10" s="138"/>
      <c r="V10" s="138"/>
      <c r="W10" s="138"/>
      <c r="X10" s="138"/>
      <c r="Y10" s="136"/>
      <c r="Z10" s="191"/>
      <c r="AA10" s="192"/>
      <c r="AB10" s="192"/>
      <c r="AC10" s="192"/>
      <c r="AD10" s="193"/>
      <c r="AE10" s="136"/>
    </row>
    <row r="11" spans="2:31" x14ac:dyDescent="0.25">
      <c r="B11" s="75"/>
      <c r="C11" s="118"/>
      <c r="D11" s="75"/>
      <c r="E11" s="75"/>
      <c r="F11" s="118"/>
      <c r="G11" s="108"/>
      <c r="H11" s="174"/>
      <c r="I11" s="174"/>
      <c r="J11" s="174"/>
      <c r="K11" s="174"/>
      <c r="L11" s="174"/>
      <c r="M11" s="109"/>
      <c r="N11" s="173"/>
      <c r="O11" s="173"/>
      <c r="P11" s="173"/>
      <c r="Q11" s="173"/>
      <c r="R11" s="173"/>
      <c r="S11" s="104"/>
      <c r="T11" s="138"/>
      <c r="U11" s="138"/>
      <c r="V11" s="138"/>
      <c r="W11" s="138"/>
      <c r="X11" s="138"/>
      <c r="Y11" s="136"/>
      <c r="Z11" s="194">
        <f>SUM(Z9:Z10)</f>
        <v>475420.96664452646</v>
      </c>
      <c r="AA11" s="195">
        <f>SUM(AA9:AA10)</f>
        <v>471359.62928810989</v>
      </c>
      <c r="AB11" s="195">
        <f>SUM(AB9:AB10)</f>
        <v>462934.84728392307</v>
      </c>
      <c r="AC11" s="195">
        <f>SUM(AC9:AC10)</f>
        <v>455304.31658807973</v>
      </c>
      <c r="AD11" s="196">
        <f>SUM(AD9:AD10)</f>
        <v>447472.71007138677</v>
      </c>
      <c r="AE11" s="136"/>
    </row>
    <row r="12" spans="2:31" x14ac:dyDescent="0.25">
      <c r="C12" s="109"/>
      <c r="D12" s="75"/>
      <c r="E12" s="75"/>
      <c r="F12" s="75"/>
      <c r="G12" s="108"/>
      <c r="H12" s="108"/>
      <c r="I12" s="108"/>
      <c r="J12" s="112"/>
      <c r="K12" s="112"/>
      <c r="L12" s="112"/>
      <c r="M12" s="112"/>
      <c r="N12" s="112"/>
      <c r="O12" s="112"/>
      <c r="P12" s="112"/>
      <c r="Q12" s="112"/>
      <c r="R12" s="112"/>
      <c r="T12" s="139"/>
      <c r="U12" s="139"/>
      <c r="V12" s="139"/>
      <c r="W12" s="139"/>
      <c r="X12" s="139"/>
      <c r="Y12" s="136"/>
      <c r="Z12" s="139"/>
      <c r="AA12" s="139"/>
      <c r="AB12" s="139"/>
      <c r="AC12" s="139"/>
      <c r="AD12" s="139"/>
      <c r="AE12" s="136"/>
    </row>
    <row r="13" spans="2:31" ht="15" x14ac:dyDescent="0.25">
      <c r="B13" s="127" t="s">
        <v>65</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row>
    <row r="14" spans="2:31" x14ac:dyDescent="0.25">
      <c r="M14" s="113"/>
      <c r="T14" s="162"/>
      <c r="U14" s="162"/>
      <c r="V14" s="162"/>
      <c r="W14" s="162"/>
      <c r="X14" s="162"/>
    </row>
    <row r="15" spans="2:31" s="92" customFormat="1" x14ac:dyDescent="0.2">
      <c r="C15" s="275" t="s">
        <v>52</v>
      </c>
      <c r="D15" s="276"/>
      <c r="E15" s="276"/>
      <c r="F15" s="277"/>
      <c r="G15" s="26"/>
      <c r="H15" s="278" t="s">
        <v>64</v>
      </c>
      <c r="I15" s="279"/>
      <c r="J15" s="279"/>
      <c r="K15" s="279"/>
      <c r="L15" s="280"/>
      <c r="N15" s="288" t="s">
        <v>54</v>
      </c>
      <c r="O15" s="289"/>
      <c r="P15" s="289"/>
      <c r="Q15" s="289"/>
      <c r="R15" s="290"/>
      <c r="T15" s="275" t="s">
        <v>53</v>
      </c>
      <c r="U15" s="276"/>
      <c r="V15" s="276"/>
      <c r="W15" s="276"/>
      <c r="X15" s="277"/>
      <c r="Z15" s="275" t="s">
        <v>42</v>
      </c>
      <c r="AA15" s="276"/>
      <c r="AB15" s="276"/>
      <c r="AC15" s="276"/>
      <c r="AD15" s="277"/>
    </row>
    <row r="16" spans="2:31" s="92" customFormat="1" x14ac:dyDescent="0.25">
      <c r="B16" s="95" t="s">
        <v>8</v>
      </c>
      <c r="C16" s="97" t="s">
        <v>10</v>
      </c>
      <c r="D16" s="98" t="s">
        <v>11</v>
      </c>
      <c r="E16" s="98" t="s">
        <v>12</v>
      </c>
      <c r="F16" s="99" t="s">
        <v>13</v>
      </c>
      <c r="G16" s="26"/>
      <c r="H16" s="97" t="s">
        <v>15</v>
      </c>
      <c r="I16" s="98" t="s">
        <v>16</v>
      </c>
      <c r="J16" s="98" t="s">
        <v>17</v>
      </c>
      <c r="K16" s="98" t="s">
        <v>18</v>
      </c>
      <c r="L16" s="99" t="s">
        <v>19</v>
      </c>
      <c r="N16" s="140" t="s">
        <v>15</v>
      </c>
      <c r="O16" s="100" t="s">
        <v>16</v>
      </c>
      <c r="P16" s="100" t="s">
        <v>17</v>
      </c>
      <c r="Q16" s="100" t="s">
        <v>18</v>
      </c>
      <c r="R16" s="101" t="s">
        <v>19</v>
      </c>
      <c r="T16" s="140" t="s">
        <v>15</v>
      </c>
      <c r="U16" s="100" t="s">
        <v>16</v>
      </c>
      <c r="V16" s="100" t="s">
        <v>17</v>
      </c>
      <c r="W16" s="100" t="s">
        <v>18</v>
      </c>
      <c r="X16" s="101" t="s">
        <v>19</v>
      </c>
      <c r="Z16" s="141" t="s">
        <v>15</v>
      </c>
      <c r="AA16" s="142" t="s">
        <v>16</v>
      </c>
      <c r="AB16" s="142" t="s">
        <v>17</v>
      </c>
      <c r="AC16" s="142" t="s">
        <v>18</v>
      </c>
      <c r="AD16" s="143" t="s">
        <v>19</v>
      </c>
    </row>
    <row r="17" spans="2:30" s="92" customFormat="1" x14ac:dyDescent="0.25">
      <c r="B17" s="102" t="s">
        <v>78</v>
      </c>
      <c r="C17" s="201">
        <f>+'Input Sheet'!G25</f>
        <v>11605</v>
      </c>
      <c r="D17" s="202">
        <f>+'Input Sheet'!H25</f>
        <v>9422</v>
      </c>
      <c r="E17" s="202">
        <f>+'Input Sheet'!I25</f>
        <v>7106</v>
      </c>
      <c r="F17" s="203">
        <f>+'Input Sheet'!K25</f>
        <v>6317</v>
      </c>
      <c r="G17" s="181"/>
      <c r="H17" s="201">
        <f>ROUND(F17*0.95*0.95,0)</f>
        <v>5701</v>
      </c>
      <c r="I17" s="202">
        <f>ROUND(H17*0.95,0)</f>
        <v>5416</v>
      </c>
      <c r="J17" s="202">
        <f t="shared" ref="J17:L17" si="1">ROUND(I17*0.95,0)</f>
        <v>5145</v>
      </c>
      <c r="K17" s="202">
        <f t="shared" si="1"/>
        <v>4888</v>
      </c>
      <c r="L17" s="203">
        <f t="shared" si="1"/>
        <v>4644</v>
      </c>
      <c r="N17" s="188">
        <f>+H17*'Input Sheet'!G101</f>
        <v>209908.65458148849</v>
      </c>
      <c r="O17" s="189">
        <f>+I17*'Input Sheet'!H101</f>
        <v>208115.48616844212</v>
      </c>
      <c r="P17" s="189">
        <f>+J17*'Input Sheet'!I101</f>
        <v>204395.76242945218</v>
      </c>
      <c r="Q17" s="189">
        <f>+K17*'Input Sheet'!J101</f>
        <v>201026.7178468963</v>
      </c>
      <c r="R17" s="190">
        <f>+L17*'Input Sheet'!K101</f>
        <v>197568.89393405276</v>
      </c>
      <c r="S17" s="197"/>
      <c r="T17" s="188">
        <f>+N17*('Input Sheet'!G$111-1)</f>
        <v>246317.8047263317</v>
      </c>
      <c r="U17" s="189">
        <f>+O17*('Input Sheet'!H$111-1)</f>
        <v>262226.23685326031</v>
      </c>
      <c r="V17" s="189">
        <f>+P17*('Input Sheet'!I$111-1)</f>
        <v>259795.63189862648</v>
      </c>
      <c r="W17" s="189">
        <f>+Q17*('Input Sheet'!J$111-1)</f>
        <v>260807.26302186321</v>
      </c>
      <c r="X17" s="190">
        <f>+R17*('Input Sheet'!K$111-1)</f>
        <v>261304.34414299636</v>
      </c>
      <c r="Y17" s="197"/>
      <c r="Z17" s="188">
        <f>+N17+T17</f>
        <v>456226.45930782019</v>
      </c>
      <c r="AA17" s="189">
        <f t="shared" ref="AA17" si="2">+O17+U17</f>
        <v>470341.72302170243</v>
      </c>
      <c r="AB17" s="189">
        <f t="shared" ref="AB17" si="3">+P17+V17</f>
        <v>464191.39432807866</v>
      </c>
      <c r="AC17" s="189">
        <f t="shared" ref="AC17" si="4">+Q17+W17</f>
        <v>461833.98086875951</v>
      </c>
      <c r="AD17" s="190">
        <f t="shared" ref="AD17" si="5">+R17+X17</f>
        <v>458873.23807704914</v>
      </c>
    </row>
    <row r="18" spans="2:30" s="92" customFormat="1" x14ac:dyDescent="0.25">
      <c r="B18" s="110"/>
      <c r="C18" s="204"/>
      <c r="D18" s="205"/>
      <c r="E18" s="205"/>
      <c r="F18" s="206"/>
      <c r="G18" s="181"/>
      <c r="H18" s="204"/>
      <c r="I18" s="205"/>
      <c r="J18" s="205"/>
      <c r="K18" s="205"/>
      <c r="L18" s="206"/>
      <c r="N18" s="191"/>
      <c r="O18" s="192"/>
      <c r="P18" s="192"/>
      <c r="Q18" s="192"/>
      <c r="R18" s="193"/>
      <c r="S18" s="197"/>
      <c r="T18" s="191"/>
      <c r="U18" s="192"/>
      <c r="V18" s="192"/>
      <c r="W18" s="192"/>
      <c r="X18" s="193"/>
      <c r="Y18" s="197"/>
      <c r="Z18" s="191"/>
      <c r="AA18" s="192"/>
      <c r="AB18" s="192"/>
      <c r="AC18" s="192"/>
      <c r="AD18" s="193"/>
    </row>
    <row r="19" spans="2:30" s="92" customFormat="1" x14ac:dyDescent="0.25">
      <c r="C19" s="207">
        <f>SUM(C17:C18)</f>
        <v>11605</v>
      </c>
      <c r="D19" s="208">
        <f>SUM(D17:D18)</f>
        <v>9422</v>
      </c>
      <c r="E19" s="208">
        <f>SUM(E17:E18)</f>
        <v>7106</v>
      </c>
      <c r="F19" s="209">
        <f>SUM(F17:F18)</f>
        <v>6317</v>
      </c>
      <c r="G19" s="210"/>
      <c r="H19" s="207">
        <f>SUM(H17:H18)</f>
        <v>5701</v>
      </c>
      <c r="I19" s="208">
        <f>SUM(I17:I18)</f>
        <v>5416</v>
      </c>
      <c r="J19" s="208">
        <f>SUM(J17:J18)</f>
        <v>5145</v>
      </c>
      <c r="K19" s="208">
        <f>SUM(K17:K18)</f>
        <v>4888</v>
      </c>
      <c r="L19" s="209">
        <f>SUM(L17:L18)</f>
        <v>4644</v>
      </c>
      <c r="N19" s="198">
        <f>SUM(N17:N18)</f>
        <v>209908.65458148849</v>
      </c>
      <c r="O19" s="199">
        <f>SUM(O17:O18)</f>
        <v>208115.48616844212</v>
      </c>
      <c r="P19" s="199">
        <f>SUM(P17:P18)</f>
        <v>204395.76242945218</v>
      </c>
      <c r="Q19" s="199">
        <f>SUM(Q17:Q18)</f>
        <v>201026.7178468963</v>
      </c>
      <c r="R19" s="200">
        <f>SUM(R17:R18)</f>
        <v>197568.89393405276</v>
      </c>
      <c r="S19" s="197"/>
      <c r="T19" s="194">
        <f>SUM(T17:T18)</f>
        <v>246317.8047263317</v>
      </c>
      <c r="U19" s="195">
        <f>SUM(U17:U18)</f>
        <v>262226.23685326031</v>
      </c>
      <c r="V19" s="195">
        <f>SUM(V17:V18)</f>
        <v>259795.63189862648</v>
      </c>
      <c r="W19" s="195">
        <f>SUM(W17:W18)</f>
        <v>260807.26302186321</v>
      </c>
      <c r="X19" s="196">
        <f>SUM(X17:X18)</f>
        <v>261304.34414299636</v>
      </c>
      <c r="Y19" s="197"/>
      <c r="Z19" s="194">
        <f>SUM(Z17:Z18)</f>
        <v>456226.45930782019</v>
      </c>
      <c r="AA19" s="195">
        <f>SUM(AA17:AA18)</f>
        <v>470341.72302170243</v>
      </c>
      <c r="AB19" s="195">
        <f>SUM(AB17:AB18)</f>
        <v>464191.39432807866</v>
      </c>
      <c r="AC19" s="195">
        <f>SUM(AC17:AC18)</f>
        <v>461833.98086875951</v>
      </c>
      <c r="AD19" s="196">
        <f>SUM(AD17:AD18)</f>
        <v>458873.23807704914</v>
      </c>
    </row>
    <row r="20" spans="2:30" s="92" customFormat="1" x14ac:dyDescent="0.25">
      <c r="C20" s="211"/>
      <c r="D20" s="211"/>
      <c r="E20" s="211"/>
      <c r="F20" s="211"/>
      <c r="G20" s="153"/>
      <c r="H20" s="153"/>
      <c r="I20" s="211"/>
      <c r="J20" s="153"/>
      <c r="K20" s="153"/>
      <c r="L20" s="153"/>
      <c r="N20" s="197"/>
      <c r="O20" s="197"/>
      <c r="P20" s="197"/>
      <c r="Q20" s="197"/>
      <c r="R20" s="197"/>
      <c r="S20" s="197"/>
      <c r="T20" s="197"/>
      <c r="U20" s="197"/>
      <c r="V20" s="197"/>
      <c r="W20" s="197"/>
      <c r="X20" s="197"/>
      <c r="Y20" s="197"/>
      <c r="Z20" s="197"/>
      <c r="AA20" s="197"/>
      <c r="AB20" s="197"/>
      <c r="AC20" s="197"/>
      <c r="AD20" s="197"/>
    </row>
    <row r="21" spans="2:30" s="92" customFormat="1" x14ac:dyDescent="0.25">
      <c r="T21" s="83"/>
      <c r="U21" s="83"/>
      <c r="V21" s="83"/>
      <c r="W21" s="83"/>
      <c r="X21" s="83"/>
    </row>
  </sheetData>
  <mergeCells count="10">
    <mergeCell ref="Z15:AD15"/>
    <mergeCell ref="C15:F15"/>
    <mergeCell ref="H15:L15"/>
    <mergeCell ref="C7:F7"/>
    <mergeCell ref="N7:R7"/>
    <mergeCell ref="H7:L7"/>
    <mergeCell ref="T7:X7"/>
    <mergeCell ref="N15:R15"/>
    <mergeCell ref="T15:X15"/>
    <mergeCell ref="Z7:AD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2014-03-31T23:31:00Z</cp:lastPrinted>
  <dcterms:created xsi:type="dcterms:W3CDTF">2013-06-17T01:25:32Z</dcterms:created>
  <dcterms:modified xsi:type="dcterms:W3CDTF">2015-01-04T23:49:18Z</dcterms:modified>
</cp:coreProperties>
</file>