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5" windowWidth="21720" windowHeight="13230" tabRatio="863" activeTab="4"/>
  </bookViews>
  <sheets>
    <sheet name="Input Documents --&gt;" sheetId="16" r:id="rId1"/>
    <sheet name="Input Sheet" sheetId="13" r:id="rId2"/>
    <sheet name="Standard Hour Calcs" sheetId="12" r:id="rId3"/>
    <sheet name="Methodology Statements --&gt;" sheetId="15" r:id="rId4"/>
    <sheet name="AER Summary" sheetId="8" r:id="rId5"/>
    <sheet name="Service Description" sheetId="9" r:id="rId6"/>
    <sheet name="Fee Breakdown" sheetId="11" r:id="rId7"/>
  </sheets>
  <externalReferences>
    <externalReference r:id="rId8"/>
  </externalReferences>
  <definedNames>
    <definedName name="_xlnm.Print_Area" localSheetId="4">'AER Summary'!$A:$I</definedName>
    <definedName name="_xlnm.Print_Area" localSheetId="6">'Fee Breakdown'!$A$1:$AG$64</definedName>
    <definedName name="_xlnm.Print_Titles" localSheetId="2">'Standard Hour Calcs'!$9:$9</definedName>
    <definedName name="TM1REBUILDOPTION">1</definedName>
  </definedNames>
  <calcPr calcId="145621" calcMode="manual" concurrentCalc="0"/>
</workbook>
</file>

<file path=xl/calcChain.xml><?xml version="1.0" encoding="utf-8"?>
<calcChain xmlns="http://schemas.openxmlformats.org/spreadsheetml/2006/main">
  <c r="K201" i="13" l="1"/>
  <c r="K182" i="13"/>
  <c r="T38" i="11"/>
  <c r="K192" i="13"/>
  <c r="Z38" i="11"/>
  <c r="AF38" i="11"/>
  <c r="T39" i="11"/>
  <c r="Z39" i="11"/>
  <c r="AF39" i="11"/>
  <c r="T40" i="11"/>
  <c r="Z40" i="11"/>
  <c r="AF40" i="11"/>
  <c r="T41" i="11"/>
  <c r="Z41" i="11"/>
  <c r="AF41" i="11"/>
  <c r="T42" i="11"/>
  <c r="Z42" i="11"/>
  <c r="AF42" i="11"/>
  <c r="T43" i="11"/>
  <c r="Z43" i="11"/>
  <c r="AF43" i="11"/>
  <c r="T44" i="11"/>
  <c r="Z44" i="11"/>
  <c r="AF44" i="11"/>
  <c r="T45" i="11"/>
  <c r="Z45" i="11"/>
  <c r="AF45" i="11"/>
  <c r="T46" i="11"/>
  <c r="Z46" i="11"/>
  <c r="AF46" i="11"/>
  <c r="T47" i="11"/>
  <c r="Z47" i="11"/>
  <c r="AF47" i="11"/>
  <c r="T48" i="11"/>
  <c r="Z48" i="11"/>
  <c r="AF48" i="11"/>
  <c r="T49" i="11"/>
  <c r="Z49" i="11"/>
  <c r="AF49" i="11"/>
  <c r="T51" i="11"/>
  <c r="Z51" i="11"/>
  <c r="AF51" i="11"/>
  <c r="T52" i="11"/>
  <c r="Z52" i="11"/>
  <c r="AF52" i="11"/>
  <c r="T53" i="11"/>
  <c r="Z53" i="11"/>
  <c r="AF53" i="11"/>
  <c r="T54" i="11"/>
  <c r="Z54" i="11"/>
  <c r="AF54" i="11"/>
  <c r="T55" i="11"/>
  <c r="Z55" i="11"/>
  <c r="AF55" i="11"/>
  <c r="T56" i="11"/>
  <c r="Z56" i="11"/>
  <c r="AF56" i="11"/>
  <c r="T58" i="11"/>
  <c r="Z58" i="11"/>
  <c r="AF58" i="11"/>
  <c r="T59" i="11"/>
  <c r="Z59" i="11"/>
  <c r="AF59" i="11"/>
  <c r="AF61" i="11"/>
  <c r="J201" i="13"/>
  <c r="J182" i="13"/>
  <c r="S38" i="11"/>
  <c r="J192" i="13"/>
  <c r="Y38" i="11"/>
  <c r="AE38" i="11"/>
  <c r="S39" i="11"/>
  <c r="Y39" i="11"/>
  <c r="AE39" i="11"/>
  <c r="S40" i="11"/>
  <c r="Y40" i="11"/>
  <c r="AE40" i="11"/>
  <c r="S41" i="11"/>
  <c r="Y41" i="11"/>
  <c r="AE41" i="11"/>
  <c r="S42" i="11"/>
  <c r="Y42" i="11"/>
  <c r="AE42" i="11"/>
  <c r="S43" i="11"/>
  <c r="Y43" i="11"/>
  <c r="AE43" i="11"/>
  <c r="S44" i="11"/>
  <c r="Y44" i="11"/>
  <c r="AE44" i="11"/>
  <c r="S45" i="11"/>
  <c r="Y45" i="11"/>
  <c r="AE45" i="11"/>
  <c r="S46" i="11"/>
  <c r="Y46" i="11"/>
  <c r="AE46" i="11"/>
  <c r="S47" i="11"/>
  <c r="Y47" i="11"/>
  <c r="AE47" i="11"/>
  <c r="S48" i="11"/>
  <c r="Y48" i="11"/>
  <c r="AE48" i="11"/>
  <c r="S49" i="11"/>
  <c r="Y49" i="11"/>
  <c r="AE49" i="11"/>
  <c r="S51" i="11"/>
  <c r="Y51" i="11"/>
  <c r="AE51" i="11"/>
  <c r="S52" i="11"/>
  <c r="Y52" i="11"/>
  <c r="AE52" i="11"/>
  <c r="S53" i="11"/>
  <c r="Y53" i="11"/>
  <c r="AE53" i="11"/>
  <c r="S54" i="11"/>
  <c r="Y54" i="11"/>
  <c r="AE54" i="11"/>
  <c r="S55" i="11"/>
  <c r="Y55" i="11"/>
  <c r="AE55" i="11"/>
  <c r="S56" i="11"/>
  <c r="Y56" i="11"/>
  <c r="AE56" i="11"/>
  <c r="S58" i="11"/>
  <c r="Y58" i="11"/>
  <c r="AE58" i="11"/>
  <c r="S59" i="11"/>
  <c r="Y59" i="11"/>
  <c r="AE59" i="11"/>
  <c r="AE61" i="11"/>
  <c r="I201" i="13"/>
  <c r="I182" i="13"/>
  <c r="R38" i="11"/>
  <c r="I192" i="13"/>
  <c r="X38" i="11"/>
  <c r="AD38" i="11"/>
  <c r="R39" i="11"/>
  <c r="X39" i="11"/>
  <c r="AD39" i="11"/>
  <c r="R40" i="11"/>
  <c r="X40" i="11"/>
  <c r="AD40" i="11"/>
  <c r="R41" i="11"/>
  <c r="X41" i="11"/>
  <c r="AD41" i="11"/>
  <c r="R42" i="11"/>
  <c r="X42" i="11"/>
  <c r="AD42" i="11"/>
  <c r="R43" i="11"/>
  <c r="X43" i="11"/>
  <c r="AD43" i="11"/>
  <c r="R44" i="11"/>
  <c r="X44" i="11"/>
  <c r="AD44" i="11"/>
  <c r="R45" i="11"/>
  <c r="X45" i="11"/>
  <c r="AD45" i="11"/>
  <c r="R46" i="11"/>
  <c r="X46" i="11"/>
  <c r="AD46" i="11"/>
  <c r="R47" i="11"/>
  <c r="X47" i="11"/>
  <c r="AD47" i="11"/>
  <c r="R48" i="11"/>
  <c r="X48" i="11"/>
  <c r="AD48" i="11"/>
  <c r="R49" i="11"/>
  <c r="X49" i="11"/>
  <c r="AD49" i="11"/>
  <c r="R51" i="11"/>
  <c r="X51" i="11"/>
  <c r="AD51" i="11"/>
  <c r="R52" i="11"/>
  <c r="X52" i="11"/>
  <c r="AD52" i="11"/>
  <c r="R53" i="11"/>
  <c r="X53" i="11"/>
  <c r="AD53" i="11"/>
  <c r="R54" i="11"/>
  <c r="X54" i="11"/>
  <c r="AD54" i="11"/>
  <c r="R55" i="11"/>
  <c r="X55" i="11"/>
  <c r="AD55" i="11"/>
  <c r="R56" i="11"/>
  <c r="X56" i="11"/>
  <c r="AD56" i="11"/>
  <c r="R58" i="11"/>
  <c r="X58" i="11"/>
  <c r="AD58" i="11"/>
  <c r="R59" i="11"/>
  <c r="X59" i="11"/>
  <c r="AD59" i="11"/>
  <c r="AD61" i="11"/>
  <c r="H201" i="13"/>
  <c r="H182" i="13"/>
  <c r="Q38" i="11"/>
  <c r="H192" i="13"/>
  <c r="W38" i="11"/>
  <c r="AC38" i="11"/>
  <c r="Q39" i="11"/>
  <c r="W39" i="11"/>
  <c r="AC39" i="11"/>
  <c r="Q40" i="11"/>
  <c r="W40" i="11"/>
  <c r="AC40" i="11"/>
  <c r="Q41" i="11"/>
  <c r="W41" i="11"/>
  <c r="AC41" i="11"/>
  <c r="Q42" i="11"/>
  <c r="W42" i="11"/>
  <c r="AC42" i="11"/>
  <c r="Q43" i="11"/>
  <c r="W43" i="11"/>
  <c r="AC43" i="11"/>
  <c r="Q44" i="11"/>
  <c r="W44" i="11"/>
  <c r="AC44" i="11"/>
  <c r="Q45" i="11"/>
  <c r="W45" i="11"/>
  <c r="AC45" i="11"/>
  <c r="Q46" i="11"/>
  <c r="W46" i="11"/>
  <c r="AC46" i="11"/>
  <c r="Q47" i="11"/>
  <c r="W47" i="11"/>
  <c r="AC47" i="11"/>
  <c r="Q48" i="11"/>
  <c r="W48" i="11"/>
  <c r="AC48" i="11"/>
  <c r="Q49" i="11"/>
  <c r="W49" i="11"/>
  <c r="AC49" i="11"/>
  <c r="Q51" i="11"/>
  <c r="W51" i="11"/>
  <c r="AC51" i="11"/>
  <c r="Q52" i="11"/>
  <c r="W52" i="11"/>
  <c r="AC52" i="11"/>
  <c r="Q53" i="11"/>
  <c r="W53" i="11"/>
  <c r="AC53" i="11"/>
  <c r="Q54" i="11"/>
  <c r="W54" i="11"/>
  <c r="AC54" i="11"/>
  <c r="Q55" i="11"/>
  <c r="W55" i="11"/>
  <c r="AC55" i="11"/>
  <c r="Q56" i="11"/>
  <c r="W56" i="11"/>
  <c r="AC56" i="11"/>
  <c r="Q58" i="11"/>
  <c r="W58" i="11"/>
  <c r="AC58" i="11"/>
  <c r="Q59" i="11"/>
  <c r="W59" i="11"/>
  <c r="AC59" i="11"/>
  <c r="AC61" i="11"/>
  <c r="G201" i="13"/>
  <c r="G182" i="13"/>
  <c r="P38" i="11"/>
  <c r="G192" i="13"/>
  <c r="V38" i="11"/>
  <c r="AB38" i="11"/>
  <c r="P39" i="11"/>
  <c r="V39" i="11"/>
  <c r="AB39" i="11"/>
  <c r="P40" i="11"/>
  <c r="V40" i="11"/>
  <c r="AB40" i="11"/>
  <c r="P41" i="11"/>
  <c r="V41" i="11"/>
  <c r="AB41" i="11"/>
  <c r="P42" i="11"/>
  <c r="V42" i="11"/>
  <c r="AB42" i="11"/>
  <c r="P43" i="11"/>
  <c r="V43" i="11"/>
  <c r="AB43" i="11"/>
  <c r="P44" i="11"/>
  <c r="V44" i="11"/>
  <c r="AB44" i="11"/>
  <c r="P45" i="11"/>
  <c r="V45" i="11"/>
  <c r="AB45" i="11"/>
  <c r="P46" i="11"/>
  <c r="V46" i="11"/>
  <c r="AB46" i="11"/>
  <c r="P47" i="11"/>
  <c r="V47" i="11"/>
  <c r="AB47" i="11"/>
  <c r="P48" i="11"/>
  <c r="V48" i="11"/>
  <c r="AB48" i="11"/>
  <c r="P49" i="11"/>
  <c r="V49" i="11"/>
  <c r="AB49" i="11"/>
  <c r="P51" i="11"/>
  <c r="V51" i="11"/>
  <c r="AB51" i="11"/>
  <c r="P52" i="11"/>
  <c r="V52" i="11"/>
  <c r="AB52" i="11"/>
  <c r="P53" i="11"/>
  <c r="V53" i="11"/>
  <c r="AB53" i="11"/>
  <c r="P54" i="11"/>
  <c r="V54" i="11"/>
  <c r="AB54" i="11"/>
  <c r="P55" i="11"/>
  <c r="V55" i="11"/>
  <c r="AB55" i="11"/>
  <c r="P56" i="11"/>
  <c r="V56" i="11"/>
  <c r="AB56" i="11"/>
  <c r="P58" i="11"/>
  <c r="V58" i="11"/>
  <c r="AB58" i="11"/>
  <c r="P59" i="11"/>
  <c r="V59" i="11"/>
  <c r="AB59" i="11"/>
  <c r="AB61" i="11"/>
  <c r="Z61" i="11"/>
  <c r="Y61" i="11"/>
  <c r="X61" i="11"/>
  <c r="W61" i="11"/>
  <c r="V61" i="11"/>
  <c r="T61" i="11"/>
  <c r="S61" i="11"/>
  <c r="R61" i="11"/>
  <c r="Q61" i="11"/>
  <c r="P61" i="11"/>
  <c r="G59" i="11"/>
  <c r="G58" i="11"/>
  <c r="G57" i="11"/>
  <c r="G56" i="11"/>
  <c r="G55" i="11"/>
  <c r="G54" i="11"/>
  <c r="G53" i="11"/>
  <c r="G52" i="11"/>
  <c r="G51" i="11"/>
  <c r="G50" i="11"/>
  <c r="G49" i="11"/>
  <c r="G48" i="11"/>
  <c r="G47" i="11"/>
  <c r="G46" i="11"/>
  <c r="G45" i="11"/>
  <c r="H44" i="11"/>
  <c r="G44" i="11"/>
  <c r="H43" i="11"/>
  <c r="G43" i="11"/>
  <c r="H42" i="11"/>
  <c r="G42" i="11"/>
  <c r="G41" i="11"/>
  <c r="G40" i="11"/>
  <c r="G39" i="11"/>
  <c r="G38" i="11"/>
  <c r="L42" i="11"/>
  <c r="L43" i="11"/>
  <c r="L44" i="11"/>
  <c r="K42" i="11"/>
  <c r="K43" i="11"/>
  <c r="K44" i="11"/>
  <c r="J42" i="11"/>
  <c r="J43" i="11"/>
  <c r="J44" i="11"/>
  <c r="I42" i="11"/>
  <c r="I43" i="11"/>
  <c r="I44" i="11"/>
  <c r="H12" i="13"/>
  <c r="H38" i="11"/>
  <c r="AA10" i="12"/>
  <c r="T21" i="12"/>
  <c r="H112" i="13"/>
  <c r="J121" i="13"/>
  <c r="I121" i="13"/>
  <c r="I123" i="13"/>
  <c r="I124" i="13"/>
  <c r="I125" i="13"/>
  <c r="I126" i="13"/>
  <c r="I127" i="13"/>
  <c r="I128" i="13"/>
  <c r="I129" i="13"/>
  <c r="I130" i="13"/>
  <c r="I131" i="13"/>
  <c r="I132" i="13"/>
  <c r="I133" i="13"/>
  <c r="I134" i="13"/>
  <c r="I138" i="13"/>
  <c r="I139" i="13"/>
  <c r="I140" i="13"/>
  <c r="I43" i="13"/>
  <c r="I166" i="13"/>
  <c r="F28" i="8"/>
  <c r="J123" i="13"/>
  <c r="J124" i="13"/>
  <c r="J125" i="13"/>
  <c r="J126" i="13"/>
  <c r="J127" i="13"/>
  <c r="J128" i="13"/>
  <c r="J129" i="13"/>
  <c r="J130" i="13"/>
  <c r="J131" i="13"/>
  <c r="J132" i="13"/>
  <c r="J133" i="13"/>
  <c r="J134" i="13"/>
  <c r="J138" i="13"/>
  <c r="J139" i="13"/>
  <c r="J140" i="13"/>
  <c r="J43" i="13"/>
  <c r="J166" i="13"/>
  <c r="G28" i="8"/>
  <c r="H121" i="13"/>
  <c r="H123" i="13"/>
  <c r="H124" i="13"/>
  <c r="H125" i="13"/>
  <c r="H126" i="13"/>
  <c r="H127" i="13"/>
  <c r="H128" i="13"/>
  <c r="H129" i="13"/>
  <c r="H130" i="13"/>
  <c r="H131" i="13"/>
  <c r="H132" i="13"/>
  <c r="H133" i="13"/>
  <c r="H134" i="13"/>
  <c r="H138" i="13"/>
  <c r="H139" i="13"/>
  <c r="H140" i="13"/>
  <c r="H43" i="13"/>
  <c r="H166" i="13"/>
  <c r="E28" i="8"/>
  <c r="D31" i="12"/>
  <c r="E31" i="12"/>
  <c r="K31" i="12"/>
  <c r="P31" i="12"/>
  <c r="J31" i="12"/>
  <c r="O31" i="12"/>
  <c r="I31" i="12"/>
  <c r="N31" i="12"/>
  <c r="D30" i="12"/>
  <c r="E30" i="12"/>
  <c r="K30" i="12"/>
  <c r="P30" i="12"/>
  <c r="J30" i="12"/>
  <c r="O30" i="12"/>
  <c r="I30" i="12"/>
  <c r="N30" i="12"/>
  <c r="G27" i="13"/>
  <c r="H27" i="13"/>
  <c r="D28" i="12"/>
  <c r="K28" i="12"/>
  <c r="P28" i="12"/>
  <c r="J28" i="12"/>
  <c r="O28" i="12"/>
  <c r="I28" i="12"/>
  <c r="N28" i="12"/>
  <c r="G26" i="13"/>
  <c r="H26" i="13"/>
  <c r="D27" i="12"/>
  <c r="K27" i="12"/>
  <c r="P27" i="12"/>
  <c r="J27" i="12"/>
  <c r="O27" i="12"/>
  <c r="I27" i="12"/>
  <c r="N27" i="12"/>
  <c r="G25" i="13"/>
  <c r="H25" i="13"/>
  <c r="D26" i="12"/>
  <c r="K26" i="12"/>
  <c r="P26" i="12"/>
  <c r="J26" i="12"/>
  <c r="O26" i="12"/>
  <c r="I26" i="12"/>
  <c r="N26" i="12"/>
  <c r="D25" i="12"/>
  <c r="E25" i="12"/>
  <c r="K25" i="12"/>
  <c r="P25" i="12"/>
  <c r="J25" i="12"/>
  <c r="O25" i="12"/>
  <c r="I25" i="12"/>
  <c r="N25" i="12"/>
  <c r="D24" i="12"/>
  <c r="E24" i="12"/>
  <c r="K24" i="12"/>
  <c r="P24" i="12"/>
  <c r="J24" i="12"/>
  <c r="O24" i="12"/>
  <c r="I24" i="12"/>
  <c r="N24" i="12"/>
  <c r="D23" i="12"/>
  <c r="E23" i="12"/>
  <c r="K23" i="12"/>
  <c r="P23" i="12"/>
  <c r="J23" i="12"/>
  <c r="O23" i="12"/>
  <c r="I23" i="12"/>
  <c r="N23" i="12"/>
  <c r="D21" i="12"/>
  <c r="E21" i="12"/>
  <c r="K21" i="12"/>
  <c r="P21" i="12"/>
  <c r="J21" i="12"/>
  <c r="O21" i="12"/>
  <c r="I21" i="12"/>
  <c r="N21" i="12"/>
  <c r="G19" i="13"/>
  <c r="H19" i="13"/>
  <c r="D20" i="12"/>
  <c r="K20" i="12"/>
  <c r="P20" i="12"/>
  <c r="J20" i="12"/>
  <c r="O20" i="12"/>
  <c r="I20" i="12"/>
  <c r="N20" i="12"/>
  <c r="G18" i="13"/>
  <c r="H18" i="13"/>
  <c r="D19" i="12"/>
  <c r="K19" i="12"/>
  <c r="P19" i="12"/>
  <c r="J19" i="12"/>
  <c r="O19" i="12"/>
  <c r="I19" i="12"/>
  <c r="N19" i="12"/>
  <c r="G17" i="13"/>
  <c r="H17" i="13"/>
  <c r="D18" i="12"/>
  <c r="K18" i="12"/>
  <c r="P18" i="12"/>
  <c r="J18" i="12"/>
  <c r="O18" i="12"/>
  <c r="I18" i="12"/>
  <c r="N18" i="12"/>
  <c r="G16" i="13"/>
  <c r="H16" i="13"/>
  <c r="D17" i="12"/>
  <c r="K17" i="12"/>
  <c r="P17" i="12"/>
  <c r="J17" i="12"/>
  <c r="O17" i="12"/>
  <c r="I17" i="12"/>
  <c r="N17" i="12"/>
  <c r="G15" i="13"/>
  <c r="H15" i="13"/>
  <c r="D16" i="12"/>
  <c r="K16" i="12"/>
  <c r="P16" i="12"/>
  <c r="J16" i="12"/>
  <c r="O16" i="12"/>
  <c r="I16" i="12"/>
  <c r="N16" i="12"/>
  <c r="G14" i="13"/>
  <c r="H14" i="13"/>
  <c r="D15" i="12"/>
  <c r="K15" i="12"/>
  <c r="P15" i="12"/>
  <c r="J15" i="12"/>
  <c r="O15" i="12"/>
  <c r="I15" i="12"/>
  <c r="N15" i="12"/>
  <c r="G13" i="13"/>
  <c r="H13" i="13"/>
  <c r="D14" i="12"/>
  <c r="K14" i="12"/>
  <c r="P14" i="12"/>
  <c r="J14" i="12"/>
  <c r="O14" i="12"/>
  <c r="I14" i="12"/>
  <c r="N14" i="12"/>
  <c r="G12" i="13"/>
  <c r="D13" i="12"/>
  <c r="K13" i="12"/>
  <c r="P13" i="12"/>
  <c r="J13" i="12"/>
  <c r="O13" i="12"/>
  <c r="I13" i="12"/>
  <c r="N13" i="12"/>
  <c r="G11" i="13"/>
  <c r="H11" i="13"/>
  <c r="D12" i="12"/>
  <c r="K12" i="12"/>
  <c r="P12" i="12"/>
  <c r="J12" i="12"/>
  <c r="O12" i="12"/>
  <c r="I12" i="12"/>
  <c r="N12" i="12"/>
  <c r="G10" i="13"/>
  <c r="H10" i="13"/>
  <c r="D11" i="12"/>
  <c r="K11" i="12"/>
  <c r="P11" i="12"/>
  <c r="J11" i="12"/>
  <c r="O11" i="12"/>
  <c r="I11" i="12"/>
  <c r="N11" i="12"/>
  <c r="G9" i="13"/>
  <c r="H9" i="13"/>
  <c r="D10" i="12"/>
  <c r="K10" i="12"/>
  <c r="P10" i="12"/>
  <c r="J10" i="12"/>
  <c r="O10" i="12"/>
  <c r="I10" i="12"/>
  <c r="N10" i="12"/>
  <c r="F30" i="11"/>
  <c r="E30" i="11"/>
  <c r="D30" i="11"/>
  <c r="G30" i="13"/>
  <c r="C30" i="11"/>
  <c r="F29" i="11"/>
  <c r="E29" i="11"/>
  <c r="D29" i="11"/>
  <c r="G29" i="13"/>
  <c r="C29" i="11"/>
  <c r="F27" i="11"/>
  <c r="E27" i="11"/>
  <c r="D27" i="11"/>
  <c r="C27" i="11"/>
  <c r="F26" i="11"/>
  <c r="E26" i="11"/>
  <c r="D26" i="11"/>
  <c r="C26" i="11"/>
  <c r="F25" i="11"/>
  <c r="E25" i="11"/>
  <c r="D25" i="11"/>
  <c r="C25" i="11"/>
  <c r="F24" i="11"/>
  <c r="E24" i="11"/>
  <c r="D24" i="11"/>
  <c r="G24" i="13"/>
  <c r="C24" i="11"/>
  <c r="F23" i="11"/>
  <c r="E23" i="11"/>
  <c r="D23" i="11"/>
  <c r="G23" i="13"/>
  <c r="C23" i="11"/>
  <c r="F22" i="11"/>
  <c r="E22" i="11"/>
  <c r="D22" i="11"/>
  <c r="G22" i="13"/>
  <c r="C22" i="11"/>
  <c r="C11" i="11"/>
  <c r="D11" i="11"/>
  <c r="E11" i="11"/>
  <c r="F11" i="11"/>
  <c r="C12" i="11"/>
  <c r="D12" i="11"/>
  <c r="E12" i="11"/>
  <c r="F12" i="11"/>
  <c r="C13" i="11"/>
  <c r="D13" i="11"/>
  <c r="E13" i="11"/>
  <c r="F13" i="11"/>
  <c r="C14" i="11"/>
  <c r="D14" i="11"/>
  <c r="E14" i="11"/>
  <c r="F14" i="11"/>
  <c r="C15" i="11"/>
  <c r="D15" i="11"/>
  <c r="E15" i="11"/>
  <c r="F15" i="11"/>
  <c r="C16" i="11"/>
  <c r="D16" i="11"/>
  <c r="E16" i="11"/>
  <c r="F16" i="11"/>
  <c r="C17" i="11"/>
  <c r="D17" i="11"/>
  <c r="E17" i="11"/>
  <c r="F17" i="11"/>
  <c r="C18" i="11"/>
  <c r="D18" i="11"/>
  <c r="E18" i="11"/>
  <c r="F18" i="11"/>
  <c r="C19" i="11"/>
  <c r="D19" i="11"/>
  <c r="E19" i="11"/>
  <c r="F19" i="11"/>
  <c r="G20" i="13"/>
  <c r="C20" i="11"/>
  <c r="D20" i="11"/>
  <c r="E20" i="11"/>
  <c r="F20" i="11"/>
  <c r="F10" i="11"/>
  <c r="E10" i="11"/>
  <c r="D10" i="11"/>
  <c r="C10" i="11"/>
  <c r="F9" i="11"/>
  <c r="E9" i="11"/>
  <c r="D9" i="11"/>
  <c r="C9" i="11"/>
  <c r="G31" i="12"/>
  <c r="F31" i="12"/>
  <c r="C31" i="12"/>
  <c r="G30" i="12"/>
  <c r="F30" i="12"/>
  <c r="C30" i="12"/>
  <c r="G28" i="12"/>
  <c r="F28" i="12"/>
  <c r="C28" i="12"/>
  <c r="G27" i="12"/>
  <c r="F27" i="12"/>
  <c r="C27" i="12"/>
  <c r="G26" i="12"/>
  <c r="F26" i="12"/>
  <c r="C26" i="12"/>
  <c r="G25" i="12"/>
  <c r="F25" i="12"/>
  <c r="C25" i="12"/>
  <c r="G24" i="12"/>
  <c r="F24" i="12"/>
  <c r="C24" i="12"/>
  <c r="G23" i="12"/>
  <c r="F23" i="12"/>
  <c r="C23" i="12"/>
  <c r="C11" i="12"/>
  <c r="F11" i="12"/>
  <c r="G11" i="12"/>
  <c r="C12" i="12"/>
  <c r="F12" i="12"/>
  <c r="G12" i="12"/>
  <c r="C13" i="12"/>
  <c r="F13" i="12"/>
  <c r="G13" i="12"/>
  <c r="C14" i="12"/>
  <c r="F14" i="12"/>
  <c r="G14" i="12"/>
  <c r="C15" i="12"/>
  <c r="F15" i="12"/>
  <c r="G15" i="12"/>
  <c r="C16" i="12"/>
  <c r="F16" i="12"/>
  <c r="G16" i="12"/>
  <c r="C17" i="12"/>
  <c r="F17" i="12"/>
  <c r="G17" i="12"/>
  <c r="C18" i="12"/>
  <c r="F18" i="12"/>
  <c r="G18" i="12"/>
  <c r="C19" i="12"/>
  <c r="F19" i="12"/>
  <c r="G19" i="12"/>
  <c r="C20" i="12"/>
  <c r="F20" i="12"/>
  <c r="G20" i="12"/>
  <c r="C21" i="12"/>
  <c r="F21" i="12"/>
  <c r="G21" i="12"/>
  <c r="G10" i="12"/>
  <c r="F10" i="12"/>
  <c r="C10" i="12"/>
  <c r="N33" i="12"/>
  <c r="H147" i="13"/>
  <c r="H148" i="13"/>
  <c r="H149" i="13"/>
  <c r="H150" i="13"/>
  <c r="H151" i="13"/>
  <c r="H152" i="13"/>
  <c r="H153" i="13"/>
  <c r="H154" i="13"/>
  <c r="H155" i="13"/>
  <c r="H156" i="13"/>
  <c r="H157" i="13"/>
  <c r="H158" i="13"/>
  <c r="H159" i="13"/>
  <c r="H160" i="13"/>
  <c r="H161" i="13"/>
  <c r="S10" i="12"/>
  <c r="O33" i="12"/>
  <c r="I147" i="13"/>
  <c r="I148" i="13"/>
  <c r="I149" i="13"/>
  <c r="I150" i="13"/>
  <c r="I151" i="13"/>
  <c r="I152" i="13"/>
  <c r="I153" i="13"/>
  <c r="I154" i="13"/>
  <c r="I155" i="13"/>
  <c r="I156" i="13"/>
  <c r="I157" i="13"/>
  <c r="I158" i="13"/>
  <c r="I159" i="13"/>
  <c r="I160" i="13"/>
  <c r="I161" i="13"/>
  <c r="T10" i="12"/>
  <c r="P33" i="12"/>
  <c r="J147" i="13"/>
  <c r="J148" i="13"/>
  <c r="J149" i="13"/>
  <c r="J150" i="13"/>
  <c r="J151" i="13"/>
  <c r="J152" i="13"/>
  <c r="J153" i="13"/>
  <c r="J154" i="13"/>
  <c r="J155" i="13"/>
  <c r="J156" i="13"/>
  <c r="J157" i="13"/>
  <c r="J158" i="13"/>
  <c r="J159" i="13"/>
  <c r="J160" i="13"/>
  <c r="J161" i="13"/>
  <c r="U10" i="12"/>
  <c r="V10" i="12"/>
  <c r="L10" i="12"/>
  <c r="X10" i="12"/>
  <c r="Y10" i="12"/>
  <c r="Z10" i="12"/>
  <c r="N9" i="11"/>
  <c r="H167" i="13"/>
  <c r="H168" i="13"/>
  <c r="H169" i="13"/>
  <c r="I169" i="13"/>
  <c r="H170" i="13"/>
  <c r="I167" i="13"/>
  <c r="I168" i="13"/>
  <c r="I170" i="13"/>
  <c r="J167" i="13"/>
  <c r="J168" i="13"/>
  <c r="J170" i="13"/>
  <c r="J172" i="13"/>
  <c r="C38" i="11"/>
  <c r="D38" i="11"/>
  <c r="E38" i="11"/>
  <c r="F38" i="11"/>
  <c r="I38" i="11"/>
  <c r="S11" i="12"/>
  <c r="T11" i="12"/>
  <c r="U11" i="12"/>
  <c r="V11" i="12"/>
  <c r="L11" i="12"/>
  <c r="X11" i="12"/>
  <c r="Y11" i="12"/>
  <c r="Z11" i="12"/>
  <c r="N10" i="11"/>
  <c r="C39" i="11"/>
  <c r="D39" i="11"/>
  <c r="E39" i="11"/>
  <c r="F39" i="11"/>
  <c r="I39" i="11"/>
  <c r="S12" i="12"/>
  <c r="T12" i="12"/>
  <c r="U12" i="12"/>
  <c r="V12" i="12"/>
  <c r="L12" i="12"/>
  <c r="X12" i="12"/>
  <c r="Y12" i="12"/>
  <c r="Z12" i="12"/>
  <c r="N11" i="11"/>
  <c r="C40" i="11"/>
  <c r="D40" i="11"/>
  <c r="E40" i="11"/>
  <c r="F40" i="11"/>
  <c r="I40" i="11"/>
  <c r="S13" i="12"/>
  <c r="T13" i="12"/>
  <c r="U13" i="12"/>
  <c r="V13" i="12"/>
  <c r="L13" i="12"/>
  <c r="X13" i="12"/>
  <c r="Y13" i="12"/>
  <c r="Z13" i="12"/>
  <c r="N12" i="11"/>
  <c r="C41" i="11"/>
  <c r="D41" i="11"/>
  <c r="E41" i="11"/>
  <c r="F41" i="11"/>
  <c r="I41" i="11"/>
  <c r="S14" i="12"/>
  <c r="T14" i="12"/>
  <c r="U14" i="12"/>
  <c r="V14" i="12"/>
  <c r="L14" i="12"/>
  <c r="X14" i="12"/>
  <c r="Y14" i="12"/>
  <c r="Z14" i="12"/>
  <c r="N13" i="11"/>
  <c r="C42" i="11"/>
  <c r="F42" i="11"/>
  <c r="S15" i="12"/>
  <c r="T15" i="12"/>
  <c r="U15" i="12"/>
  <c r="V15" i="12"/>
  <c r="L15" i="12"/>
  <c r="X15" i="12"/>
  <c r="Y15" i="12"/>
  <c r="Z15" i="12"/>
  <c r="N14" i="11"/>
  <c r="C43" i="11"/>
  <c r="F43" i="11"/>
  <c r="S16" i="12"/>
  <c r="T16" i="12"/>
  <c r="U16" i="12"/>
  <c r="V16" i="12"/>
  <c r="L16" i="12"/>
  <c r="X16" i="12"/>
  <c r="Y16" i="12"/>
  <c r="Z16" i="12"/>
  <c r="N15" i="11"/>
  <c r="C44" i="11"/>
  <c r="F44" i="11"/>
  <c r="Y17" i="12"/>
  <c r="Z17" i="12"/>
  <c r="N16" i="11"/>
  <c r="C45" i="11"/>
  <c r="F45" i="11"/>
  <c r="I45" i="11"/>
  <c r="S18" i="12"/>
  <c r="T18" i="12"/>
  <c r="U18" i="12"/>
  <c r="V18" i="12"/>
  <c r="L18" i="12"/>
  <c r="X18" i="12"/>
  <c r="Y18" i="12"/>
  <c r="Z18" i="12"/>
  <c r="N17" i="11"/>
  <c r="C46" i="11"/>
  <c r="D46" i="11"/>
  <c r="E46" i="11"/>
  <c r="F46" i="11"/>
  <c r="I46" i="11"/>
  <c r="S19" i="12"/>
  <c r="T19" i="12"/>
  <c r="U19" i="12"/>
  <c r="V19" i="12"/>
  <c r="L19" i="12"/>
  <c r="X19" i="12"/>
  <c r="Y19" i="12"/>
  <c r="Z19" i="12"/>
  <c r="N18" i="11"/>
  <c r="C47" i="11"/>
  <c r="D47" i="11"/>
  <c r="E47" i="11"/>
  <c r="F47" i="11"/>
  <c r="I47" i="11"/>
  <c r="S20" i="12"/>
  <c r="T20" i="12"/>
  <c r="U20" i="12"/>
  <c r="V20" i="12"/>
  <c r="L20" i="12"/>
  <c r="X20" i="12"/>
  <c r="Y20" i="12"/>
  <c r="Z20" i="12"/>
  <c r="N19" i="11"/>
  <c r="C48" i="11"/>
  <c r="D48" i="11"/>
  <c r="E48" i="11"/>
  <c r="F48" i="11"/>
  <c r="I48" i="11"/>
  <c r="Z21" i="12"/>
  <c r="N20" i="11"/>
  <c r="S21" i="12"/>
  <c r="U21" i="12"/>
  <c r="V21" i="12"/>
  <c r="L21" i="12"/>
  <c r="X21" i="12"/>
  <c r="Y21" i="12"/>
  <c r="N49" i="11"/>
  <c r="C49" i="11"/>
  <c r="D49" i="11"/>
  <c r="E49" i="11"/>
  <c r="F49" i="11"/>
  <c r="I49" i="11"/>
  <c r="Z23" i="12"/>
  <c r="N22" i="11"/>
  <c r="S23" i="12"/>
  <c r="T23" i="12"/>
  <c r="U23" i="12"/>
  <c r="V23" i="12"/>
  <c r="L23" i="12"/>
  <c r="X23" i="12"/>
  <c r="Y23" i="12"/>
  <c r="N51" i="11"/>
  <c r="C51" i="11"/>
  <c r="D51" i="11"/>
  <c r="E51" i="11"/>
  <c r="F51" i="11"/>
  <c r="I51" i="11"/>
  <c r="Z24" i="12"/>
  <c r="N23" i="11"/>
  <c r="S24" i="12"/>
  <c r="T24" i="12"/>
  <c r="U24" i="12"/>
  <c r="V24" i="12"/>
  <c r="L24" i="12"/>
  <c r="X24" i="12"/>
  <c r="Y24" i="12"/>
  <c r="N52" i="11"/>
  <c r="C52" i="11"/>
  <c r="D52" i="11"/>
  <c r="E52" i="11"/>
  <c r="F52" i="11"/>
  <c r="I52" i="11"/>
  <c r="Z25" i="12"/>
  <c r="N24" i="11"/>
  <c r="S25" i="12"/>
  <c r="T25" i="12"/>
  <c r="U25" i="12"/>
  <c r="V25" i="12"/>
  <c r="L25" i="12"/>
  <c r="X25" i="12"/>
  <c r="Y25" i="12"/>
  <c r="N53" i="11"/>
  <c r="C53" i="11"/>
  <c r="D53" i="11"/>
  <c r="E53" i="11"/>
  <c r="F53" i="11"/>
  <c r="I53" i="11"/>
  <c r="S26" i="12"/>
  <c r="T26" i="12"/>
  <c r="U26" i="12"/>
  <c r="V26" i="12"/>
  <c r="L26" i="12"/>
  <c r="X26" i="12"/>
  <c r="Y26" i="12"/>
  <c r="Z26" i="12"/>
  <c r="N25" i="11"/>
  <c r="C54" i="11"/>
  <c r="D54" i="11"/>
  <c r="E54" i="11"/>
  <c r="F54" i="11"/>
  <c r="I54" i="11"/>
  <c r="S27" i="12"/>
  <c r="T27" i="12"/>
  <c r="U27" i="12"/>
  <c r="V27" i="12"/>
  <c r="L27" i="12"/>
  <c r="X27" i="12"/>
  <c r="Y27" i="12"/>
  <c r="Z27" i="12"/>
  <c r="N26" i="11"/>
  <c r="C55" i="11"/>
  <c r="D55" i="11"/>
  <c r="E55" i="11"/>
  <c r="F55" i="11"/>
  <c r="I55" i="11"/>
  <c r="S28" i="12"/>
  <c r="T28" i="12"/>
  <c r="U28" i="12"/>
  <c r="V28" i="12"/>
  <c r="L28" i="12"/>
  <c r="X28" i="12"/>
  <c r="Y28" i="12"/>
  <c r="Z28" i="12"/>
  <c r="N27" i="11"/>
  <c r="C56" i="11"/>
  <c r="D56" i="11"/>
  <c r="E56" i="11"/>
  <c r="F56" i="11"/>
  <c r="I56" i="11"/>
  <c r="Z30" i="12"/>
  <c r="N29" i="11"/>
  <c r="S30" i="12"/>
  <c r="T30" i="12"/>
  <c r="U30" i="12"/>
  <c r="V30" i="12"/>
  <c r="L30" i="12"/>
  <c r="X30" i="12"/>
  <c r="Y30" i="12"/>
  <c r="N58" i="11"/>
  <c r="C58" i="11"/>
  <c r="D58" i="11"/>
  <c r="E58" i="11"/>
  <c r="F58" i="11"/>
  <c r="I58" i="11"/>
  <c r="Z31" i="12"/>
  <c r="N30" i="11"/>
  <c r="S31" i="12"/>
  <c r="T31" i="12"/>
  <c r="U31" i="12"/>
  <c r="V31" i="12"/>
  <c r="L31" i="12"/>
  <c r="X31" i="12"/>
  <c r="Y31" i="12"/>
  <c r="N59" i="11"/>
  <c r="C59" i="11"/>
  <c r="D59" i="11"/>
  <c r="E59" i="11"/>
  <c r="F59" i="11"/>
  <c r="I59" i="11"/>
  <c r="D37" i="8"/>
  <c r="D38" i="8"/>
  <c r="D39" i="8"/>
  <c r="J38" i="11"/>
  <c r="J39" i="11"/>
  <c r="J40" i="11"/>
  <c r="J41" i="11"/>
  <c r="J45" i="11"/>
  <c r="J46" i="11"/>
  <c r="J47" i="11"/>
  <c r="J48" i="11"/>
  <c r="J49" i="11"/>
  <c r="J51" i="11"/>
  <c r="J52" i="11"/>
  <c r="J53" i="11"/>
  <c r="J54" i="11"/>
  <c r="J55" i="11"/>
  <c r="J56" i="11"/>
  <c r="J58" i="11"/>
  <c r="J59" i="11"/>
  <c r="E37" i="8"/>
  <c r="E38" i="8"/>
  <c r="E39" i="8"/>
  <c r="K38" i="11"/>
  <c r="K39" i="11"/>
  <c r="K40" i="11"/>
  <c r="K41" i="11"/>
  <c r="K45" i="11"/>
  <c r="K46" i="11"/>
  <c r="K47" i="11"/>
  <c r="K48" i="11"/>
  <c r="K49" i="11"/>
  <c r="K51" i="11"/>
  <c r="K52" i="11"/>
  <c r="K53" i="11"/>
  <c r="K54" i="11"/>
  <c r="K55" i="11"/>
  <c r="K56" i="11"/>
  <c r="K58" i="11"/>
  <c r="K59" i="11"/>
  <c r="F37" i="8"/>
  <c r="F38" i="8"/>
  <c r="F39" i="8"/>
  <c r="L38" i="11"/>
  <c r="L39" i="11"/>
  <c r="L40" i="11"/>
  <c r="L41" i="11"/>
  <c r="L45" i="11"/>
  <c r="L46" i="11"/>
  <c r="L47" i="11"/>
  <c r="L48" i="11"/>
  <c r="L49" i="11"/>
  <c r="L51" i="11"/>
  <c r="L52" i="11"/>
  <c r="L53" i="11"/>
  <c r="L54" i="11"/>
  <c r="L55" i="11"/>
  <c r="L56" i="11"/>
  <c r="L58" i="11"/>
  <c r="L59" i="11"/>
  <c r="G37" i="8"/>
  <c r="G38" i="8"/>
  <c r="G39" i="8"/>
  <c r="H39" i="11"/>
  <c r="H40" i="11"/>
  <c r="H41" i="11"/>
  <c r="H45" i="11"/>
  <c r="H46" i="11"/>
  <c r="H47" i="11"/>
  <c r="H48" i="11"/>
  <c r="H49" i="11"/>
  <c r="H51" i="11"/>
  <c r="H52" i="11"/>
  <c r="H53" i="11"/>
  <c r="H54" i="11"/>
  <c r="H55" i="11"/>
  <c r="H56" i="11"/>
  <c r="H58" i="11"/>
  <c r="H59" i="11"/>
  <c r="C37" i="8"/>
  <c r="C38" i="8"/>
  <c r="C39" i="8"/>
  <c r="S17" i="12"/>
  <c r="F182" i="13"/>
  <c r="K194" i="13"/>
  <c r="U17" i="12"/>
  <c r="T17" i="12"/>
  <c r="J174" i="13"/>
  <c r="J176" i="13"/>
  <c r="B5" i="11"/>
  <c r="G183" i="13"/>
  <c r="H9" i="11"/>
  <c r="P9" i="11"/>
  <c r="AB9" i="11"/>
  <c r="H10" i="11"/>
  <c r="P10" i="11"/>
  <c r="AB10" i="11"/>
  <c r="H11" i="11"/>
  <c r="P11" i="11"/>
  <c r="AB11" i="11"/>
  <c r="H12" i="11"/>
  <c r="P12" i="11"/>
  <c r="AB12" i="11"/>
  <c r="H13" i="11"/>
  <c r="P13" i="11"/>
  <c r="AB13" i="11"/>
  <c r="H14" i="11"/>
  <c r="P14" i="11"/>
  <c r="AB14" i="11"/>
  <c r="H15" i="11"/>
  <c r="P15" i="11"/>
  <c r="AB15" i="11"/>
  <c r="H16" i="11"/>
  <c r="P16" i="11"/>
  <c r="AB16" i="11"/>
  <c r="H17" i="11"/>
  <c r="P17" i="11"/>
  <c r="AB17" i="11"/>
  <c r="H18" i="11"/>
  <c r="P18" i="11"/>
  <c r="AB18" i="11"/>
  <c r="H19" i="11"/>
  <c r="P19" i="11"/>
  <c r="AB19" i="11"/>
  <c r="H20" i="11"/>
  <c r="P20" i="11"/>
  <c r="AB20" i="11"/>
  <c r="H22" i="11"/>
  <c r="P22" i="11"/>
  <c r="AB22" i="11"/>
  <c r="H23" i="11"/>
  <c r="P23" i="11"/>
  <c r="AB23" i="11"/>
  <c r="H24" i="11"/>
  <c r="P24" i="11"/>
  <c r="AB24" i="11"/>
  <c r="H25" i="11"/>
  <c r="P25" i="11"/>
  <c r="AB25" i="11"/>
  <c r="H26" i="11"/>
  <c r="P26" i="11"/>
  <c r="AB26" i="11"/>
  <c r="H27" i="11"/>
  <c r="P27" i="11"/>
  <c r="AB27" i="11"/>
  <c r="H29" i="11"/>
  <c r="P29" i="11"/>
  <c r="AB29" i="11"/>
  <c r="H30" i="11"/>
  <c r="P30" i="11"/>
  <c r="AB30" i="11"/>
  <c r="AB32" i="11"/>
  <c r="C35" i="8"/>
  <c r="H183" i="13"/>
  <c r="I9" i="11"/>
  <c r="Q9" i="11"/>
  <c r="AC9" i="11"/>
  <c r="I10" i="11"/>
  <c r="Q10" i="11"/>
  <c r="AC10" i="11"/>
  <c r="I11" i="11"/>
  <c r="Q11" i="11"/>
  <c r="AC11" i="11"/>
  <c r="I12" i="11"/>
  <c r="Q12" i="11"/>
  <c r="AC12" i="11"/>
  <c r="I13" i="11"/>
  <c r="Q13" i="11"/>
  <c r="AC13" i="11"/>
  <c r="I14" i="11"/>
  <c r="Q14" i="11"/>
  <c r="AC14" i="11"/>
  <c r="I15" i="11"/>
  <c r="Q15" i="11"/>
  <c r="AC15" i="11"/>
  <c r="I16" i="11"/>
  <c r="Q16" i="11"/>
  <c r="AC16" i="11"/>
  <c r="I17" i="11"/>
  <c r="Q17" i="11"/>
  <c r="AC17" i="11"/>
  <c r="I18" i="11"/>
  <c r="Q18" i="11"/>
  <c r="AC18" i="11"/>
  <c r="I19" i="11"/>
  <c r="Q19" i="11"/>
  <c r="AC19" i="11"/>
  <c r="I20" i="11"/>
  <c r="Q20" i="11"/>
  <c r="AC20" i="11"/>
  <c r="I22" i="11"/>
  <c r="Q22" i="11"/>
  <c r="AC22" i="11"/>
  <c r="I23" i="11"/>
  <c r="Q23" i="11"/>
  <c r="AC23" i="11"/>
  <c r="I24" i="11"/>
  <c r="Q24" i="11"/>
  <c r="AC24" i="11"/>
  <c r="I25" i="11"/>
  <c r="Q25" i="11"/>
  <c r="AC25" i="11"/>
  <c r="I26" i="11"/>
  <c r="Q26" i="11"/>
  <c r="AC26" i="11"/>
  <c r="I27" i="11"/>
  <c r="Q27" i="11"/>
  <c r="AC27" i="11"/>
  <c r="I29" i="11"/>
  <c r="Q29" i="11"/>
  <c r="AC29" i="11"/>
  <c r="I30" i="11"/>
  <c r="Q30" i="11"/>
  <c r="AC30" i="11"/>
  <c r="AC32" i="11"/>
  <c r="D35" i="8"/>
  <c r="I183" i="13"/>
  <c r="J9" i="11"/>
  <c r="R9" i="11"/>
  <c r="AD9" i="11"/>
  <c r="J10" i="11"/>
  <c r="R10" i="11"/>
  <c r="AD10" i="11"/>
  <c r="J11" i="11"/>
  <c r="R11" i="11"/>
  <c r="AD11" i="11"/>
  <c r="J12" i="11"/>
  <c r="R12" i="11"/>
  <c r="AD12" i="11"/>
  <c r="J13" i="11"/>
  <c r="R13" i="11"/>
  <c r="AD13" i="11"/>
  <c r="J14" i="11"/>
  <c r="R14" i="11"/>
  <c r="AD14" i="11"/>
  <c r="J15" i="11"/>
  <c r="R15" i="11"/>
  <c r="AD15" i="11"/>
  <c r="J16" i="11"/>
  <c r="R16" i="11"/>
  <c r="AD16" i="11"/>
  <c r="J17" i="11"/>
  <c r="R17" i="11"/>
  <c r="AD17" i="11"/>
  <c r="J18" i="11"/>
  <c r="R18" i="11"/>
  <c r="AD18" i="11"/>
  <c r="J19" i="11"/>
  <c r="R19" i="11"/>
  <c r="AD19" i="11"/>
  <c r="J20" i="11"/>
  <c r="R20" i="11"/>
  <c r="AD20" i="11"/>
  <c r="J22" i="11"/>
  <c r="R22" i="11"/>
  <c r="AD22" i="11"/>
  <c r="J23" i="11"/>
  <c r="R23" i="11"/>
  <c r="AD23" i="11"/>
  <c r="J24" i="11"/>
  <c r="R24" i="11"/>
  <c r="AD24" i="11"/>
  <c r="J25" i="11"/>
  <c r="R25" i="11"/>
  <c r="AD25" i="11"/>
  <c r="J26" i="11"/>
  <c r="R26" i="11"/>
  <c r="AD26" i="11"/>
  <c r="J27" i="11"/>
  <c r="R27" i="11"/>
  <c r="AD27" i="11"/>
  <c r="J29" i="11"/>
  <c r="R29" i="11"/>
  <c r="AD29" i="11"/>
  <c r="J30" i="11"/>
  <c r="R30" i="11"/>
  <c r="AD30" i="11"/>
  <c r="AD32" i="11"/>
  <c r="E35" i="8"/>
  <c r="J183" i="13"/>
  <c r="K9" i="11"/>
  <c r="S9" i="11"/>
  <c r="AE9" i="11"/>
  <c r="K10" i="11"/>
  <c r="S10" i="11"/>
  <c r="AE10" i="11"/>
  <c r="K11" i="11"/>
  <c r="S11" i="11"/>
  <c r="AE11" i="11"/>
  <c r="K12" i="11"/>
  <c r="S12" i="11"/>
  <c r="AE12" i="11"/>
  <c r="K13" i="11"/>
  <c r="S13" i="11"/>
  <c r="AE13" i="11"/>
  <c r="K14" i="11"/>
  <c r="S14" i="11"/>
  <c r="AE14" i="11"/>
  <c r="K15" i="11"/>
  <c r="S15" i="11"/>
  <c r="AE15" i="11"/>
  <c r="K16" i="11"/>
  <c r="S16" i="11"/>
  <c r="AE16" i="11"/>
  <c r="K17" i="11"/>
  <c r="S17" i="11"/>
  <c r="AE17" i="11"/>
  <c r="K18" i="11"/>
  <c r="S18" i="11"/>
  <c r="AE18" i="11"/>
  <c r="K19" i="11"/>
  <c r="S19" i="11"/>
  <c r="AE19" i="11"/>
  <c r="K20" i="11"/>
  <c r="S20" i="11"/>
  <c r="AE20" i="11"/>
  <c r="K22" i="11"/>
  <c r="S22" i="11"/>
  <c r="AE22" i="11"/>
  <c r="K23" i="11"/>
  <c r="S23" i="11"/>
  <c r="AE23" i="11"/>
  <c r="K24" i="11"/>
  <c r="S24" i="11"/>
  <c r="AE24" i="11"/>
  <c r="K25" i="11"/>
  <c r="S25" i="11"/>
  <c r="AE25" i="11"/>
  <c r="K26" i="11"/>
  <c r="S26" i="11"/>
  <c r="AE26" i="11"/>
  <c r="K27" i="11"/>
  <c r="S27" i="11"/>
  <c r="AE27" i="11"/>
  <c r="K29" i="11"/>
  <c r="S29" i="11"/>
  <c r="AE29" i="11"/>
  <c r="K30" i="11"/>
  <c r="S30" i="11"/>
  <c r="AE30" i="11"/>
  <c r="AE32" i="11"/>
  <c r="F35" i="8"/>
  <c r="K183" i="13"/>
  <c r="L9" i="11"/>
  <c r="T9" i="11"/>
  <c r="AF9" i="11"/>
  <c r="L10" i="11"/>
  <c r="T10" i="11"/>
  <c r="AF10" i="11"/>
  <c r="L11" i="11"/>
  <c r="T11" i="11"/>
  <c r="AF11" i="11"/>
  <c r="L12" i="11"/>
  <c r="T12" i="11"/>
  <c r="AF12" i="11"/>
  <c r="L13" i="11"/>
  <c r="T13" i="11"/>
  <c r="AF13" i="11"/>
  <c r="L14" i="11"/>
  <c r="T14" i="11"/>
  <c r="AF14" i="11"/>
  <c r="L15" i="11"/>
  <c r="T15" i="11"/>
  <c r="AF15" i="11"/>
  <c r="L16" i="11"/>
  <c r="T16" i="11"/>
  <c r="AF16" i="11"/>
  <c r="L17" i="11"/>
  <c r="T17" i="11"/>
  <c r="AF17" i="11"/>
  <c r="L18" i="11"/>
  <c r="T18" i="11"/>
  <c r="AF18" i="11"/>
  <c r="L19" i="11"/>
  <c r="T19" i="11"/>
  <c r="AF19" i="11"/>
  <c r="L20" i="11"/>
  <c r="T20" i="11"/>
  <c r="AF20" i="11"/>
  <c r="L22" i="11"/>
  <c r="T22" i="11"/>
  <c r="AF22" i="11"/>
  <c r="L23" i="11"/>
  <c r="T23" i="11"/>
  <c r="AF23" i="11"/>
  <c r="L24" i="11"/>
  <c r="T24" i="11"/>
  <c r="AF24" i="11"/>
  <c r="L25" i="11"/>
  <c r="T25" i="11"/>
  <c r="AF25" i="11"/>
  <c r="L26" i="11"/>
  <c r="T26" i="11"/>
  <c r="AF26" i="11"/>
  <c r="L27" i="11"/>
  <c r="T27" i="11"/>
  <c r="AF27" i="11"/>
  <c r="L29" i="11"/>
  <c r="T29" i="11"/>
  <c r="AF29" i="11"/>
  <c r="L30" i="11"/>
  <c r="T30" i="11"/>
  <c r="AF30" i="11"/>
  <c r="AF32" i="11"/>
  <c r="G35" i="8"/>
  <c r="H35" i="8"/>
  <c r="AF21" i="11"/>
  <c r="AE21" i="11"/>
  <c r="AD21" i="11"/>
  <c r="AC21" i="11"/>
  <c r="AB21" i="11"/>
  <c r="E8" i="8"/>
  <c r="F8" i="8"/>
  <c r="G8" i="8"/>
  <c r="H8" i="8"/>
  <c r="D8" i="8"/>
  <c r="B3" i="13"/>
  <c r="I61" i="11"/>
  <c r="D41" i="8"/>
  <c r="J61" i="11"/>
  <c r="E41" i="8"/>
  <c r="K61" i="11"/>
  <c r="F41" i="8"/>
  <c r="L61" i="11"/>
  <c r="G41" i="8"/>
  <c r="H61" i="11"/>
  <c r="C41" i="8"/>
  <c r="I70" i="13"/>
  <c r="F29" i="8"/>
  <c r="J70" i="13"/>
  <c r="G29" i="8"/>
  <c r="H70" i="13"/>
  <c r="E29" i="8"/>
  <c r="E27" i="8"/>
  <c r="F27" i="8"/>
  <c r="G27" i="8"/>
  <c r="H27" i="8"/>
  <c r="AA31" i="12"/>
  <c r="AA30" i="12"/>
  <c r="AA28" i="12"/>
  <c r="AA27" i="12"/>
  <c r="AA26" i="12"/>
  <c r="AA25" i="12"/>
  <c r="AA24" i="12"/>
  <c r="AA23" i="12"/>
  <c r="AA21" i="12"/>
  <c r="AA20" i="12"/>
  <c r="AA19" i="12"/>
  <c r="AA18" i="12"/>
  <c r="L17" i="12"/>
  <c r="AA17" i="12"/>
  <c r="AA16" i="12"/>
  <c r="AA15" i="12"/>
  <c r="AA14" i="12"/>
  <c r="AA13" i="12"/>
  <c r="AA12" i="12"/>
  <c r="AA11" i="12"/>
  <c r="V17" i="12"/>
  <c r="X17" i="12"/>
  <c r="L33" i="12"/>
  <c r="C3" i="11"/>
  <c r="K70" i="13"/>
  <c r="F61" i="11"/>
  <c r="E61" i="11"/>
  <c r="D61" i="11"/>
  <c r="C61" i="11"/>
  <c r="K185" i="13"/>
  <c r="J185" i="13"/>
  <c r="I185" i="13"/>
  <c r="H185" i="13"/>
  <c r="H37" i="8"/>
  <c r="H38" i="8"/>
  <c r="H39" i="8"/>
  <c r="C47" i="8"/>
  <c r="D47" i="8"/>
  <c r="E47" i="8"/>
  <c r="F47" i="8"/>
  <c r="G47" i="8"/>
  <c r="H47" i="8"/>
  <c r="G70" i="13"/>
  <c r="H29" i="8"/>
  <c r="H28" i="8"/>
  <c r="F123" i="13"/>
  <c r="H41" i="8"/>
  <c r="K203" i="13"/>
  <c r="J169" i="13"/>
  <c r="F130" i="13"/>
  <c r="F129" i="13"/>
  <c r="F128" i="13"/>
  <c r="F127" i="13"/>
  <c r="F139" i="13"/>
  <c r="F138" i="13"/>
  <c r="F134" i="13"/>
  <c r="F133" i="13"/>
  <c r="F132" i="13"/>
  <c r="F131" i="13"/>
  <c r="F126" i="13"/>
  <c r="F125" i="13"/>
  <c r="F124" i="13"/>
  <c r="AA33" i="12"/>
  <c r="V33" i="12"/>
  <c r="U33" i="12"/>
  <c r="T33" i="12"/>
  <c r="S33" i="12"/>
  <c r="Q10" i="12"/>
  <c r="Q11" i="12"/>
  <c r="Q12" i="12"/>
  <c r="Q13" i="12"/>
  <c r="Q14" i="12"/>
  <c r="Q15" i="12"/>
  <c r="Q16" i="12"/>
  <c r="Q17" i="12"/>
  <c r="Q18" i="12"/>
  <c r="Q19" i="12"/>
  <c r="Q20" i="12"/>
  <c r="Q21" i="12"/>
  <c r="Q23" i="12"/>
  <c r="Q24" i="12"/>
  <c r="Q25" i="12"/>
  <c r="Q26" i="12"/>
  <c r="Q27" i="12"/>
  <c r="Q28" i="12"/>
  <c r="Q30" i="12"/>
  <c r="Q31" i="12"/>
  <c r="Q33" i="12"/>
  <c r="K33" i="12"/>
  <c r="J33" i="12"/>
  <c r="I33" i="12"/>
  <c r="D3" i="9"/>
</calcChain>
</file>

<file path=xl/comments1.xml><?xml version="1.0" encoding="utf-8"?>
<comments xmlns="http://schemas.openxmlformats.org/spreadsheetml/2006/main">
  <authors>
    <author>Jacob Muscat</author>
  </authors>
  <commentList>
    <comment ref="F37" authorId="0">
      <text>
        <r>
          <rPr>
            <b/>
            <sz val="9"/>
            <color indexed="81"/>
            <rFont val="Tahoma"/>
            <family val="2"/>
          </rPr>
          <t>Jacob Muscat:</t>
        </r>
        <r>
          <rPr>
            <sz val="9"/>
            <color indexed="81"/>
            <rFont val="Tahoma"/>
            <family val="2"/>
          </rPr>
          <t xml:space="preserve">
This represents the YTD May extrapolated figures for 2012/13 as the full 2012/13 year was not available when the forecast was developed.</t>
        </r>
      </text>
    </comment>
  </commentList>
</comments>
</file>

<file path=xl/sharedStrings.xml><?xml version="1.0" encoding="utf-8"?>
<sst xmlns="http://schemas.openxmlformats.org/spreadsheetml/2006/main" count="515" uniqueCount="199">
  <si>
    <t>Service:</t>
  </si>
  <si>
    <t>Total</t>
  </si>
  <si>
    <t>Historical Revenue</t>
  </si>
  <si>
    <t>Description</t>
  </si>
  <si>
    <t>Volumes</t>
  </si>
  <si>
    <t>Source</t>
  </si>
  <si>
    <t>Current Fee</t>
  </si>
  <si>
    <t>AER Framework and Approach paper March 2013</t>
  </si>
  <si>
    <t>Standard Hours</t>
  </si>
  <si>
    <t/>
  </si>
  <si>
    <t>Connection of Load - URD - Per Hour</t>
  </si>
  <si>
    <t>Connection of Load - Non Urban - Underground - Per Hour</t>
  </si>
  <si>
    <t>Other - Asset Relocation - Per Hour</t>
  </si>
  <si>
    <t>Other - Public Lighting - Per Hour</t>
  </si>
  <si>
    <t>Subdivision - URD - Underground - 1-5 lots</t>
  </si>
  <si>
    <t>Subdivision - URD - Underground - 6-10 lots</t>
  </si>
  <si>
    <t>Subdivision - URD - Underground - 11-40 lots</t>
  </si>
  <si>
    <t>Subdivision - Non Urban - Underground - 1-5 lots</t>
  </si>
  <si>
    <t>Subdivision - Non Urban - Underground - 6-10 lots</t>
  </si>
  <si>
    <t>Subdivision - Non Urban - Underground - 11-40 lots</t>
  </si>
  <si>
    <t>Subdivision - Non Urban - Overhead - 1-5 poles</t>
  </si>
  <si>
    <t>Subdivision - Non Urban - Overhead - 6-10 poles</t>
  </si>
  <si>
    <t>Subdivision - Non Urban - Overhead - 11+ poles</t>
  </si>
  <si>
    <t>Subdivision - Industrial &amp; Commercial - Per Hour</t>
  </si>
  <si>
    <t>Connection of Load - Industrial &amp; Commercial - Per Hour</t>
  </si>
  <si>
    <t>Connection of Load - Non Urban - Overhead - 1-5 poles</t>
  </si>
  <si>
    <t>Connection of Load - Non Urban - Overhead - 6-10 poles</t>
  </si>
  <si>
    <t>Connection of Load - Non Urban - Overhead - 11+ poles</t>
  </si>
  <si>
    <t>Subdivision - URD - Underground - 41+ lots</t>
  </si>
  <si>
    <t>Subdivision - Non Urban - Underground - 41+ lots</t>
  </si>
  <si>
    <t>Hourly</t>
  </si>
  <si>
    <t>Fee Type</t>
  </si>
  <si>
    <t>Administration services relating to work performed by ASP's, including processing work.</t>
  </si>
  <si>
    <t>NCM10001</t>
  </si>
  <si>
    <t>ADMINISTRATION OF CONTESTABLE WORKS</t>
  </si>
  <si>
    <t>NCN10002</t>
  </si>
  <si>
    <t>Not available</t>
  </si>
  <si>
    <t>2009/10</t>
  </si>
  <si>
    <t>2010/11</t>
  </si>
  <si>
    <t>2011/12</t>
  </si>
  <si>
    <t>2012/13</t>
  </si>
  <si>
    <t>2013/14</t>
  </si>
  <si>
    <t>2014/15</t>
  </si>
  <si>
    <t>2015/16</t>
  </si>
  <si>
    <t>2016/17</t>
  </si>
  <si>
    <t>2017/18</t>
  </si>
  <si>
    <t>2018/19</t>
  </si>
  <si>
    <t>Overhead Factor (Nominal)</t>
  </si>
  <si>
    <t>Average Conversion Factor From Real to Nominal</t>
  </si>
  <si>
    <t>Direct Costs (Nominal)</t>
  </si>
  <si>
    <t>Work Order</t>
  </si>
  <si>
    <t>Indirect Costs (Nominal)</t>
  </si>
  <si>
    <t>Hours</t>
  </si>
  <si>
    <t>2010/11 Volumes</t>
  </si>
  <si>
    <t>2011/12 Volumes</t>
  </si>
  <si>
    <t>2012/13 Volumes</t>
  </si>
  <si>
    <t>Standard Hours
2010/11</t>
  </si>
  <si>
    <t>Standard Hours
2011/12</t>
  </si>
  <si>
    <t>Standard Hours
2012/13</t>
  </si>
  <si>
    <t>Total Standard Hours</t>
  </si>
  <si>
    <t>Actual Hours 2010/11</t>
  </si>
  <si>
    <t>Actual Hours 2011/12</t>
  </si>
  <si>
    <t>Actual Hours 2012/13</t>
  </si>
  <si>
    <t>Actual Hours per job</t>
  </si>
  <si>
    <t>Revised Standard Hours per job (Rounded)</t>
  </si>
  <si>
    <t>Connection of Load</t>
  </si>
  <si>
    <t>Work Order Description</t>
  </si>
  <si>
    <t>Historical Work Order Costs</t>
  </si>
  <si>
    <t>EMPLOYEE_ID</t>
  </si>
  <si>
    <t>Name</t>
  </si>
  <si>
    <t>POS_TITLE</t>
  </si>
  <si>
    <t xml:space="preserve">ASSET INFORMATION OFFICER               </t>
  </si>
  <si>
    <t>Hourly Rate (Inc On-cost)</t>
  </si>
  <si>
    <t>AVERAGE</t>
  </si>
  <si>
    <t>No. of People</t>
  </si>
  <si>
    <t>Asset Relocation - Per Hour</t>
  </si>
  <si>
    <t>Public Lighting - Per Hour</t>
  </si>
  <si>
    <t>Average hourly Rate
12/13$</t>
  </si>
  <si>
    <t>Average Hourly Rate (Nominal)</t>
  </si>
  <si>
    <t>Assumed annual labour growth</t>
  </si>
  <si>
    <t>Subdivision - URD - Under - Per Lot 1-5</t>
  </si>
  <si>
    <t>Subdivision - URD - Under - Per Lot 6-10</t>
  </si>
  <si>
    <t>Subdivision - URD - Under - Per Lot 11-40</t>
  </si>
  <si>
    <t>Subdivision - URD - Under - Per Lot 41+</t>
  </si>
  <si>
    <t>Subdivision - Non Urban - Under - Per Lot 1-5</t>
  </si>
  <si>
    <t>Subdivision - Non Urban - Under - Per Lot 6-10</t>
  </si>
  <si>
    <t>Subdivision - Non Urban - Under - Per Lot 11-40</t>
  </si>
  <si>
    <t>Subdivision - Non Urban - Under - Per Lot 41+</t>
  </si>
  <si>
    <t>Subdivision - Non Urban - Over - Per Pole 1-5</t>
  </si>
  <si>
    <t>Subdivision - Non Urban - Over - Per Pole 6-10</t>
  </si>
  <si>
    <t>Subdivision - Non Urban - Over - Per Pole 11+</t>
  </si>
  <si>
    <t>Subdivision - Ind &amp; Comm - Per Hour</t>
  </si>
  <si>
    <t>Total Hours</t>
  </si>
  <si>
    <t>Estimate</t>
  </si>
  <si>
    <t>Historical Volumes</t>
  </si>
  <si>
    <t>Labour Growth</t>
  </si>
  <si>
    <t>Total Operating Expenditure</t>
  </si>
  <si>
    <t>Asset Information does not get involved in the provision of this service.</t>
  </si>
  <si>
    <t>Administration Services</t>
  </si>
  <si>
    <t>Ancillary Network Services</t>
  </si>
  <si>
    <t>Data Input Work Sheet</t>
  </si>
  <si>
    <t>Hours were extracted from Ellipse work orders.</t>
  </si>
  <si>
    <t>This worksheet left blank intentionally</t>
  </si>
  <si>
    <t>Calculation of Overhead Factor</t>
  </si>
  <si>
    <t>Average Hourly Rate (Real 2012/13$)</t>
  </si>
  <si>
    <t>Overhead Factor</t>
  </si>
  <si>
    <t>Average Hourly Rate (2012/13$) - Incl OH</t>
  </si>
  <si>
    <t>Work of an administrative nature (not including work of an administration nature described in section G.2.11), involving the processing of level 1 and/or level 3 work where the customer is lawfully required to pay for the level 1 and/or level 3 work.
This may include without limitation:
•  Checking supply availability
•  Processing applications
•  Correspondence from application to completion
•  Record keeping
•  Requesting and receiving fees (initially, then prior to design and after certification)
•  Receiving design drawings (registering and copying)
•  Raising an order for high voltage work
•  Calculating high voltage reimbursements
•  Calculating the cost of a project and warranty / maintenance bond
• Organising refunds to developers for high voltage work
• Liaising with developers via phone and facsimile
• Updating geographic information systems (GIS) and mapping</t>
  </si>
  <si>
    <t>Ancillary Network Services - Service Description</t>
  </si>
  <si>
    <t>Ancillary Network Services - Summary</t>
  </si>
  <si>
    <t>Ancillary Network Services - Fee Breakdown</t>
  </si>
  <si>
    <t>Fee
(Excluding GST)</t>
  </si>
  <si>
    <t>Hourly Rate
(Excluding GST)</t>
  </si>
  <si>
    <t>Historic Volumes</t>
  </si>
  <si>
    <t>Overheads</t>
  </si>
  <si>
    <t>Direct Operating Expenditure</t>
  </si>
  <si>
    <t>Hourly rate (excl overheads)</t>
  </si>
  <si>
    <t>Hourly rate (incl overheads)</t>
  </si>
  <si>
    <t>Framework &amp; Approach Service Description</t>
  </si>
  <si>
    <t>Network &amp; Corporate Overhead Factor</t>
  </si>
  <si>
    <t>Overhead Conversion Factor</t>
  </si>
  <si>
    <t>Average</t>
  </si>
  <si>
    <t>Total Costs</t>
  </si>
  <si>
    <t>Proposed Hourly Rates</t>
  </si>
  <si>
    <t>Fee
(Including GST)</t>
  </si>
  <si>
    <t>2012/13 YTD May Extrapolated</t>
  </si>
  <si>
    <t>Average Hourly Rates for Data Capture Costs</t>
  </si>
  <si>
    <t>Data Capture Costs</t>
  </si>
  <si>
    <t>Labour Growth Rates</t>
  </si>
  <si>
    <t>Average Hourly Rates - 2012/13 Dollars</t>
  </si>
  <si>
    <t>Average Hourly Rates - Forecast Nominal</t>
  </si>
  <si>
    <t>Growth</t>
  </si>
  <si>
    <t>These calculations represent the costs to capture information in Endeavour Energy's GIS mapping system related to Administration Services.  These calculations were based on information provided by the Manager Asset Information as individual work orders which captured the costs do not exist.
Asset Information branch identified which employee positions carried out this type of work and provided and an estimate for the number of hours required to complete each task.</t>
  </si>
  <si>
    <t>These hours were calculated based on the average time involved in carrying out the task and the volumes in the relevant year.</t>
  </si>
  <si>
    <t>Current Fees</t>
  </si>
  <si>
    <t>Average per Job (Hourly Only)</t>
  </si>
  <si>
    <t>Estimated Hours Based on Standard Hours</t>
  </si>
  <si>
    <t>Actual Hours Booked to Work Orders - Pro Rata Based on Standard Hours</t>
  </si>
  <si>
    <t>Total Actual Hours for 3 Years</t>
  </si>
  <si>
    <t>Total Volumes</t>
  </si>
  <si>
    <t>Revised Standard Hours</t>
  </si>
  <si>
    <t>Total Hours Based on Revised Standard</t>
  </si>
  <si>
    <t>Proposed Fees (Nominal)</t>
  </si>
  <si>
    <t>Forecast Volumes</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</si>
  <si>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</si>
  <si>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</si>
  <si>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</si>
  <si>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</si>
  <si>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</si>
  <si>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</si>
  <si>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General ledger</t>
  </si>
  <si>
    <t>Work orders &amp; cost estimates</t>
  </si>
  <si>
    <t>CAM projects invoiced</t>
  </si>
  <si>
    <t>6) Historic volumes were extracted from business systems and used in conjunction with current approved standard hours and actual historic hours to calculate revised standard hours for each fee sub category.</t>
  </si>
  <si>
    <t>5) An overhead factor derived from Endeavour Energy's Cost Allocation Model ('CAM') was applied to the direct labour rate to calculate a labour rate inclusive of network and corporate overheads. In addition, a 2012/13 real to nominal conversion factor derived from the CAM was applied to the labour rate to calculate the forecast labour rates in nominal dollars over the 2015-19 regulatory period.</t>
  </si>
  <si>
    <t xml:space="preserve">Existing Service Description (2009-14) </t>
  </si>
  <si>
    <t>Updated Service Description (2015-19)</t>
  </si>
  <si>
    <t>Payroll data was extracted as at 14/06/13 and provided by the Budgeting &amp; Forecasting Manager.  These hourly labour rates represent 2012/13 labour costs and are used to calculate an average hourly labour rate for those individuals involved in this service.</t>
  </si>
  <si>
    <t>Current Fee (Excl GST):</t>
  </si>
  <si>
    <t>Proposed Fee (Excl GST):</t>
  </si>
  <si>
    <t>2) Where available, the work orders used to capture the costs associated with the provision of this service were identified and extracted from the general ledger over a 3 year historic period (2010/11 to 2012/13). Adjustments were made to remove costs that were not relevant to the service.</t>
  </si>
  <si>
    <t>Based on an average labour rate of $64 per hour - Refer to the Fee Breakdown schedule for specific fees</t>
  </si>
  <si>
    <t>Based on the following average labour rates per hour for the 2015-19 regulatory period - Refer to the Fee Breakdown schedule for specific fees</t>
  </si>
  <si>
    <t>Forecast Operating Expenditure</t>
  </si>
  <si>
    <t>Proposed Revenue (Nominal)</t>
  </si>
  <si>
    <t>2008/09</t>
  </si>
  <si>
    <t>2015-19 Pricing Methodology for Service (Summary)</t>
  </si>
  <si>
    <t>Work of an administration nature (not including work of an administrative nature described in service - Notice of Arrangement or Authorisation of ASPs), including the processing of Level 1 and/or Level 3 work where the customer is lawfully required to pay for the Level 1 and/or Level 3 work. 
This may include without limitation:
• Checking supply availability;
• Processing applications;
• Correspondence from application to completion;
• Record keeping;
• Requesting and receiving fees (initially, then prior to design and after certification);
• Receiving design drawings (registering and copying);
• Raising order for high voltage (HV) work;
• Calculating HV reimbursements;
• Calculating the cost of a project and warranty / maintenance bond;
• Organising refunds to developers for HV work;
• Liaising with developers via phone and facsimile;
• Updating Geographic Information Systems (GIS) and mapping; and
• Supporting the process of design information, design certification and design rechecking.</t>
  </si>
  <si>
    <t>Pricing Mechanism:</t>
  </si>
  <si>
    <t>2009-14 Current Fees</t>
  </si>
  <si>
    <t>Current fees approved by the AER for the 2009-14 regulatory period.</t>
  </si>
  <si>
    <t>Direct Opex ANS (Nominal)</t>
  </si>
  <si>
    <t>Total Opex ANS (Nominal)</t>
  </si>
  <si>
    <t>Revenue related to this service is billed through Endeavour Energy's Ellipse billing system and is extracted from the general ledger.</t>
  </si>
  <si>
    <t>Work orders relating to this service were identified and were extracted from the general ledger. These work orders capture the costs associated with performing this ancillary network service.</t>
  </si>
  <si>
    <t>All unit rates have been calculated in real 2012/13 dollars for comparison purposes. To estimate labour rates in real 2012/13 dollars for prior years, the actual salary increases for award staff in those years has been used.</t>
  </si>
  <si>
    <t>Not Available</t>
  </si>
  <si>
    <t>Direct ANS (Real 2012/13$)</t>
  </si>
  <si>
    <t>The calculation of individual fees relies on a hourly labour rate.  An hourly labour rate is calculated for the historic period by dividing historic costs by historic labour hours.  This is converted to 2012/13 real dollars and an average of the three years calculated.  This is inflated by the overhead factor derived from the CAM to calculate a fully loaded hourly labour rate for this service.</t>
  </si>
  <si>
    <t>Average Hourly Rate (2012/13$) - Excl OH</t>
  </si>
  <si>
    <t>The average hourly labour rate in 2012/13 real dollars is converted to nominal dollars for each year in the next regulatory period using the nominal conversion factor derived from the CAM.  These rates form the basis of the calculation of the individual service fees.</t>
  </si>
  <si>
    <t>Endeavour Energy's overhead factor is derived from the Cost Allocation Methodology ('CAM') approved by the AER and the final opex budget for the regulatory period. Refer to the CAM model output for the forecast period.</t>
  </si>
  <si>
    <t>Average hours per job (hourly only)</t>
  </si>
  <si>
    <t>3) Where historic work order data was not available, the individuals involved in the provision of the service provided resource requirement (labour hours) and cost estimates for each type of activity conducted in relation to the service. This information was used, in conjunction with average historic labour rates for the individuals involved, to calculate historic labour hours and costs related to the provision of the service.</t>
  </si>
  <si>
    <t xml:space="preserve">4) Historic work order data and estimates provided by internal stakeholders were combined and used to derive an average hourly rate for each year in the historic analysis period. These hourly rates were converted to real 2012/13 dollars using actual award wage increases for the period, and an average 2012/13 hourly rate derived based on the 3 years data.  </t>
  </si>
  <si>
    <t>7) Where the fee is charged on a fixed fee basis, the revised standard hours are multiplied by proposed fee labour rates to calculate a fixed fee for the fee sub category over the 2015-19 regulatory period.  Where the fee is charged on an hourly basis the fee for the 2015-19 regulatory period is equal to the proposed fee labour rates.</t>
  </si>
  <si>
    <t xml:space="preserve">Historic revenue was extracted from Endeavour Energy's general ledger via an account code combination specifically set up to capture the revenue related to this service (as defined in the 2009-14 regulatory period). As outlined above, historic costs were obtained from a mixture of actual costs recorded to specific work orders and resource requirement (labour hours) and cost estimates provided by individuals involved in the provision of this service (where specific work orders were not available). Historic volumes were derived based on the number of invoices that were raised throughout the year for the provision of this service. </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</si>
  <si>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</si>
  <si>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Average Overhead Factor for Regulatory Period</t>
  </si>
  <si>
    <t xml:space="preserve">In order to calculate a fee for each service sub-category, revised standard hours are required to be calculated for the 2015-19 regulatory period.  Revised standard hours are calculated by pro-rating the total actual hours captured within the work orders and/or estimated by relevant stakeholders for the historic period, based on the standard hours approved by the Regulator for the 2009-14 regulatory period.  Total hours for the historic period are then divided by total volumes at the fee sub-category level to calculate revised standard hours for each fee sub-category. </t>
  </si>
  <si>
    <t>Per job or per hour - Refer to the Fee Breakdown schedule for specific fees</t>
  </si>
  <si>
    <t xml:space="preserve">- </t>
  </si>
  <si>
    <t>Volumes were derived based on the number of invoices that were raised throughout the year. CAMS (Endeavour Energy's contestable work system) was used to split the fees within the different categories for this ancillary network service.
"2012/13 YTD May extrapolated" has been included as this  was used to forecast future volumes. At the time future volumes forecasts were being estimated, the full year for 2012/13 was not available, only YTD May. YTD May results were extrapolated for 2012/13 and used in conjunction with prior years to develop averages for forecast volumes.</t>
  </si>
  <si>
    <t>Proposed fees (including network and corporate overheads) were multiplied by forecast volumes at the fee sub category level to calculate forecast revenue. Forecast costs associated with the provision of the service were calculated by multiplying direct cost unit rates (per year) by the annual overhead factor and forecast volumes. Forecast revenue differs slightly to forecast costs, as the calculation of the proposed fees uses an average overhead factor for the regulatory period, whereas costs are forecast based on the actual overhead factor for the year in order to balance to CAM outcomes. Volumes were forecasted based on an average of historic data.</t>
  </si>
  <si>
    <t>Endeavour initially derived forecast ANS opex in real 2012/13 dollars. In order to convert from real to nominal the CAM provides a nominal conversion factor. Refer to the CAM model output for the forecast period.</t>
  </si>
  <si>
    <t>Calculation of Real to Nominal Conversion Factor</t>
  </si>
  <si>
    <t>Conversion Real to Nominal</t>
  </si>
  <si>
    <t>Direct ANS (Nominal)</t>
  </si>
  <si>
    <t>Conversion Factor (Real 2012/13$ to Nominal)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</si>
</sst>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0.0%"/>
    <numFmt numFmtId="172" formatCode="_(* #,##0_);_(* \(#,##0\);_(* &quot;-&quot;??_);_(@_)"/>
    <numFmt numFmtId="174" formatCode="_-* #,##0_-;* \(#,##0\)_-;_-* &quot;-&quot;_-;_-@_-"/>
  </numFmts>
  <fonts count="31"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sz val="10"/>
      <color indexed="8"/>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b/>
      <sz val="10"/>
      <color indexed="8"/>
      <name val="Calibri"/>
      <family val="2"/>
      <scheme val="minor"/>
    </font>
    <font>
      <sz val="10"/>
      <color indexed="8"/>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
      <sz val="10"/>
      <color rgb="FFFF0000"/>
      <name val="Calibri"/>
      <family val="2"/>
      <scheme val="minor"/>
    </font>
    <font>
      <b/>
      <sz val="10"/>
      <color rgb="FFFF0000"/>
      <name val="Calibri"/>
      <family val="2"/>
      <scheme val="minor"/>
    </font>
    <font>
      <sz val="9"/>
      <color indexed="81"/>
      <name val="Tahoma"/>
      <family val="2"/>
    </font>
    <font>
      <b/>
      <sz val="9"/>
      <color indexed="81"/>
      <name val="Tahoma"/>
      <family val="2"/>
    </font>
  </fonts>
  <fills count="9">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s>
  <borders count="28">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style="thin">
        <color theme="0"/>
      </left>
      <right/>
      <top style="thin">
        <color theme="0"/>
      </top>
      <bottom style="thin">
        <color theme="0"/>
      </bottom>
      <diagonal/>
    </border>
  </borders>
  <cellStyleXfs count="18">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2" applyNumberFormat="0" applyFont="0" applyAlignment="0" applyProtection="0"/>
    <xf numFmtId="0" fontId="16" fillId="0" borderId="0"/>
    <xf numFmtId="0" fontId="1" fillId="0" borderId="0"/>
    <xf numFmtId="0" fontId="15" fillId="0" borderId="0"/>
  </cellStyleXfs>
  <cellXfs count="431">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0" fontId="7" fillId="4" borderId="2" xfId="0" applyFont="1" applyFill="1" applyBorder="1" applyAlignment="1">
      <alignment horizontal="left"/>
    </xf>
    <xf numFmtId="0" fontId="14" fillId="4" borderId="2" xfId="0" applyFont="1" applyFill="1" applyBorder="1" applyAlignment="1">
      <alignment horizontal="left"/>
    </xf>
    <xf numFmtId="166" fontId="14" fillId="0" borderId="0" xfId="2" applyNumberFormat="1" applyFont="1"/>
    <xf numFmtId="170" fontId="11" fillId="0" borderId="11" xfId="0" applyNumberFormat="1" applyFont="1" applyBorder="1" applyAlignment="1">
      <alignment horizontal="right" vertical="center"/>
    </xf>
    <xf numFmtId="170" fontId="11" fillId="0" borderId="7" xfId="0" applyNumberFormat="1" applyFont="1" applyBorder="1" applyAlignment="1">
      <alignment horizontal="right" vertical="center"/>
    </xf>
    <xf numFmtId="170" fontId="11" fillId="0" borderId="12" xfId="0" applyNumberFormat="1" applyFont="1" applyBorder="1" applyAlignment="1">
      <alignment horizontal="right" vertical="center"/>
    </xf>
    <xf numFmtId="0" fontId="11" fillId="0" borderId="7" xfId="0" applyFont="1" applyFill="1" applyBorder="1" applyAlignment="1">
      <alignment horizontal="left" vertical="center"/>
    </xf>
    <xf numFmtId="170" fontId="11" fillId="0" borderId="7" xfId="0" applyNumberFormat="1" applyFont="1" applyFill="1" applyBorder="1" applyAlignment="1">
      <alignment horizontal="right" vertical="center"/>
    </xf>
    <xf numFmtId="0" fontId="11" fillId="0" borderId="7" xfId="0" applyFont="1" applyBorder="1" applyAlignment="1">
      <alignment horizontal="center" vertical="center"/>
    </xf>
    <xf numFmtId="170" fontId="11" fillId="0" borderId="8" xfId="0" applyNumberFormat="1" applyFont="1" applyFill="1" applyBorder="1" applyAlignment="1">
      <alignment horizontal="right" vertical="center"/>
    </xf>
    <xf numFmtId="170" fontId="11" fillId="0" borderId="17" xfId="0" applyNumberFormat="1" applyFont="1" applyBorder="1" applyAlignment="1">
      <alignment horizontal="right" vertical="center" wrapText="1"/>
    </xf>
    <xf numFmtId="0" fontId="11" fillId="0" borderId="0" xfId="0" applyFont="1" applyAlignment="1">
      <alignment vertical="center"/>
    </xf>
    <xf numFmtId="0" fontId="19"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7" fillId="0" borderId="0" xfId="0" applyFont="1" applyAlignment="1">
      <alignment vertical="center"/>
    </xf>
    <xf numFmtId="0" fontId="24" fillId="0" borderId="0" xfId="0" applyFont="1" applyAlignment="1">
      <alignment vertical="center"/>
    </xf>
    <xf numFmtId="0" fontId="25" fillId="7" borderId="0" xfId="0" applyFont="1" applyFill="1" applyAlignment="1">
      <alignment vertical="center"/>
    </xf>
    <xf numFmtId="0" fontId="26" fillId="7" borderId="0" xfId="0" applyFont="1" applyFill="1" applyAlignment="1">
      <alignment vertical="center"/>
    </xf>
    <xf numFmtId="170" fontId="26" fillId="7" borderId="0" xfId="0" applyNumberFormat="1" applyFont="1" applyFill="1" applyAlignment="1">
      <alignment vertical="center"/>
    </xf>
    <xf numFmtId="0" fontId="26" fillId="7" borderId="0" xfId="0" applyFont="1" applyFill="1" applyAlignment="1">
      <alignment horizontal="left" vertical="center"/>
    </xf>
    <xf numFmtId="170" fontId="19" fillId="5" borderId="11" xfId="0" quotePrefix="1" applyNumberFormat="1" applyFont="1" applyFill="1" applyBorder="1" applyAlignment="1">
      <alignment horizontal="center" vertical="center"/>
    </xf>
    <xf numFmtId="170" fontId="19" fillId="5" borderId="7" xfId="0" quotePrefix="1" applyNumberFormat="1" applyFont="1" applyFill="1" applyBorder="1" applyAlignment="1">
      <alignment horizontal="center" vertical="center"/>
    </xf>
    <xf numFmtId="170" fontId="19" fillId="5" borderId="12" xfId="0" quotePrefix="1" applyNumberFormat="1" applyFont="1" applyFill="1" applyBorder="1" applyAlignment="1">
      <alignment horizontal="center" vertical="center"/>
    </xf>
    <xf numFmtId="0" fontId="18" fillId="5" borderId="13" xfId="0" quotePrefix="1" applyFont="1" applyFill="1" applyBorder="1" applyAlignment="1">
      <alignment horizontal="center" vertical="center"/>
    </xf>
    <xf numFmtId="0" fontId="19" fillId="8" borderId="7" xfId="0" applyFont="1" applyFill="1" applyBorder="1" applyAlignment="1">
      <alignment horizontal="left" vertical="center"/>
    </xf>
    <xf numFmtId="0" fontId="20" fillId="0" borderId="7" xfId="0" applyFont="1" applyBorder="1" applyAlignment="1">
      <alignment horizontal="left" vertical="center" wrapText="1"/>
    </xf>
    <xf numFmtId="170" fontId="11" fillId="0" borderId="14" xfId="0" applyNumberFormat="1" applyFont="1" applyBorder="1" applyAlignment="1">
      <alignment vertical="center"/>
    </xf>
    <xf numFmtId="170" fontId="11" fillId="0" borderId="8" xfId="0" applyNumberFormat="1" applyFont="1" applyBorder="1" applyAlignment="1">
      <alignment vertical="center"/>
    </xf>
    <xf numFmtId="170" fontId="11" fillId="0" borderId="15" xfId="0" applyNumberFormat="1" applyFont="1" applyBorder="1" applyAlignment="1">
      <alignment vertical="center"/>
    </xf>
    <xf numFmtId="170" fontId="11" fillId="0" borderId="16" xfId="0" applyNumberFormat="1" applyFont="1" applyBorder="1" applyAlignment="1">
      <alignment vertical="center"/>
    </xf>
    <xf numFmtId="170" fontId="11" fillId="0" borderId="9" xfId="0" applyNumberFormat="1" applyFont="1" applyBorder="1" applyAlignment="1">
      <alignment vertical="center"/>
    </xf>
    <xf numFmtId="170" fontId="11" fillId="0" borderId="0" xfId="0" applyNumberFormat="1" applyFont="1" applyBorder="1" applyAlignment="1">
      <alignment vertical="center"/>
    </xf>
    <xf numFmtId="170" fontId="11" fillId="0" borderId="18" xfId="0" applyNumberFormat="1" applyFont="1" applyBorder="1" applyAlignment="1">
      <alignment vertical="center"/>
    </xf>
    <xf numFmtId="170" fontId="11" fillId="0" borderId="10" xfId="0" applyNumberFormat="1" applyFont="1" applyBorder="1" applyAlignment="1">
      <alignment vertical="center"/>
    </xf>
    <xf numFmtId="170" fontId="11" fillId="0" borderId="19" xfId="0" applyNumberFormat="1" applyFont="1" applyBorder="1" applyAlignment="1">
      <alignment vertical="center"/>
    </xf>
    <xf numFmtId="170" fontId="19" fillId="5" borderId="26" xfId="0" applyNumberFormat="1" applyFont="1" applyFill="1" applyBorder="1" applyAlignment="1">
      <alignment vertical="center"/>
    </xf>
    <xf numFmtId="170" fontId="19" fillId="5" borderId="23" xfId="0" applyNumberFormat="1" applyFont="1" applyFill="1" applyBorder="1" applyAlignment="1">
      <alignment vertical="center"/>
    </xf>
    <xf numFmtId="170" fontId="19" fillId="5" borderId="24" xfId="0" applyNumberFormat="1" applyFont="1" applyFill="1" applyBorder="1" applyAlignment="1">
      <alignment vertical="center"/>
    </xf>
    <xf numFmtId="9" fontId="11" fillId="0" borderId="7" xfId="1" applyFont="1" applyBorder="1" applyAlignment="1">
      <alignment horizontal="left" vertical="center" wrapText="1"/>
    </xf>
    <xf numFmtId="170" fontId="18" fillId="5" borderId="7" xfId="0" applyNumberFormat="1" applyFont="1" applyFill="1" applyBorder="1" applyAlignment="1">
      <alignment horizontal="left" vertical="center"/>
    </xf>
    <xf numFmtId="0" fontId="18" fillId="5" borderId="7" xfId="0" quotePrefix="1" applyFont="1" applyFill="1" applyBorder="1" applyAlignment="1">
      <alignment horizontal="center" vertical="center"/>
    </xf>
    <xf numFmtId="0" fontId="11" fillId="0" borderId="0" xfId="0" applyFont="1" applyFill="1" applyBorder="1" applyAlignment="1">
      <alignment horizontal="left" vertical="center"/>
    </xf>
    <xf numFmtId="170" fontId="11" fillId="0" borderId="0" xfId="0" applyNumberFormat="1" applyFont="1" applyAlignment="1">
      <alignment horizontal="left" vertical="center"/>
    </xf>
    <xf numFmtId="170" fontId="18" fillId="5" borderId="7" xfId="0" applyNumberFormat="1" applyFont="1" applyFill="1" applyBorder="1" applyAlignment="1">
      <alignment horizontal="center" vertical="center"/>
    </xf>
    <xf numFmtId="170" fontId="18" fillId="5" borderId="7" xfId="0" applyNumberFormat="1" applyFont="1" applyFill="1" applyBorder="1" applyAlignment="1">
      <alignment horizontal="center" vertical="center" wrapText="1"/>
    </xf>
    <xf numFmtId="169" fontId="11" fillId="0" borderId="7" xfId="0" applyNumberFormat="1" applyFont="1" applyBorder="1" applyAlignment="1">
      <alignment horizontal="center" vertical="center"/>
    </xf>
    <xf numFmtId="167" fontId="11" fillId="0" borderId="7" xfId="0" applyNumberFormat="1" applyFont="1" applyBorder="1" applyAlignment="1">
      <alignment vertical="center"/>
    </xf>
    <xf numFmtId="0" fontId="11" fillId="0" borderId="7" xfId="0" applyFont="1" applyBorder="1" applyAlignment="1">
      <alignment vertical="center"/>
    </xf>
    <xf numFmtId="170" fontId="11" fillId="0" borderId="7" xfId="0" applyNumberFormat="1" applyFont="1" applyBorder="1" applyAlignment="1">
      <alignment vertical="center"/>
    </xf>
    <xf numFmtId="0" fontId="11" fillId="0" borderId="0" xfId="0" applyFont="1" applyAlignment="1">
      <alignment horizontal="center" vertical="center"/>
    </xf>
    <xf numFmtId="170" fontId="19" fillId="5" borderId="23" xfId="0" applyNumberFormat="1" applyFont="1" applyFill="1" applyBorder="1" applyAlignment="1">
      <alignment horizontal="right" vertical="center"/>
    </xf>
    <xf numFmtId="170" fontId="11" fillId="0" borderId="17" xfId="0" applyNumberFormat="1" applyFont="1" applyBorder="1" applyAlignment="1">
      <alignment vertical="center"/>
    </xf>
    <xf numFmtId="167" fontId="11" fillId="0" borderId="11" xfId="0" applyNumberFormat="1" applyFont="1" applyBorder="1" applyAlignment="1">
      <alignment vertical="center"/>
    </xf>
    <xf numFmtId="167" fontId="11" fillId="0" borderId="12" xfId="0" applyNumberFormat="1" applyFont="1" applyBorder="1" applyAlignment="1">
      <alignment vertical="center"/>
    </xf>
    <xf numFmtId="167" fontId="11" fillId="0" borderId="13" xfId="0" applyNumberFormat="1" applyFont="1" applyBorder="1" applyAlignment="1">
      <alignment vertical="center"/>
    </xf>
    <xf numFmtId="9" fontId="11" fillId="0" borderId="16" xfId="1" applyFont="1" applyBorder="1" applyAlignment="1">
      <alignment vertical="center"/>
    </xf>
    <xf numFmtId="9" fontId="11" fillId="0" borderId="0" xfId="1" applyFont="1" applyBorder="1" applyAlignment="1">
      <alignment vertical="center"/>
    </xf>
    <xf numFmtId="9" fontId="11" fillId="0" borderId="17" xfId="1" applyFont="1" applyBorder="1" applyAlignment="1">
      <alignment vertical="center"/>
    </xf>
    <xf numFmtId="167" fontId="19" fillId="0" borderId="11" xfId="0" applyNumberFormat="1" applyFont="1" applyBorder="1" applyAlignment="1">
      <alignment vertical="center"/>
    </xf>
    <xf numFmtId="167" fontId="19" fillId="0" borderId="12" xfId="0" applyNumberFormat="1" applyFont="1" applyBorder="1" applyAlignment="1">
      <alignment vertical="center"/>
    </xf>
    <xf numFmtId="167" fontId="19" fillId="0" borderId="13"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22" fillId="5" borderId="7" xfId="15" applyFont="1" applyFill="1" applyBorder="1" applyAlignment="1">
      <alignment horizontal="left" vertical="center"/>
    </xf>
    <xf numFmtId="0" fontId="22" fillId="5" borderId="11" xfId="15" applyFont="1" applyFill="1" applyBorder="1" applyAlignment="1">
      <alignment horizontal="left" vertical="center"/>
    </xf>
    <xf numFmtId="0" fontId="22" fillId="5" borderId="13" xfId="15" applyFont="1" applyFill="1" applyBorder="1" applyAlignment="1">
      <alignment horizontal="left" vertical="center"/>
    </xf>
    <xf numFmtId="0" fontId="22" fillId="5" borderId="12" xfId="15" applyFont="1" applyFill="1" applyBorder="1" applyAlignment="1">
      <alignment horizontal="left" vertical="center"/>
    </xf>
    <xf numFmtId="170" fontId="11" fillId="5" borderId="12" xfId="0" applyNumberFormat="1" applyFont="1" applyFill="1" applyBorder="1" applyAlignment="1">
      <alignment vertical="center"/>
    </xf>
    <xf numFmtId="169" fontId="19" fillId="5" borderId="7" xfId="0" applyNumberFormat="1" applyFont="1" applyFill="1" applyBorder="1" applyAlignment="1">
      <alignment horizontal="right" vertical="center" wrapText="1"/>
    </xf>
    <xf numFmtId="0" fontId="23" fillId="0" borderId="0" xfId="15" applyFont="1" applyFill="1" applyBorder="1" applyAlignment="1">
      <alignment vertical="center"/>
    </xf>
    <xf numFmtId="0" fontId="11" fillId="0" borderId="0" xfId="0" applyFont="1" applyBorder="1" applyAlignment="1">
      <alignment vertical="center"/>
    </xf>
    <xf numFmtId="167" fontId="11" fillId="0" borderId="9" xfId="0" applyNumberFormat="1" applyFont="1" applyBorder="1" applyAlignment="1">
      <alignment vertical="center"/>
    </xf>
    <xf numFmtId="0" fontId="23" fillId="0" borderId="19" xfId="15" applyFont="1" applyFill="1" applyBorder="1" applyAlignment="1">
      <alignment vertical="center"/>
    </xf>
    <xf numFmtId="0" fontId="11" fillId="0" borderId="19" xfId="0" applyFont="1" applyBorder="1" applyAlignment="1">
      <alignment vertical="center"/>
    </xf>
    <xf numFmtId="167" fontId="11" fillId="0" borderId="10" xfId="0" applyNumberFormat="1" applyFont="1" applyBorder="1" applyAlignment="1">
      <alignment vertical="center"/>
    </xf>
    <xf numFmtId="170" fontId="21" fillId="7" borderId="0" xfId="0" applyNumberFormat="1" applyFont="1" applyFill="1" applyAlignment="1">
      <alignment vertical="center"/>
    </xf>
    <xf numFmtId="167" fontId="19" fillId="5" borderId="25" xfId="0" applyNumberFormat="1" applyFont="1" applyFill="1" applyBorder="1" applyAlignment="1">
      <alignment vertical="center"/>
    </xf>
    <xf numFmtId="169" fontId="19"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16" xfId="0" applyFont="1" applyBorder="1" applyAlignment="1">
      <alignment vertical="center"/>
    </xf>
    <xf numFmtId="0" fontId="11" fillId="2" borderId="13" xfId="0" applyFont="1" applyFill="1" applyBorder="1" applyAlignment="1">
      <alignment horizontal="right" vertical="center"/>
    </xf>
    <xf numFmtId="9" fontId="11" fillId="2" borderId="13" xfId="1" applyFont="1" applyFill="1" applyBorder="1" applyAlignment="1">
      <alignment horizontal="center" vertical="center"/>
    </xf>
    <xf numFmtId="170" fontId="19" fillId="2" borderId="23" xfId="0" applyNumberFormat="1" applyFont="1" applyFill="1" applyBorder="1" applyAlignment="1">
      <alignment horizontal="right"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8" fillId="0" borderId="0" xfId="0" applyFont="1" applyFill="1" applyBorder="1" applyAlignment="1">
      <alignment horizontal="center" vertical="center"/>
    </xf>
    <xf numFmtId="0" fontId="18" fillId="3" borderId="7" xfId="0" applyFont="1" applyFill="1" applyBorder="1" applyAlignment="1">
      <alignment horizontal="left" vertical="center"/>
    </xf>
    <xf numFmtId="167" fontId="19" fillId="0" borderId="0" xfId="0" applyNumberFormat="1" applyFont="1" applyFill="1" applyBorder="1" applyAlignment="1">
      <alignment horizontal="center" vertical="center" wrapText="1"/>
    </xf>
    <xf numFmtId="170" fontId="19" fillId="4" borderId="14"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center" vertical="center" wrapText="1"/>
    </xf>
    <xf numFmtId="170" fontId="19" fillId="4" borderId="21" xfId="0" quotePrefix="1" applyNumberFormat="1" applyFont="1" applyFill="1" applyBorder="1" applyAlignment="1">
      <alignment horizontal="center" vertical="center" wrapText="1"/>
    </xf>
    <xf numFmtId="0" fontId="11" fillId="0" borderId="14" xfId="0" applyFont="1" applyBorder="1" applyAlignment="1">
      <alignment vertical="center"/>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170" fontId="11" fillId="0" borderId="8" xfId="0" applyNumberFormat="1" applyFont="1" applyBorder="1" applyAlignment="1">
      <alignment horizontal="center" vertical="center"/>
    </xf>
    <xf numFmtId="168" fontId="11" fillId="0" borderId="16" xfId="0" applyNumberFormat="1" applyFont="1" applyBorder="1" applyAlignment="1">
      <alignment horizontal="center" vertical="center"/>
    </xf>
    <xf numFmtId="170" fontId="11" fillId="0" borderId="0" xfId="0" applyNumberFormat="1" applyFont="1" applyBorder="1" applyAlignment="1">
      <alignment horizontal="center"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170" fontId="11" fillId="0" borderId="9" xfId="0" applyNumberFormat="1" applyFont="1" applyBorder="1" applyAlignment="1">
      <alignment horizontal="center" vertical="center"/>
    </xf>
    <xf numFmtId="0" fontId="11" fillId="0" borderId="18" xfId="0" applyFont="1" applyBorder="1" applyAlignment="1">
      <alignment vertical="center"/>
    </xf>
    <xf numFmtId="168" fontId="11" fillId="0" borderId="20" xfId="0" applyNumberFormat="1" applyFont="1" applyBorder="1" applyAlignment="1">
      <alignment horizontal="center" vertical="center"/>
    </xf>
    <xf numFmtId="170" fontId="11" fillId="0" borderId="10" xfId="0" applyNumberFormat="1" applyFont="1" applyBorder="1" applyAlignment="1">
      <alignment horizontal="center" vertical="center"/>
    </xf>
    <xf numFmtId="167" fontId="11" fillId="0" borderId="0" xfId="0" applyNumberFormat="1" applyFont="1" applyAlignment="1">
      <alignment horizontal="center" vertical="center"/>
    </xf>
    <xf numFmtId="167" fontId="11" fillId="0" borderId="0" xfId="0" applyNumberFormat="1" applyFont="1" applyFill="1" applyAlignment="1">
      <alignment vertical="center"/>
    </xf>
    <xf numFmtId="0" fontId="19" fillId="4" borderId="11"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13" xfId="0" applyFont="1" applyFill="1" applyBorder="1" applyAlignment="1">
      <alignment horizontal="center" vertical="center" wrapText="1"/>
    </xf>
    <xf numFmtId="170" fontId="19" fillId="4" borderId="8" xfId="0" quotePrefix="1" applyNumberFormat="1" applyFont="1" applyFill="1" applyBorder="1" applyAlignment="1">
      <alignment horizontal="center" vertical="center" wrapText="1"/>
    </xf>
    <xf numFmtId="168" fontId="11" fillId="0" borderId="17" xfId="0" applyNumberFormat="1" applyFont="1" applyFill="1" applyBorder="1" applyAlignment="1">
      <alignment horizontal="center" vertical="center"/>
    </xf>
    <xf numFmtId="168" fontId="11" fillId="0" borderId="17" xfId="0" applyNumberFormat="1" applyFont="1" applyBorder="1" applyAlignment="1">
      <alignment horizontal="center" vertical="center"/>
    </xf>
    <xf numFmtId="0" fontId="11" fillId="0" borderId="9" xfId="0" applyFont="1" applyBorder="1" applyAlignment="1">
      <alignment vertical="center"/>
    </xf>
    <xf numFmtId="168" fontId="11" fillId="0" borderId="0" xfId="0" applyNumberFormat="1" applyFont="1" applyBorder="1" applyAlignment="1">
      <alignment horizontal="center" vertical="center"/>
    </xf>
    <xf numFmtId="0" fontId="11" fillId="0" borderId="10" xfId="0" applyFont="1" applyBorder="1" applyAlignment="1">
      <alignment vertical="center"/>
    </xf>
    <xf numFmtId="168" fontId="11" fillId="0" borderId="19" xfId="0" applyNumberFormat="1" applyFont="1" applyBorder="1" applyAlignment="1">
      <alignment horizontal="center" vertical="center"/>
    </xf>
    <xf numFmtId="0" fontId="11" fillId="0" borderId="0" xfId="6" applyFont="1" applyAlignment="1">
      <alignment horizontal="center" vertical="top"/>
    </xf>
    <xf numFmtId="170" fontId="11" fillId="0" borderId="0" xfId="6" applyNumberFormat="1" applyFont="1" applyAlignment="1">
      <alignment horizontal="center" vertical="top"/>
    </xf>
    <xf numFmtId="168" fontId="11" fillId="0" borderId="0" xfId="6" applyNumberFormat="1" applyFont="1" applyFill="1" applyBorder="1" applyAlignment="1">
      <alignment horizontal="center" vertical="top"/>
    </xf>
    <xf numFmtId="169" fontId="11" fillId="0" borderId="0" xfId="6" applyNumberFormat="1" applyFont="1" applyFill="1" applyBorder="1" applyAlignment="1">
      <alignment horizontal="center" vertical="top"/>
    </xf>
    <xf numFmtId="0" fontId="11" fillId="0" borderId="0" xfId="6" applyFont="1" applyBorder="1" applyAlignment="1">
      <alignment horizontal="center" vertical="top"/>
    </xf>
    <xf numFmtId="170" fontId="11" fillId="0" borderId="9" xfId="6" applyNumberFormat="1" applyFont="1" applyFill="1" applyBorder="1" applyAlignment="1">
      <alignment horizontal="center" vertical="top"/>
    </xf>
    <xf numFmtId="170" fontId="11" fillId="0" borderId="0" xfId="6" applyNumberFormat="1" applyFont="1" applyFill="1" applyBorder="1" applyAlignment="1">
      <alignment horizontal="center" vertical="top"/>
    </xf>
    <xf numFmtId="170" fontId="11" fillId="0" borderId="0" xfId="6" applyNumberFormat="1" applyFont="1" applyBorder="1" applyAlignment="1">
      <alignment horizontal="center" vertical="top"/>
    </xf>
    <xf numFmtId="171" fontId="11" fillId="0" borderId="0" xfId="9" applyNumberFormat="1" applyFont="1" applyAlignment="1">
      <alignment horizontal="center" vertical="top"/>
    </xf>
    <xf numFmtId="0" fontId="19" fillId="0" borderId="0" xfId="0" applyFont="1" applyAlignment="1">
      <alignment horizontal="left" vertical="top"/>
    </xf>
    <xf numFmtId="169" fontId="11" fillId="0" borderId="0" xfId="6" applyNumberFormat="1" applyFont="1" applyAlignment="1">
      <alignment horizontal="center" vertical="top"/>
    </xf>
    <xf numFmtId="0" fontId="27" fillId="0" borderId="0" xfId="6" applyFont="1" applyAlignment="1">
      <alignment horizontal="center" vertical="top"/>
    </xf>
    <xf numFmtId="0" fontId="28" fillId="0" borderId="0" xfId="6" applyFont="1" applyAlignment="1">
      <alignment horizontal="center" vertical="top"/>
    </xf>
    <xf numFmtId="168" fontId="19" fillId="0" borderId="0" xfId="6" applyNumberFormat="1" applyFont="1" applyAlignment="1">
      <alignment horizontal="center" vertical="top"/>
    </xf>
    <xf numFmtId="0" fontId="19" fillId="0" borderId="0" xfId="6" applyFont="1" applyAlignment="1">
      <alignment horizontal="center" vertical="top"/>
    </xf>
    <xf numFmtId="9" fontId="11" fillId="0" borderId="0" xfId="9" applyFont="1" applyAlignment="1">
      <alignment horizontal="center" vertical="top"/>
    </xf>
    <xf numFmtId="170" fontId="0" fillId="0" borderId="0" xfId="1" applyNumberFormat="1" applyFont="1"/>
    <xf numFmtId="169" fontId="5" fillId="0" borderId="0" xfId="0" applyNumberFormat="1" applyFont="1"/>
    <xf numFmtId="170" fontId="14" fillId="0" borderId="0" xfId="2" applyNumberFormat="1" applyFont="1"/>
    <xf numFmtId="0" fontId="7" fillId="2" borderId="0" xfId="0" applyFont="1" applyFill="1"/>
    <xf numFmtId="0" fontId="5" fillId="0" borderId="24" xfId="0" applyFont="1" applyFill="1" applyBorder="1"/>
    <xf numFmtId="166" fontId="14" fillId="0" borderId="24"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167" fontId="11" fillId="0" borderId="0" xfId="0" applyNumberFormat="1" applyFont="1" applyFill="1" applyBorder="1" applyAlignment="1">
      <alignment vertical="center" wrapText="1"/>
    </xf>
    <xf numFmtId="167" fontId="11" fillId="0" borderId="17" xfId="0" applyNumberFormat="1" applyFont="1" applyFill="1" applyBorder="1" applyAlignment="1">
      <alignment vertical="center" wrapText="1"/>
    </xf>
    <xf numFmtId="167" fontId="11" fillId="0" borderId="19" xfId="0" applyNumberFormat="1" applyFont="1" applyFill="1" applyBorder="1" applyAlignment="1">
      <alignment vertical="center" wrapText="1"/>
    </xf>
    <xf numFmtId="167" fontId="11" fillId="0" borderId="20" xfId="0" applyNumberFormat="1" applyFont="1" applyFill="1" applyBorder="1" applyAlignment="1">
      <alignment vertical="center" wrapText="1"/>
    </xf>
    <xf numFmtId="0" fontId="14" fillId="3" borderId="0" xfId="0" applyFont="1" applyFill="1" applyBorder="1" applyAlignment="1">
      <alignment vertical="top"/>
    </xf>
    <xf numFmtId="0" fontId="19" fillId="4" borderId="7" xfId="0" applyFont="1" applyFill="1" applyBorder="1" applyAlignment="1">
      <alignment horizontal="center" vertical="center" wrapText="1"/>
    </xf>
    <xf numFmtId="167" fontId="11" fillId="0" borderId="16" xfId="0" applyNumberFormat="1" applyFont="1" applyFill="1" applyBorder="1" applyAlignment="1">
      <alignment vertical="center" wrapText="1"/>
    </xf>
    <xf numFmtId="167" fontId="11" fillId="0" borderId="18" xfId="0" applyNumberFormat="1" applyFont="1" applyFill="1" applyBorder="1" applyAlignment="1">
      <alignment vertical="center" wrapText="1"/>
    </xf>
    <xf numFmtId="170" fontId="19" fillId="4" borderId="11" xfId="0" quotePrefix="1" applyNumberFormat="1" applyFont="1" applyFill="1" applyBorder="1" applyAlignment="1">
      <alignment horizontal="center" vertical="center" wrapText="1"/>
    </xf>
    <xf numFmtId="170" fontId="19" fillId="4" borderId="12" xfId="0" quotePrefix="1" applyNumberFormat="1" applyFont="1" applyFill="1" applyBorder="1" applyAlignment="1">
      <alignment horizontal="center" vertical="center" wrapText="1"/>
    </xf>
    <xf numFmtId="170" fontId="19" fillId="4" borderId="13" xfId="0" quotePrefix="1" applyNumberFormat="1" applyFont="1" applyFill="1" applyBorder="1" applyAlignment="1">
      <alignment horizontal="center" vertical="center" wrapText="1"/>
    </xf>
    <xf numFmtId="170" fontId="19" fillId="5" borderId="7"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0" fontId="12" fillId="7" borderId="0" xfId="0" applyFont="1" applyFill="1" applyAlignment="1">
      <alignment vertical="center"/>
    </xf>
    <xf numFmtId="0" fontId="21" fillId="7" borderId="0" xfId="0" applyFont="1" applyFill="1" applyAlignment="1">
      <alignment vertical="center"/>
    </xf>
    <xf numFmtId="167" fontId="21" fillId="7" borderId="0" xfId="0" applyNumberFormat="1" applyFont="1" applyFill="1" applyAlignment="1">
      <alignment vertical="center"/>
    </xf>
    <xf numFmtId="170" fontId="18" fillId="5" borderId="11" xfId="0" applyNumberFormat="1" applyFont="1" applyFill="1" applyBorder="1" applyAlignment="1">
      <alignment horizontal="center" vertical="center"/>
    </xf>
    <xf numFmtId="0" fontId="11" fillId="2" borderId="8" xfId="0" applyFont="1" applyFill="1" applyBorder="1" applyAlignment="1">
      <alignment vertical="center"/>
    </xf>
    <xf numFmtId="0" fontId="11" fillId="2" borderId="9" xfId="0" applyFont="1" applyFill="1" applyBorder="1" applyAlignment="1">
      <alignment vertical="center"/>
    </xf>
    <xf numFmtId="167" fontId="11" fillId="2" borderId="9" xfId="0" applyNumberFormat="1" applyFont="1" applyFill="1" applyBorder="1" applyAlignment="1">
      <alignment vertical="center"/>
    </xf>
    <xf numFmtId="0" fontId="11" fillId="2" borderId="10" xfId="0" applyFont="1" applyFill="1" applyBorder="1" applyAlignment="1">
      <alignment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9" fillId="0" borderId="12" xfId="0" applyFont="1" applyBorder="1" applyAlignment="1">
      <alignment vertical="center"/>
    </xf>
    <xf numFmtId="10" fontId="19" fillId="0" borderId="12" xfId="1" applyNumberFormat="1" applyFont="1" applyBorder="1" applyAlignment="1">
      <alignment vertical="center"/>
    </xf>
    <xf numFmtId="10" fontId="19" fillId="0" borderId="13" xfId="1" applyNumberFormat="1" applyFont="1" applyBorder="1" applyAlignment="1">
      <alignment vertical="center"/>
    </xf>
    <xf numFmtId="169" fontId="11" fillId="0" borderId="0" xfId="0" applyNumberFormat="1" applyFont="1" applyAlignment="1">
      <alignment horizontal="right" vertical="center"/>
    </xf>
    <xf numFmtId="167" fontId="19" fillId="5" borderId="7" xfId="0" applyNumberFormat="1" applyFont="1" applyFill="1" applyBorder="1" applyAlignment="1">
      <alignment vertical="center"/>
    </xf>
    <xf numFmtId="9" fontId="19" fillId="5" borderId="7" xfId="1" applyFont="1" applyFill="1" applyBorder="1" applyAlignment="1">
      <alignment vertical="center"/>
    </xf>
    <xf numFmtId="170" fontId="11" fillId="0" borderId="9" xfId="6" applyNumberFormat="1" applyFont="1" applyFill="1" applyBorder="1" applyAlignment="1">
      <alignment horizontal="right" vertical="top"/>
    </xf>
    <xf numFmtId="170" fontId="11" fillId="0" borderId="10" xfId="6" applyNumberFormat="1" applyFont="1" applyFill="1" applyBorder="1" applyAlignment="1">
      <alignment horizontal="right" vertical="top"/>
    </xf>
    <xf numFmtId="169" fontId="11" fillId="0" borderId="10" xfId="6" applyNumberFormat="1" applyFont="1" applyBorder="1" applyAlignment="1">
      <alignment horizontal="right" vertical="top"/>
    </xf>
    <xf numFmtId="170" fontId="19" fillId="3" borderId="23" xfId="6" applyNumberFormat="1" applyFont="1" applyFill="1" applyBorder="1" applyAlignment="1">
      <alignment horizontal="right" vertical="top"/>
    </xf>
    <xf numFmtId="170" fontId="11" fillId="0" borderId="10" xfId="6" applyNumberFormat="1" applyFont="1" applyBorder="1" applyAlignment="1">
      <alignment horizontal="right" vertical="top"/>
    </xf>
    <xf numFmtId="0" fontId="19" fillId="0" borderId="10" xfId="6" applyFont="1" applyBorder="1" applyAlignment="1">
      <alignment horizontal="left" vertical="top" wrapText="1"/>
    </xf>
    <xf numFmtId="0" fontId="19" fillId="0" borderId="18" xfId="6" applyFont="1" applyBorder="1" applyAlignment="1">
      <alignment horizontal="left" vertical="top" wrapText="1"/>
    </xf>
    <xf numFmtId="0" fontId="19" fillId="0" borderId="20" xfId="6" applyFont="1" applyBorder="1" applyAlignment="1">
      <alignment horizontal="left" vertical="top" wrapText="1"/>
    </xf>
    <xf numFmtId="0" fontId="17" fillId="0" borderId="0" xfId="0" applyFont="1" applyAlignment="1">
      <alignment vertical="top"/>
    </xf>
    <xf numFmtId="0" fontId="19" fillId="0" borderId="0" xfId="0" applyFont="1" applyAlignment="1">
      <alignment vertical="top"/>
    </xf>
    <xf numFmtId="0" fontId="24" fillId="0" borderId="0" xfId="0" applyFont="1" applyAlignment="1">
      <alignment vertical="top"/>
    </xf>
    <xf numFmtId="0" fontId="11" fillId="0" borderId="0" xfId="0" applyFont="1" applyAlignment="1">
      <alignment vertical="top"/>
    </xf>
    <xf numFmtId="0" fontId="11" fillId="0" borderId="14" xfId="0" applyFont="1" applyBorder="1" applyAlignment="1">
      <alignment vertical="top"/>
    </xf>
    <xf numFmtId="168" fontId="11" fillId="0" borderId="14" xfId="0" applyNumberFormat="1" applyFont="1" applyBorder="1" applyAlignment="1">
      <alignment horizontal="center" vertical="top"/>
    </xf>
    <xf numFmtId="168" fontId="11" fillId="0" borderId="21" xfId="0" applyNumberFormat="1" applyFont="1" applyFill="1" applyBorder="1" applyAlignment="1">
      <alignment horizontal="center" vertical="top"/>
    </xf>
    <xf numFmtId="0" fontId="11" fillId="0" borderId="16" xfId="0" applyFont="1" applyBorder="1" applyAlignment="1">
      <alignment vertical="top"/>
    </xf>
    <xf numFmtId="168" fontId="11" fillId="0" borderId="16" xfId="0" applyNumberFormat="1" applyFont="1" applyBorder="1" applyAlignment="1">
      <alignment horizontal="center" vertical="top"/>
    </xf>
    <xf numFmtId="168" fontId="11" fillId="0" borderId="17" xfId="0" applyNumberFormat="1" applyFont="1" applyBorder="1" applyAlignment="1">
      <alignment horizontal="center" vertical="top"/>
    </xf>
    <xf numFmtId="0" fontId="11" fillId="0" borderId="0" xfId="6" applyFont="1" applyAlignment="1">
      <alignment horizontal="center" vertical="center" wrapText="1"/>
    </xf>
    <xf numFmtId="0" fontId="11" fillId="0" borderId="0" xfId="6" applyFont="1" applyAlignment="1">
      <alignment horizontal="center" vertical="center"/>
    </xf>
    <xf numFmtId="170" fontId="19" fillId="4" borderId="7" xfId="6" quotePrefix="1" applyNumberFormat="1" applyFont="1" applyFill="1" applyBorder="1" applyAlignment="1">
      <alignment horizontal="center" vertical="center" wrapText="1"/>
    </xf>
    <xf numFmtId="170" fontId="11" fillId="0" borderId="8" xfId="0" applyNumberFormat="1" applyFont="1" applyBorder="1" applyAlignment="1">
      <alignment horizontal="center" vertical="top"/>
    </xf>
    <xf numFmtId="170" fontId="11" fillId="0" borderId="9" xfId="0" applyNumberFormat="1" applyFont="1" applyBorder="1" applyAlignment="1">
      <alignment horizontal="center" vertical="top"/>
    </xf>
    <xf numFmtId="0" fontId="11" fillId="0" borderId="9" xfId="0" applyFont="1" applyBorder="1" applyAlignment="1">
      <alignment horizontal="center" vertical="top"/>
    </xf>
    <xf numFmtId="168" fontId="11" fillId="0" borderId="8" xfId="0" applyNumberFormat="1" applyFont="1" applyBorder="1" applyAlignment="1">
      <alignment horizontal="center" vertical="top"/>
    </xf>
    <xf numFmtId="168" fontId="11" fillId="0" borderId="9" xfId="0" applyNumberFormat="1" applyFont="1" applyBorder="1" applyAlignment="1">
      <alignment horizontal="center" vertical="top"/>
    </xf>
    <xf numFmtId="169" fontId="19" fillId="4" borderId="7" xfId="7" applyNumberFormat="1" applyFont="1" applyFill="1" applyBorder="1" applyAlignment="1">
      <alignment horizontal="center" vertical="center" wrapText="1"/>
    </xf>
    <xf numFmtId="170" fontId="19" fillId="4" borderId="7" xfId="7" applyNumberFormat="1" applyFont="1" applyFill="1" applyBorder="1" applyAlignment="1">
      <alignment horizontal="center" vertical="center" wrapText="1"/>
    </xf>
    <xf numFmtId="170" fontId="19" fillId="0" borderId="9" xfId="6" applyNumberFormat="1" applyFont="1" applyFill="1" applyBorder="1" applyAlignment="1">
      <alignment horizontal="right" vertical="top"/>
    </xf>
    <xf numFmtId="170" fontId="19" fillId="4" borderId="10" xfId="6" quotePrefix="1" applyNumberFormat="1" applyFont="1" applyFill="1" applyBorder="1" applyAlignment="1">
      <alignment horizontal="center" vertical="center" wrapText="1"/>
    </xf>
    <xf numFmtId="0" fontId="11" fillId="0" borderId="0" xfId="6" applyFont="1" applyBorder="1" applyAlignment="1">
      <alignment horizontal="center" vertical="top" wrapText="1"/>
    </xf>
    <xf numFmtId="0" fontId="19" fillId="0" borderId="0" xfId="6" quotePrefix="1" applyFont="1" applyBorder="1" applyAlignment="1">
      <alignment horizontal="center" vertical="top"/>
    </xf>
    <xf numFmtId="9" fontId="11" fillId="0" borderId="0" xfId="8" applyNumberFormat="1" applyFont="1" applyBorder="1" applyAlignment="1">
      <alignment horizontal="center" vertical="top"/>
    </xf>
    <xf numFmtId="169" fontId="11" fillId="0" borderId="9" xfId="6" applyNumberFormat="1" applyFont="1" applyFill="1" applyBorder="1" applyAlignment="1">
      <alignment horizontal="right" vertical="top"/>
    </xf>
    <xf numFmtId="170" fontId="11" fillId="0" borderId="0" xfId="6" applyNumberFormat="1" applyFont="1" applyAlignment="1">
      <alignment horizontal="right" vertical="top"/>
    </xf>
    <xf numFmtId="167" fontId="11" fillId="0" borderId="14" xfId="0" applyNumberFormat="1" applyFont="1" applyBorder="1" applyAlignment="1">
      <alignment horizontal="right" vertical="center"/>
    </xf>
    <xf numFmtId="167" fontId="11" fillId="0" borderId="15" xfId="0" applyNumberFormat="1" applyFont="1" applyBorder="1" applyAlignment="1">
      <alignment horizontal="right" vertical="center"/>
    </xf>
    <xf numFmtId="167" fontId="11" fillId="0" borderId="21" xfId="0" applyNumberFormat="1" applyFont="1" applyBorder="1" applyAlignment="1">
      <alignment horizontal="right" vertical="center"/>
    </xf>
    <xf numFmtId="167" fontId="11" fillId="0" borderId="16" xfId="0" applyNumberFormat="1" applyFont="1" applyBorder="1" applyAlignment="1">
      <alignment horizontal="right" vertical="center"/>
    </xf>
    <xf numFmtId="167" fontId="11" fillId="0" borderId="0" xfId="0" applyNumberFormat="1" applyFont="1" applyBorder="1" applyAlignment="1">
      <alignment horizontal="right" vertical="center"/>
    </xf>
    <xf numFmtId="167" fontId="11" fillId="0" borderId="17" xfId="0" applyNumberFormat="1" applyFont="1" applyBorder="1" applyAlignment="1">
      <alignment horizontal="right" vertical="center"/>
    </xf>
    <xf numFmtId="167" fontId="11" fillId="0" borderId="18" xfId="0" applyNumberFormat="1" applyFont="1" applyBorder="1" applyAlignment="1">
      <alignment horizontal="right" vertical="center"/>
    </xf>
    <xf numFmtId="167" fontId="11" fillId="0" borderId="19" xfId="0" applyNumberFormat="1" applyFont="1" applyBorder="1" applyAlignment="1">
      <alignment horizontal="right" vertical="center"/>
    </xf>
    <xf numFmtId="167" fontId="11" fillId="0" borderId="20" xfId="0" applyNumberFormat="1" applyFont="1" applyBorder="1" applyAlignment="1">
      <alignment horizontal="right" vertical="center"/>
    </xf>
    <xf numFmtId="172" fontId="7" fillId="0" borderId="0" xfId="3" applyNumberFormat="1" applyFont="1"/>
    <xf numFmtId="172" fontId="14" fillId="0" borderId="0" xfId="3" applyNumberFormat="1" applyFont="1"/>
    <xf numFmtId="0" fontId="14" fillId="3" borderId="6" xfId="0" applyFont="1" applyFill="1" applyBorder="1" applyAlignment="1">
      <alignment horizontal="center"/>
    </xf>
    <xf numFmtId="9" fontId="11" fillId="0" borderId="0" xfId="1" applyFont="1" applyAlignment="1">
      <alignment horizontal="center" vertical="center"/>
    </xf>
    <xf numFmtId="0" fontId="7" fillId="4" borderId="0" xfId="0" applyFont="1" applyFill="1" applyBorder="1" applyAlignment="1">
      <alignment horizontal="left" vertical="top" wrapText="1"/>
    </xf>
    <xf numFmtId="0" fontId="14" fillId="3" borderId="3" xfId="0" applyFont="1" applyFill="1" applyBorder="1" applyAlignment="1">
      <alignment vertical="top"/>
    </xf>
    <xf numFmtId="0" fontId="14" fillId="3" borderId="0" xfId="0" applyFont="1" applyFill="1" applyBorder="1" applyAlignment="1">
      <alignment horizontal="center"/>
    </xf>
    <xf numFmtId="164" fontId="7" fillId="4" borderId="0" xfId="2" applyFont="1" applyFill="1" applyBorder="1" applyAlignment="1">
      <alignment horizontal="left" vertical="top" wrapText="1"/>
    </xf>
    <xf numFmtId="0" fontId="11" fillId="0" borderId="0" xfId="0" applyFont="1" applyBorder="1" applyAlignment="1">
      <alignment horizontal="center" vertical="center"/>
    </xf>
    <xf numFmtId="170" fontId="18" fillId="0" borderId="0" xfId="0" applyNumberFormat="1" applyFont="1" applyFill="1" applyBorder="1" applyAlignment="1">
      <alignment horizontal="center" vertical="center"/>
    </xf>
    <xf numFmtId="0" fontId="11" fillId="0" borderId="0" xfId="0" applyFont="1" applyFill="1" applyBorder="1" applyAlignment="1">
      <alignment horizontal="center" vertical="center"/>
    </xf>
    <xf numFmtId="0" fontId="11" fillId="0" borderId="12" xfId="0" applyFont="1" applyBorder="1" applyAlignment="1">
      <alignment horizontal="left" vertical="center"/>
    </xf>
    <xf numFmtId="168" fontId="11" fillId="0" borderId="0" xfId="0" applyNumberFormat="1" applyFont="1" applyAlignment="1">
      <alignment vertical="center"/>
    </xf>
    <xf numFmtId="170" fontId="18" fillId="5" borderId="11" xfId="0" applyNumberFormat="1" applyFont="1" applyFill="1" applyBorder="1" applyAlignment="1">
      <alignment vertical="center"/>
    </xf>
    <xf numFmtId="170" fontId="18" fillId="5" borderId="12" xfId="0" applyNumberFormat="1" applyFont="1" applyFill="1" applyBorder="1" applyAlignment="1">
      <alignment vertical="center"/>
    </xf>
    <xf numFmtId="0" fontId="11" fillId="0" borderId="12" xfId="0" applyFont="1" applyBorder="1" applyAlignment="1">
      <alignment horizontal="left"/>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0" fontId="11" fillId="0" borderId="11" xfId="0" applyFont="1" applyBorder="1" applyAlignment="1">
      <alignment horizontal="left" vertical="center"/>
    </xf>
    <xf numFmtId="169" fontId="19" fillId="4" borderId="7" xfId="0" quotePrefix="1" applyNumberFormat="1" applyFont="1" applyFill="1" applyBorder="1" applyAlignment="1">
      <alignment horizontal="right" vertical="center"/>
    </xf>
    <xf numFmtId="169" fontId="19" fillId="0" borderId="7" xfId="0" applyNumberFormat="1" applyFont="1" applyBorder="1" applyAlignment="1">
      <alignment vertical="center"/>
    </xf>
    <xf numFmtId="170" fontId="11" fillId="0" borderId="9" xfId="0" applyNumberFormat="1" applyFont="1" applyBorder="1" applyAlignment="1">
      <alignment horizontal="right" vertical="center" wrapText="1"/>
    </xf>
    <xf numFmtId="167" fontId="19" fillId="0" borderId="7" xfId="0" applyNumberFormat="1" applyFont="1" applyBorder="1" applyAlignment="1">
      <alignment horizontal="right" vertical="center"/>
    </xf>
    <xf numFmtId="0" fontId="11" fillId="0" borderId="0" xfId="0" applyFont="1" applyBorder="1" applyAlignment="1">
      <alignment horizontal="right" vertical="center"/>
    </xf>
    <xf numFmtId="170" fontId="19" fillId="5" borderId="11" xfId="0" quotePrefix="1" applyNumberFormat="1" applyFont="1" applyFill="1" applyBorder="1" applyAlignment="1">
      <alignment horizontal="center" vertical="center" wrapText="1"/>
    </xf>
    <xf numFmtId="170" fontId="19" fillId="5" borderId="12" xfId="0" quotePrefix="1" applyNumberFormat="1" applyFont="1" applyFill="1" applyBorder="1" applyAlignment="1">
      <alignment horizontal="center" vertical="center" wrapText="1"/>
    </xf>
    <xf numFmtId="0" fontId="18" fillId="5" borderId="13" xfId="0" quotePrefix="1" applyFont="1" applyFill="1" applyBorder="1" applyAlignment="1">
      <alignment horizontal="center" vertical="center" wrapText="1"/>
    </xf>
    <xf numFmtId="170" fontId="11" fillId="0" borderId="14" xfId="0" applyNumberFormat="1" applyFont="1" applyBorder="1" applyAlignment="1">
      <alignment horizontal="right" vertical="center"/>
    </xf>
    <xf numFmtId="170" fontId="11" fillId="0" borderId="15" xfId="0" applyNumberFormat="1" applyFont="1" applyBorder="1" applyAlignment="1">
      <alignment horizontal="right" vertical="center"/>
    </xf>
    <xf numFmtId="170" fontId="11" fillId="0" borderId="21" xfId="0" applyNumberFormat="1" applyFont="1" applyBorder="1" applyAlignment="1">
      <alignment horizontal="right" vertical="center"/>
    </xf>
    <xf numFmtId="170" fontId="11" fillId="0" borderId="16" xfId="0" applyNumberFormat="1" applyFont="1" applyBorder="1" applyAlignment="1">
      <alignment horizontal="right" vertical="center"/>
    </xf>
    <xf numFmtId="170" fontId="11" fillId="0" borderId="0" xfId="0" applyNumberFormat="1" applyFont="1" applyBorder="1" applyAlignment="1">
      <alignment horizontal="right" vertical="center"/>
    </xf>
    <xf numFmtId="170" fontId="11" fillId="0" borderId="17" xfId="0" applyNumberFormat="1" applyFont="1" applyBorder="1" applyAlignment="1">
      <alignment horizontal="right" vertical="center"/>
    </xf>
    <xf numFmtId="170" fontId="11" fillId="0" borderId="18" xfId="0" applyNumberFormat="1" applyFont="1" applyBorder="1" applyAlignment="1">
      <alignment horizontal="right" vertical="center"/>
    </xf>
    <xf numFmtId="170" fontId="11" fillId="0" borderId="19" xfId="0" applyNumberFormat="1" applyFont="1" applyBorder="1" applyAlignment="1">
      <alignment horizontal="right" vertical="center"/>
    </xf>
    <xf numFmtId="170" fontId="11" fillId="0" borderId="20" xfId="0" applyNumberFormat="1" applyFont="1" applyBorder="1" applyAlignment="1">
      <alignment horizontal="right" vertical="center"/>
    </xf>
    <xf numFmtId="170" fontId="18" fillId="3" borderId="18" xfId="0" applyNumberFormat="1" applyFont="1" applyFill="1" applyBorder="1" applyAlignment="1">
      <alignment horizontal="right" vertical="center"/>
    </xf>
    <xf numFmtId="170" fontId="18" fillId="3" borderId="19" xfId="0" applyNumberFormat="1" applyFont="1" applyFill="1" applyBorder="1" applyAlignment="1">
      <alignment horizontal="right" vertical="center"/>
    </xf>
    <xf numFmtId="170" fontId="18" fillId="3" borderId="20" xfId="0" applyNumberFormat="1" applyFont="1" applyFill="1" applyBorder="1" applyAlignment="1">
      <alignment horizontal="right" vertical="center"/>
    </xf>
    <xf numFmtId="0" fontId="11" fillId="0" borderId="0" xfId="0" applyFont="1" applyAlignment="1">
      <alignment horizontal="right" vertical="center"/>
    </xf>
    <xf numFmtId="170" fontId="18" fillId="3" borderId="11" xfId="0" applyNumberFormat="1" applyFont="1" applyFill="1" applyBorder="1" applyAlignment="1">
      <alignment horizontal="right" vertical="center"/>
    </xf>
    <xf numFmtId="170" fontId="18" fillId="3" borderId="12" xfId="0" applyNumberFormat="1" applyFont="1" applyFill="1" applyBorder="1" applyAlignment="1">
      <alignment horizontal="right" vertical="center"/>
    </xf>
    <xf numFmtId="170" fontId="18" fillId="3" borderId="13" xfId="0" applyNumberFormat="1" applyFont="1" applyFill="1" applyBorder="1" applyAlignment="1">
      <alignment horizontal="right" vertical="center"/>
    </xf>
    <xf numFmtId="174" fontId="11" fillId="0" borderId="16" xfId="0" applyNumberFormat="1" applyFont="1" applyBorder="1" applyAlignment="1">
      <alignment horizontal="right" vertical="center"/>
    </xf>
    <xf numFmtId="174" fontId="11" fillId="0" borderId="0" xfId="0" applyNumberFormat="1" applyFont="1" applyBorder="1" applyAlignment="1">
      <alignment horizontal="right" vertical="center"/>
    </xf>
    <xf numFmtId="174" fontId="11" fillId="0" borderId="17" xfId="0" applyNumberFormat="1" applyFont="1" applyBorder="1" applyAlignment="1">
      <alignment horizontal="right" vertical="center"/>
    </xf>
    <xf numFmtId="174" fontId="11" fillId="0" borderId="18" xfId="0" applyNumberFormat="1" applyFont="1" applyBorder="1" applyAlignment="1">
      <alignment horizontal="right" vertical="center"/>
    </xf>
    <xf numFmtId="174" fontId="11" fillId="0" borderId="19" xfId="0" applyNumberFormat="1" applyFont="1" applyBorder="1" applyAlignment="1">
      <alignment horizontal="right" vertical="center"/>
    </xf>
    <xf numFmtId="174" fontId="11" fillId="0" borderId="20" xfId="0" applyNumberFormat="1" applyFont="1" applyBorder="1" applyAlignment="1">
      <alignment horizontal="right" vertical="center"/>
    </xf>
    <xf numFmtId="174" fontId="18" fillId="3" borderId="11" xfId="0" applyNumberFormat="1" applyFont="1" applyFill="1" applyBorder="1" applyAlignment="1">
      <alignment horizontal="right" vertical="center"/>
    </xf>
    <xf numFmtId="174" fontId="18" fillId="3" borderId="12" xfId="0" applyNumberFormat="1" applyFont="1" applyFill="1" applyBorder="1" applyAlignment="1">
      <alignment horizontal="right" vertical="center"/>
    </xf>
    <xf numFmtId="174" fontId="18" fillId="3" borderId="13" xfId="0" applyNumberFormat="1" applyFont="1" applyFill="1" applyBorder="1" applyAlignment="1">
      <alignment horizontal="right" vertical="center"/>
    </xf>
    <xf numFmtId="174" fontId="11" fillId="0" borderId="0" xfId="0" applyNumberFormat="1" applyFont="1" applyAlignment="1">
      <alignment vertical="center"/>
    </xf>
    <xf numFmtId="174" fontId="11" fillId="0" borderId="14" xfId="0" applyNumberFormat="1" applyFont="1" applyBorder="1" applyAlignment="1">
      <alignment horizontal="right" vertical="center"/>
    </xf>
    <xf numFmtId="174" fontId="11" fillId="0" borderId="15" xfId="0" applyNumberFormat="1" applyFont="1" applyBorder="1" applyAlignment="1">
      <alignment horizontal="right" vertical="center"/>
    </xf>
    <xf numFmtId="174" fontId="11" fillId="0" borderId="21" xfId="0" applyNumberFormat="1" applyFont="1" applyBorder="1" applyAlignment="1">
      <alignment horizontal="right" vertical="center"/>
    </xf>
    <xf numFmtId="170" fontId="19" fillId="2" borderId="26" xfId="0" applyNumberFormat="1" applyFont="1" applyFill="1" applyBorder="1" applyAlignment="1">
      <alignment vertical="center"/>
    </xf>
    <xf numFmtId="170" fontId="19" fillId="0" borderId="0" xfId="0" applyNumberFormat="1" applyFont="1" applyAlignment="1">
      <alignment vertical="center"/>
    </xf>
    <xf numFmtId="170" fontId="11" fillId="0" borderId="0" xfId="0" quotePrefix="1" applyNumberFormat="1" applyFont="1" applyBorder="1" applyAlignment="1">
      <alignment horizontal="right" vertical="center"/>
    </xf>
    <xf numFmtId="170" fontId="18" fillId="5" borderId="13" xfId="0" applyNumberFormat="1" applyFont="1" applyFill="1" applyBorder="1" applyAlignment="1">
      <alignment horizontal="left"/>
    </xf>
    <xf numFmtId="0" fontId="11" fillId="0" borderId="20" xfId="0" applyFont="1" applyBorder="1" applyAlignment="1">
      <alignment horizontal="left"/>
    </xf>
    <xf numFmtId="0" fontId="11" fillId="0" borderId="21" xfId="0" applyFont="1" applyBorder="1" applyAlignment="1">
      <alignment horizontal="left"/>
    </xf>
    <xf numFmtId="0" fontId="19" fillId="0" borderId="13" xfId="0" applyFont="1" applyBorder="1" applyAlignment="1">
      <alignment horizontal="left"/>
    </xf>
    <xf numFmtId="0" fontId="11" fillId="0" borderId="0" xfId="0" applyFont="1" applyBorder="1" applyAlignment="1">
      <alignment horizontal="left" vertical="center"/>
    </xf>
    <xf numFmtId="0" fontId="11" fillId="0" borderId="0" xfId="0" applyFont="1" applyBorder="1" applyAlignment="1">
      <alignment vertical="top"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1" fillId="0" borderId="16" xfId="0" applyFont="1" applyBorder="1" applyAlignment="1">
      <alignment horizontal="left" vertical="top"/>
    </xf>
    <xf numFmtId="0" fontId="11" fillId="0" borderId="0" xfId="0" applyFont="1" applyBorder="1" applyAlignment="1">
      <alignment horizontal="left" vertical="top"/>
    </xf>
    <xf numFmtId="0" fontId="11" fillId="0" borderId="17" xfId="0" applyFont="1" applyBorder="1" applyAlignment="1">
      <alignment horizontal="left" vertical="top"/>
    </xf>
    <xf numFmtId="0" fontId="11" fillId="0" borderId="18" xfId="0" applyFont="1" applyBorder="1" applyAlignment="1">
      <alignment horizontal="left" vertical="top"/>
    </xf>
    <xf numFmtId="0" fontId="11" fillId="0" borderId="19" xfId="0" applyFont="1" applyBorder="1" applyAlignment="1">
      <alignment horizontal="left" vertical="top"/>
    </xf>
    <xf numFmtId="170" fontId="18" fillId="5" borderId="11" xfId="0" applyNumberFormat="1" applyFont="1" applyFill="1" applyBorder="1" applyAlignment="1">
      <alignment horizontal="left" vertical="center"/>
    </xf>
    <xf numFmtId="170" fontId="18" fillId="5" borderId="12" xfId="0" applyNumberFormat="1" applyFont="1" applyFill="1" applyBorder="1" applyAlignment="1">
      <alignment horizontal="left" vertical="center"/>
    </xf>
    <xf numFmtId="170" fontId="18" fillId="5" borderId="13" xfId="0" applyNumberFormat="1" applyFont="1" applyFill="1" applyBorder="1" applyAlignment="1">
      <alignment horizontal="left" vertical="center"/>
    </xf>
    <xf numFmtId="0" fontId="11" fillId="0" borderId="14" xfId="0" applyFont="1" applyBorder="1" applyAlignment="1">
      <alignment horizontal="left" vertical="center"/>
    </xf>
    <xf numFmtId="0" fontId="11" fillId="0" borderId="15" xfId="0" applyFont="1" applyBorder="1" applyAlignment="1">
      <alignment horizontal="left" vertical="center"/>
    </xf>
    <xf numFmtId="0" fontId="11" fillId="0" borderId="21" xfId="0" applyFont="1" applyBorder="1" applyAlignment="1">
      <alignment horizontal="left" vertical="center"/>
    </xf>
    <xf numFmtId="167" fontId="19" fillId="2" borderId="7" xfId="0" applyNumberFormat="1" applyFont="1" applyFill="1" applyBorder="1" applyAlignment="1">
      <alignment horizontal="left" vertical="center"/>
    </xf>
    <xf numFmtId="170" fontId="18" fillId="5" borderId="11" xfId="0" applyNumberFormat="1" applyFont="1" applyFill="1" applyBorder="1" applyAlignment="1">
      <alignment horizontal="center" vertical="center"/>
    </xf>
    <xf numFmtId="170" fontId="18" fillId="5" borderId="12" xfId="0" applyNumberFormat="1" applyFont="1" applyFill="1" applyBorder="1" applyAlignment="1">
      <alignment horizontal="center" vertical="center"/>
    </xf>
    <xf numFmtId="170" fontId="18" fillId="5" borderId="13" xfId="0" applyNumberFormat="1" applyFont="1" applyFill="1" applyBorder="1" applyAlignment="1">
      <alignment horizontal="center" vertical="center"/>
    </xf>
    <xf numFmtId="0" fontId="11" fillId="0" borderId="18" xfId="0" applyFont="1" applyBorder="1" applyAlignment="1">
      <alignment horizontal="left" vertical="center"/>
    </xf>
    <xf numFmtId="0" fontId="11" fillId="0" borderId="19" xfId="0" applyFont="1" applyBorder="1" applyAlignment="1">
      <alignment horizontal="left" vertical="center"/>
    </xf>
    <xf numFmtId="0" fontId="11" fillId="0" borderId="20" xfId="0" applyFont="1" applyBorder="1" applyAlignment="1">
      <alignment horizontal="lef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0" fontId="19" fillId="0" borderId="18" xfId="0" applyFont="1" applyBorder="1" applyAlignment="1">
      <alignment horizontal="left" vertical="center"/>
    </xf>
    <xf numFmtId="0" fontId="19" fillId="0" borderId="19" xfId="0" applyFont="1" applyBorder="1" applyAlignment="1">
      <alignment horizontal="left" vertical="center"/>
    </xf>
    <xf numFmtId="0" fontId="19" fillId="0" borderId="20" xfId="0" applyFont="1" applyBorder="1" applyAlignment="1">
      <alignment horizontal="left" vertical="center"/>
    </xf>
    <xf numFmtId="170" fontId="11" fillId="2" borderId="11" xfId="0" applyNumberFormat="1" applyFont="1" applyFill="1" applyBorder="1" applyAlignment="1">
      <alignment horizontal="left" vertical="center"/>
    </xf>
    <xf numFmtId="170" fontId="11" fillId="2" borderId="12" xfId="0" applyNumberFormat="1" applyFont="1" applyFill="1" applyBorder="1" applyAlignment="1">
      <alignment horizontal="left" vertical="center"/>
    </xf>
    <xf numFmtId="170" fontId="11" fillId="2" borderId="13" xfId="0" applyNumberFormat="1" applyFont="1" applyFill="1" applyBorder="1" applyAlignment="1">
      <alignment horizontal="left" vertical="center"/>
    </xf>
    <xf numFmtId="0" fontId="11" fillId="0" borderId="16" xfId="0" applyFont="1" applyBorder="1" applyAlignment="1">
      <alignment horizontal="center" vertical="center"/>
    </xf>
    <xf numFmtId="0" fontId="11" fillId="0" borderId="0" xfId="0" applyFont="1" applyBorder="1" applyAlignment="1">
      <alignment horizontal="center" vertical="center"/>
    </xf>
    <xf numFmtId="0" fontId="11" fillId="0" borderId="17" xfId="0" applyFont="1" applyBorder="1" applyAlignment="1">
      <alignment horizontal="center" vertical="center"/>
    </xf>
    <xf numFmtId="0" fontId="11" fillId="0" borderId="16" xfId="0" applyFont="1" applyBorder="1" applyAlignment="1">
      <alignment horizontal="left" vertical="center"/>
    </xf>
    <xf numFmtId="0" fontId="11" fillId="0" borderId="0" xfId="0" applyFont="1" applyBorder="1" applyAlignment="1">
      <alignment horizontal="left" vertical="center"/>
    </xf>
    <xf numFmtId="0" fontId="11" fillId="0" borderId="17" xfId="0" applyFont="1" applyBorder="1" applyAlignment="1">
      <alignment horizontal="left" vertical="center"/>
    </xf>
    <xf numFmtId="0" fontId="11" fillId="0" borderId="18" xfId="0" applyFont="1" applyBorder="1" applyAlignment="1">
      <alignment horizontal="right"/>
    </xf>
    <xf numFmtId="0" fontId="11" fillId="0" borderId="19" xfId="0" applyFont="1" applyBorder="1" applyAlignment="1">
      <alignment horizontal="right"/>
    </xf>
    <xf numFmtId="0" fontId="11" fillId="0" borderId="20" xfId="0" applyFont="1" applyBorder="1" applyAlignment="1">
      <alignment horizontal="right"/>
    </xf>
    <xf numFmtId="0" fontId="19" fillId="0" borderId="11" xfId="0" applyFont="1" applyBorder="1" applyAlignment="1">
      <alignment horizontal="right"/>
    </xf>
    <xf numFmtId="0" fontId="19" fillId="0" borderId="12" xfId="0" applyFont="1" applyBorder="1" applyAlignment="1">
      <alignment horizontal="right"/>
    </xf>
    <xf numFmtId="0" fontId="19" fillId="0" borderId="13" xfId="0" applyFont="1" applyBorder="1" applyAlignment="1">
      <alignment horizontal="right"/>
    </xf>
    <xf numFmtId="170" fontId="18" fillId="2" borderId="11" xfId="0" applyNumberFormat="1" applyFont="1" applyFill="1" applyBorder="1" applyAlignment="1">
      <alignment horizontal="left" vertical="center"/>
    </xf>
    <xf numFmtId="170" fontId="18" fillId="2" borderId="12" xfId="0" applyNumberFormat="1" applyFont="1" applyFill="1" applyBorder="1" applyAlignment="1">
      <alignment horizontal="left" vertical="center"/>
    </xf>
    <xf numFmtId="170" fontId="18" fillId="2" borderId="13" xfId="0" applyNumberFormat="1" applyFont="1" applyFill="1" applyBorder="1" applyAlignment="1">
      <alignment horizontal="left" vertical="center"/>
    </xf>
    <xf numFmtId="0" fontId="11" fillId="0" borderId="14" xfId="0" applyFont="1" applyBorder="1" applyAlignment="1">
      <alignment horizontal="right"/>
    </xf>
    <xf numFmtId="0" fontId="11" fillId="0" borderId="15" xfId="0" applyFont="1" applyBorder="1" applyAlignment="1">
      <alignment horizontal="right"/>
    </xf>
    <xf numFmtId="0" fontId="11" fillId="0" borderId="21" xfId="0" applyFont="1" applyBorder="1" applyAlignment="1">
      <alignment horizontal="right"/>
    </xf>
    <xf numFmtId="170" fontId="18" fillId="5" borderId="11" xfId="0" applyNumberFormat="1" applyFont="1" applyFill="1" applyBorder="1" applyAlignment="1">
      <alignment horizontal="right" vertical="center"/>
    </xf>
    <xf numFmtId="170" fontId="18" fillId="5" borderId="12" xfId="0" applyNumberFormat="1" applyFont="1" applyFill="1" applyBorder="1" applyAlignment="1">
      <alignment horizontal="right" vertical="center"/>
    </xf>
    <xf numFmtId="170" fontId="18" fillId="5" borderId="13" xfId="0" applyNumberFormat="1" applyFont="1" applyFill="1" applyBorder="1" applyAlignment="1">
      <alignment horizontal="right" vertical="center"/>
    </xf>
    <xf numFmtId="0" fontId="11" fillId="0" borderId="14" xfId="0" applyFont="1" applyBorder="1" applyAlignment="1">
      <alignment horizontal="right" vertical="center"/>
    </xf>
    <xf numFmtId="0" fontId="11" fillId="0" borderId="15" xfId="0" applyFont="1" applyBorder="1" applyAlignment="1">
      <alignment horizontal="right" vertical="center"/>
    </xf>
    <xf numFmtId="0" fontId="11" fillId="0" borderId="21" xfId="0" applyFont="1" applyBorder="1" applyAlignment="1">
      <alignment horizontal="righ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19" fillId="0" borderId="11" xfId="0" applyFont="1" applyBorder="1" applyAlignment="1">
      <alignment horizontal="right" vertical="center"/>
    </xf>
    <xf numFmtId="0" fontId="19" fillId="0" borderId="12" xfId="0" applyFont="1" applyBorder="1" applyAlignment="1">
      <alignment horizontal="right" vertical="center"/>
    </xf>
    <xf numFmtId="0" fontId="19" fillId="0" borderId="13" xfId="0" applyFont="1" applyBorder="1" applyAlignment="1">
      <alignment horizontal="right" vertical="center"/>
    </xf>
    <xf numFmtId="170" fontId="18" fillId="5" borderId="11" xfId="0" applyNumberFormat="1" applyFont="1" applyFill="1" applyBorder="1" applyAlignment="1">
      <alignment horizontal="right"/>
    </xf>
    <xf numFmtId="170" fontId="18" fillId="5" borderId="12" xfId="0" applyNumberFormat="1" applyFont="1" applyFill="1" applyBorder="1" applyAlignment="1">
      <alignment horizontal="right"/>
    </xf>
    <xf numFmtId="170" fontId="18" fillId="5" borderId="13" xfId="0" applyNumberFormat="1" applyFont="1" applyFill="1" applyBorder="1" applyAlignment="1">
      <alignment horizontal="right"/>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0" fontId="11" fillId="0" borderId="11" xfId="0" applyFont="1" applyFill="1" applyBorder="1" applyAlignment="1">
      <alignment horizontal="left" vertical="center"/>
    </xf>
    <xf numFmtId="0" fontId="11" fillId="0" borderId="12" xfId="0" applyFont="1" applyFill="1" applyBorder="1" applyAlignment="1">
      <alignment horizontal="left" vertical="center"/>
    </xf>
    <xf numFmtId="0" fontId="11" fillId="0" borderId="13" xfId="0" applyFont="1" applyFill="1" applyBorder="1" applyAlignment="1">
      <alignment horizontal="left" vertical="center"/>
    </xf>
    <xf numFmtId="170" fontId="18" fillId="5" borderId="7" xfId="0" applyNumberFormat="1" applyFont="1" applyFill="1" applyBorder="1" applyAlignment="1">
      <alignment horizontal="left" vertical="center"/>
    </xf>
    <xf numFmtId="170" fontId="11" fillId="2" borderId="8" xfId="0" applyNumberFormat="1" applyFont="1" applyFill="1" applyBorder="1" applyAlignment="1">
      <alignment horizontal="center" vertical="center"/>
    </xf>
    <xf numFmtId="170" fontId="11" fillId="2" borderId="10" xfId="0" applyNumberFormat="1" applyFont="1" applyFill="1" applyBorder="1" applyAlignment="1">
      <alignment horizontal="center" vertical="center"/>
    </xf>
    <xf numFmtId="170" fontId="11" fillId="2" borderId="9" xfId="0" applyNumberFormat="1" applyFont="1" applyFill="1" applyBorder="1" applyAlignment="1">
      <alignment horizontal="center" vertical="center"/>
    </xf>
    <xf numFmtId="0" fontId="11" fillId="2" borderId="8"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xf>
    <xf numFmtId="0" fontId="21" fillId="7" borderId="11" xfId="0" applyFont="1" applyFill="1" applyBorder="1" applyAlignment="1">
      <alignment horizontal="center" vertical="center"/>
    </xf>
    <xf numFmtId="0" fontId="21" fillId="7" borderId="12" xfId="0" applyFont="1" applyFill="1" applyBorder="1" applyAlignment="1">
      <alignment horizontal="center" vertical="center"/>
    </xf>
    <xf numFmtId="0" fontId="21" fillId="7" borderId="13" xfId="0" applyFont="1" applyFill="1" applyBorder="1" applyAlignment="1">
      <alignment horizontal="center"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11" fillId="0" borderId="11" xfId="6" applyFont="1" applyBorder="1" applyAlignment="1">
      <alignment horizontal="left" vertical="top" wrapText="1"/>
    </xf>
    <xf numFmtId="0" fontId="11" fillId="0" borderId="12" xfId="6" applyFont="1" applyBorder="1" applyAlignment="1">
      <alignment horizontal="left" vertical="top" wrapText="1"/>
    </xf>
    <xf numFmtId="0" fontId="11" fillId="0" borderId="13" xfId="6" applyFont="1" applyBorder="1" applyAlignment="1">
      <alignment horizontal="left" vertical="top" wrapText="1"/>
    </xf>
    <xf numFmtId="0" fontId="19" fillId="3" borderId="11" xfId="6" applyFont="1" applyFill="1" applyBorder="1" applyAlignment="1">
      <alignment horizontal="center" vertical="top"/>
    </xf>
    <xf numFmtId="0" fontId="19" fillId="3" borderId="12" xfId="6" applyFont="1" applyFill="1" applyBorder="1" applyAlignment="1">
      <alignment horizontal="center" vertical="top"/>
    </xf>
    <xf numFmtId="0" fontId="19" fillId="3" borderId="13" xfId="6" applyFont="1" applyFill="1" applyBorder="1" applyAlignment="1">
      <alignment horizontal="center" vertical="top"/>
    </xf>
    <xf numFmtId="170" fontId="19" fillId="3" borderId="11" xfId="6" applyNumberFormat="1" applyFont="1" applyFill="1" applyBorder="1" applyAlignment="1">
      <alignment horizontal="center" vertical="top"/>
    </xf>
    <xf numFmtId="170" fontId="19" fillId="3" borderId="12" xfId="6" applyNumberFormat="1" applyFont="1" applyFill="1" applyBorder="1" applyAlignment="1">
      <alignment horizontal="center" vertical="top"/>
    </xf>
    <xf numFmtId="170" fontId="19" fillId="3" borderId="13" xfId="6" applyNumberFormat="1" applyFont="1" applyFill="1" applyBorder="1" applyAlignment="1">
      <alignment horizontal="center" vertical="top"/>
    </xf>
    <xf numFmtId="168" fontId="19" fillId="3" borderId="11" xfId="6" applyNumberFormat="1" applyFont="1" applyFill="1" applyBorder="1" applyAlignment="1">
      <alignment horizontal="center" vertical="top"/>
    </xf>
    <xf numFmtId="168" fontId="19" fillId="3" borderId="12" xfId="6" applyNumberFormat="1" applyFont="1" applyFill="1" applyBorder="1" applyAlignment="1">
      <alignment horizontal="center" vertical="top"/>
    </xf>
    <xf numFmtId="168" fontId="19" fillId="3" borderId="13" xfId="6" applyNumberFormat="1" applyFont="1" applyFill="1" applyBorder="1" applyAlignment="1">
      <alignment horizontal="center" vertical="top"/>
    </xf>
    <xf numFmtId="170" fontId="18" fillId="3" borderId="11" xfId="6" applyNumberFormat="1" applyFont="1" applyFill="1" applyBorder="1" applyAlignment="1">
      <alignment horizontal="center" vertical="top" wrapText="1"/>
    </xf>
    <xf numFmtId="170" fontId="18" fillId="3" borderId="12" xfId="6" applyNumberFormat="1" applyFont="1" applyFill="1" applyBorder="1" applyAlignment="1">
      <alignment horizontal="center" vertical="top" wrapText="1"/>
    </xf>
    <xf numFmtId="170" fontId="18" fillId="3" borderId="13" xfId="6" applyNumberFormat="1" applyFont="1" applyFill="1" applyBorder="1" applyAlignment="1">
      <alignment horizontal="center" vertical="top" wrapText="1"/>
    </xf>
    <xf numFmtId="170" fontId="18" fillId="3" borderId="11" xfId="6" applyNumberFormat="1" applyFont="1" applyFill="1" applyBorder="1" applyAlignment="1">
      <alignment horizontal="center" vertical="top"/>
    </xf>
    <xf numFmtId="170" fontId="18" fillId="3" borderId="12" xfId="6" applyNumberFormat="1" applyFont="1" applyFill="1" applyBorder="1" applyAlignment="1">
      <alignment horizontal="center" vertical="top"/>
    </xf>
    <xf numFmtId="170" fontId="18" fillId="3" borderId="13" xfId="6" applyNumberFormat="1" applyFont="1" applyFill="1" applyBorder="1" applyAlignment="1">
      <alignment horizontal="center" vertical="top"/>
    </xf>
    <xf numFmtId="0" fontId="7" fillId="4" borderId="27" xfId="0" applyFont="1" applyFill="1" applyBorder="1" applyAlignment="1">
      <alignment horizontal="left"/>
    </xf>
    <xf numFmtId="0" fontId="7" fillId="4" borderId="2" xfId="0" applyFont="1" applyFill="1" applyBorder="1" applyAlignment="1">
      <alignment horizontal="left"/>
    </xf>
    <xf numFmtId="0" fontId="7" fillId="4" borderId="1" xfId="0" applyFont="1" applyFill="1" applyBorder="1" applyAlignment="1">
      <alignment horizontal="left" vertical="top" wrapText="1"/>
    </xf>
    <xf numFmtId="0" fontId="7" fillId="0" borderId="0" xfId="2" applyNumberFormat="1" applyFont="1" applyAlignment="1">
      <alignment horizontal="left" vertical="top"/>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14" fillId="3" borderId="6" xfId="0" applyFont="1" applyFill="1" applyBorder="1" applyAlignment="1">
      <alignment horizontal="left"/>
    </xf>
    <xf numFmtId="0" fontId="14" fillId="3" borderId="4" xfId="0" applyFont="1" applyFill="1" applyBorder="1" applyAlignment="1">
      <alignment horizontal="left"/>
    </xf>
    <xf numFmtId="0" fontId="5" fillId="4" borderId="6" xfId="0" applyFont="1" applyFill="1" applyBorder="1" applyAlignment="1">
      <alignment horizontal="left"/>
    </xf>
    <xf numFmtId="0" fontId="5" fillId="4" borderId="0" xfId="0" applyFont="1" applyFill="1" applyBorder="1" applyAlignment="1">
      <alignment horizontal="left"/>
    </xf>
    <xf numFmtId="0" fontId="0" fillId="4" borderId="0" xfId="0" applyFill="1" applyBorder="1" applyAlignment="1">
      <alignment horizontal="left" vertical="top" wrapText="1"/>
    </xf>
    <xf numFmtId="170" fontId="18" fillId="3" borderId="11" xfId="0" applyNumberFormat="1" applyFont="1" applyFill="1" applyBorder="1" applyAlignment="1">
      <alignment horizontal="center" vertical="center"/>
    </xf>
    <xf numFmtId="170" fontId="18" fillId="3" borderId="12" xfId="0" applyNumberFormat="1" applyFont="1" applyFill="1" applyBorder="1" applyAlignment="1">
      <alignment horizontal="center" vertical="center"/>
    </xf>
    <xf numFmtId="170" fontId="18" fillId="3" borderId="13" xfId="0" applyNumberFormat="1" applyFont="1" applyFill="1" applyBorder="1" applyAlignment="1">
      <alignment horizontal="center" vertical="center"/>
    </xf>
    <xf numFmtId="170" fontId="18" fillId="3" borderId="14" xfId="0" applyNumberFormat="1" applyFont="1" applyFill="1" applyBorder="1" applyAlignment="1">
      <alignment horizontal="center"/>
    </xf>
    <xf numFmtId="170" fontId="18" fillId="3" borderId="15" xfId="0" applyNumberFormat="1" applyFont="1" applyFill="1" applyBorder="1" applyAlignment="1">
      <alignment horizontal="center"/>
    </xf>
    <xf numFmtId="170" fontId="18" fillId="3" borderId="21" xfId="0" applyNumberFormat="1" applyFont="1" applyFill="1" applyBorder="1" applyAlignment="1">
      <alignment horizontal="center"/>
    </xf>
    <xf numFmtId="0" fontId="18" fillId="3" borderId="14" xfId="0" applyFont="1" applyFill="1" applyBorder="1" applyAlignment="1">
      <alignment horizontal="center" vertical="center"/>
    </xf>
    <xf numFmtId="0" fontId="18" fillId="3" borderId="15" xfId="0" applyFont="1" applyFill="1" applyBorder="1" applyAlignment="1">
      <alignment horizontal="center" vertical="center"/>
    </xf>
    <xf numFmtId="0" fontId="18" fillId="3" borderId="21" xfId="0" applyFont="1" applyFill="1" applyBorder="1" applyAlignment="1">
      <alignment horizontal="center" vertical="center"/>
    </xf>
    <xf numFmtId="0" fontId="18" fillId="3" borderId="11"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3" xfId="0" applyFont="1" applyFill="1" applyBorder="1" applyAlignment="1">
      <alignment horizontal="center" vertical="center"/>
    </xf>
    <xf numFmtId="170" fontId="18" fillId="3" borderId="14" xfId="0" applyNumberFormat="1" applyFont="1" applyFill="1" applyBorder="1" applyAlignment="1">
      <alignment horizontal="center" vertical="center"/>
    </xf>
    <xf numFmtId="170" fontId="18" fillId="3" borderId="15" xfId="0" applyNumberFormat="1" applyFont="1" applyFill="1" applyBorder="1" applyAlignment="1">
      <alignment horizontal="center" vertical="center"/>
    </xf>
    <xf numFmtId="170" fontId="18" fillId="3" borderId="21" xfId="0" applyNumberFormat="1" applyFont="1" applyFill="1" applyBorder="1" applyAlignment="1">
      <alignment horizontal="center" vertical="center"/>
    </xf>
    <xf numFmtId="0" fontId="23" fillId="2" borderId="9" xfId="15" applyFont="1" applyFill="1" applyBorder="1" applyAlignment="1">
      <alignment vertical="center"/>
    </xf>
    <xf numFmtId="0" fontId="23" fillId="2" borderId="16" xfId="15" applyFont="1" applyFill="1" applyBorder="1" applyAlignment="1">
      <alignment vertical="center"/>
    </xf>
    <xf numFmtId="0" fontId="23" fillId="2" borderId="17" xfId="15" applyFont="1" applyFill="1" applyBorder="1" applyAlignment="1">
      <alignment vertical="center"/>
    </xf>
    <xf numFmtId="0" fontId="23" fillId="2" borderId="10" xfId="15" applyFont="1" applyFill="1" applyBorder="1" applyAlignment="1">
      <alignment vertical="center"/>
    </xf>
    <xf numFmtId="0" fontId="23" fillId="2" borderId="18" xfId="15" applyFont="1" applyFill="1" applyBorder="1" applyAlignment="1">
      <alignment vertical="center"/>
    </xf>
    <xf numFmtId="0" fontId="23" fillId="2" borderId="20" xfId="15" applyFont="1" applyFill="1" applyBorder="1" applyAlignment="1">
      <alignment vertical="center"/>
    </xf>
  </cellXfs>
  <cellStyles count="18">
    <cellStyle name="Comma" xfId="3" builtinId="3"/>
    <cellStyle name="Comma 2" xfId="10"/>
    <cellStyle name="Comma 3" xfId="11"/>
    <cellStyle name="Currency" xfId="2" builtinId="4"/>
    <cellStyle name="Currency 2" xfId="4"/>
    <cellStyle name="Normal" xfId="0" builtinId="0"/>
    <cellStyle name="Normal 15" xfId="17"/>
    <cellStyle name="Normal 2" xfId="5"/>
    <cellStyle name="Normal 2 2" xfId="6"/>
    <cellStyle name="Normal 2 2 2" xfId="12"/>
    <cellStyle name="Normal 3" xfId="7"/>
    <cellStyle name="Normal 4" xfId="13"/>
    <cellStyle name="Normal 5" xfId="16"/>
    <cellStyle name="Normal_Sheet1" xfId="15"/>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FO/Network%20Commercial%20Management/Cindy/AER%20Determination%202014-15%20to%202018-19/Opex%20-%20AER%20Submission/OPEX%20FORECAST%20-%20Direct%20Costs%20%23%2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 by Year"/>
      <sheetName val="SCI as per TM1"/>
      <sheetName val="ANS Price List"/>
      <sheetName val="Revenue Forecast"/>
      <sheetName val="Revenue Forecast RRP"/>
      <sheetName val="Real - Nominal"/>
      <sheetName val="Real - Nominal SRP"/>
      <sheetName val="Real - Nominal RRP"/>
      <sheetName val="Split Fee"/>
      <sheetName val="Original Act 60 - TM1"/>
      <sheetName val="TM1-Current"/>
      <sheetName val="Hours Review"/>
      <sheetName val="Fee Recovery"/>
      <sheetName val="Track Changes"/>
      <sheetName val="OH Transfers"/>
      <sheetName val="2010-11"/>
      <sheetName val="2011-12"/>
      <sheetName val="2012-13"/>
      <sheetName val="Manual Adjustments"/>
    </sheetNames>
    <sheetDataSet>
      <sheetData sheetId="0">
        <row r="4">
          <cell r="AS4">
            <v>62</v>
          </cell>
        </row>
        <row r="5">
          <cell r="AS5">
            <v>45</v>
          </cell>
        </row>
        <row r="6">
          <cell r="AS6">
            <v>93</v>
          </cell>
        </row>
        <row r="7">
          <cell r="AS7">
            <v>59</v>
          </cell>
        </row>
        <row r="8">
          <cell r="AS8">
            <v>11</v>
          </cell>
        </row>
        <row r="9">
          <cell r="AS9">
            <v>2</v>
          </cell>
        </row>
        <row r="10">
          <cell r="AS10">
            <v>3</v>
          </cell>
        </row>
        <row r="11">
          <cell r="AS11">
            <v>0</v>
          </cell>
        </row>
        <row r="12">
          <cell r="AS12">
            <v>18</v>
          </cell>
        </row>
        <row r="13">
          <cell r="AS13">
            <v>4</v>
          </cell>
        </row>
        <row r="14">
          <cell r="AS14">
            <v>1</v>
          </cell>
        </row>
        <row r="15">
          <cell r="AS15">
            <v>17</v>
          </cell>
        </row>
        <row r="16">
          <cell r="AS16"/>
        </row>
        <row r="17">
          <cell r="AS17">
            <v>101</v>
          </cell>
        </row>
        <row r="18">
          <cell r="AS18">
            <v>250</v>
          </cell>
        </row>
        <row r="19">
          <cell r="AS19">
            <v>32</v>
          </cell>
        </row>
        <row r="20">
          <cell r="AS20">
            <v>46</v>
          </cell>
        </row>
        <row r="21">
          <cell r="AS21">
            <v>6</v>
          </cell>
        </row>
        <row r="22">
          <cell r="AS22">
            <v>1</v>
          </cell>
        </row>
        <row r="23">
          <cell r="AS23"/>
        </row>
        <row r="24">
          <cell r="AS24">
            <v>145</v>
          </cell>
        </row>
        <row r="25">
          <cell r="AS25">
            <v>54</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102</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208"/>
  <sheetViews>
    <sheetView showGridLines="0" zoomScaleNormal="100" workbookViewId="0"/>
  </sheetViews>
  <sheetFormatPr defaultColWidth="9.140625" defaultRowHeight="12.75" x14ac:dyDescent="0.25"/>
  <cols>
    <col min="1" max="1" width="2.85546875" style="27" customWidth="1"/>
    <col min="2" max="2" width="21.140625" style="27" bestFit="1" customWidth="1"/>
    <col min="3" max="3" width="16.85546875" style="27" customWidth="1"/>
    <col min="4" max="4" width="13.42578125" style="27" bestFit="1" customWidth="1"/>
    <col min="5" max="5" width="13.42578125" style="27" customWidth="1"/>
    <col min="6" max="6" width="12.7109375" style="27" customWidth="1"/>
    <col min="7" max="10" width="12.85546875" style="29" customWidth="1"/>
    <col min="11" max="11" width="12.85546875" style="27" customWidth="1"/>
    <col min="12" max="12" width="2.85546875" style="27" customWidth="1"/>
    <col min="13" max="13" width="49.85546875" style="30" customWidth="1"/>
    <col min="14" max="14" width="2.85546875" style="27" customWidth="1"/>
    <col min="15" max="17" width="9.140625" style="27" customWidth="1"/>
    <col min="18" max="16384" width="9.140625" style="27"/>
  </cols>
  <sheetData>
    <row r="1" spans="2:13" x14ac:dyDescent="0.25">
      <c r="B1" s="28"/>
    </row>
    <row r="2" spans="2:13" ht="21" x14ac:dyDescent="0.25">
      <c r="B2" s="31" t="s">
        <v>99</v>
      </c>
    </row>
    <row r="3" spans="2:13" ht="21" x14ac:dyDescent="0.25">
      <c r="B3" s="31" t="str">
        <f>'AER Summary'!C3</f>
        <v>Administration Services</v>
      </c>
    </row>
    <row r="4" spans="2:13" ht="18.75" x14ac:dyDescent="0.25">
      <c r="B4" s="32" t="s">
        <v>100</v>
      </c>
    </row>
    <row r="6" spans="2:13" ht="15.75" x14ac:dyDescent="0.25">
      <c r="B6" s="33" t="s">
        <v>169</v>
      </c>
      <c r="C6" s="34"/>
      <c r="D6" s="34"/>
      <c r="E6" s="34"/>
      <c r="F6" s="34"/>
      <c r="G6" s="35"/>
      <c r="H6" s="35"/>
      <c r="I6" s="35"/>
      <c r="J6" s="35"/>
      <c r="K6" s="34"/>
      <c r="M6" s="36"/>
    </row>
    <row r="8" spans="2:13" ht="38.25" x14ac:dyDescent="0.25">
      <c r="B8" s="308" t="s">
        <v>31</v>
      </c>
      <c r="C8" s="309"/>
      <c r="D8" s="309"/>
      <c r="E8" s="309"/>
      <c r="F8" s="310"/>
      <c r="G8" s="259" t="s">
        <v>112</v>
      </c>
      <c r="H8" s="173" t="s">
        <v>8</v>
      </c>
      <c r="I8" s="260" t="s">
        <v>135</v>
      </c>
      <c r="J8" s="173" t="s">
        <v>124</v>
      </c>
      <c r="K8" s="261" t="s">
        <v>111</v>
      </c>
      <c r="M8" s="41" t="s">
        <v>5</v>
      </c>
    </row>
    <row r="9" spans="2:13" x14ac:dyDescent="0.25">
      <c r="B9" s="311" t="s">
        <v>14</v>
      </c>
      <c r="C9" s="312"/>
      <c r="D9" s="312"/>
      <c r="E9" s="312"/>
      <c r="F9" s="313"/>
      <c r="G9" s="204">
        <f t="shared" ref="G9:G20" si="0">70/11*10</f>
        <v>63.636363636363633</v>
      </c>
      <c r="H9" s="212">
        <f>+K9/G9</f>
        <v>3.0285714285714289</v>
      </c>
      <c r="I9" s="212"/>
      <c r="J9" s="215">
        <v>212</v>
      </c>
      <c r="K9" s="205">
        <v>192.72727272727275</v>
      </c>
      <c r="M9" s="300" t="s">
        <v>170</v>
      </c>
    </row>
    <row r="10" spans="2:13" x14ac:dyDescent="0.25">
      <c r="B10" s="303" t="s">
        <v>15</v>
      </c>
      <c r="C10" s="304"/>
      <c r="D10" s="304"/>
      <c r="E10" s="304"/>
      <c r="F10" s="305"/>
      <c r="G10" s="207">
        <f t="shared" si="0"/>
        <v>63.636363636363633</v>
      </c>
      <c r="H10" s="213">
        <f t="shared" ref="H10:H19" si="1">+K10/G10</f>
        <v>4.0571428571428578</v>
      </c>
      <c r="I10" s="213"/>
      <c r="J10" s="216">
        <v>284</v>
      </c>
      <c r="K10" s="208">
        <v>258.18181818181819</v>
      </c>
      <c r="M10" s="301"/>
    </row>
    <row r="11" spans="2:13" x14ac:dyDescent="0.25">
      <c r="B11" s="303" t="s">
        <v>16</v>
      </c>
      <c r="C11" s="304"/>
      <c r="D11" s="304"/>
      <c r="E11" s="304"/>
      <c r="F11" s="305"/>
      <c r="G11" s="207">
        <f t="shared" si="0"/>
        <v>63.636363636363633</v>
      </c>
      <c r="H11" s="213">
        <f t="shared" si="1"/>
        <v>5.0571428571428569</v>
      </c>
      <c r="I11" s="213"/>
      <c r="J11" s="216">
        <v>354</v>
      </c>
      <c r="K11" s="208">
        <v>321.81818181818181</v>
      </c>
      <c r="M11" s="301"/>
    </row>
    <row r="12" spans="2:13" x14ac:dyDescent="0.25">
      <c r="B12" s="303" t="s">
        <v>28</v>
      </c>
      <c r="C12" s="304"/>
      <c r="D12" s="304"/>
      <c r="E12" s="304"/>
      <c r="F12" s="305"/>
      <c r="G12" s="207">
        <f t="shared" si="0"/>
        <v>63.636363636363633</v>
      </c>
      <c r="H12" s="213">
        <f>+K12/G12</f>
        <v>6.0857142857142854</v>
      </c>
      <c r="I12" s="213"/>
      <c r="J12" s="216">
        <v>426</v>
      </c>
      <c r="K12" s="208">
        <v>387.27272727272725</v>
      </c>
      <c r="M12" s="301"/>
    </row>
    <row r="13" spans="2:13" x14ac:dyDescent="0.25">
      <c r="B13" s="303" t="s">
        <v>17</v>
      </c>
      <c r="C13" s="304"/>
      <c r="D13" s="304"/>
      <c r="E13" s="304"/>
      <c r="F13" s="305"/>
      <c r="G13" s="207">
        <f t="shared" si="0"/>
        <v>63.636363636363633</v>
      </c>
      <c r="H13" s="213">
        <f t="shared" si="1"/>
        <v>3.0285714285714289</v>
      </c>
      <c r="I13" s="213"/>
      <c r="J13" s="216">
        <v>212</v>
      </c>
      <c r="K13" s="208">
        <v>192.72727272727275</v>
      </c>
      <c r="M13" s="301"/>
    </row>
    <row r="14" spans="2:13" x14ac:dyDescent="0.25">
      <c r="B14" s="303" t="s">
        <v>18</v>
      </c>
      <c r="C14" s="304"/>
      <c r="D14" s="304"/>
      <c r="E14" s="304"/>
      <c r="F14" s="305"/>
      <c r="G14" s="207">
        <f t="shared" si="0"/>
        <v>63.636363636363633</v>
      </c>
      <c r="H14" s="213">
        <f t="shared" si="1"/>
        <v>4.0571428571428578</v>
      </c>
      <c r="I14" s="213"/>
      <c r="J14" s="216">
        <v>284</v>
      </c>
      <c r="K14" s="208">
        <v>258.18181818181819</v>
      </c>
      <c r="M14" s="301"/>
    </row>
    <row r="15" spans="2:13" x14ac:dyDescent="0.25">
      <c r="B15" s="303" t="s">
        <v>19</v>
      </c>
      <c r="C15" s="304"/>
      <c r="D15" s="304"/>
      <c r="E15" s="304"/>
      <c r="F15" s="305"/>
      <c r="G15" s="207">
        <f t="shared" si="0"/>
        <v>63.636363636363633</v>
      </c>
      <c r="H15" s="213">
        <f t="shared" si="1"/>
        <v>5.0571428571428569</v>
      </c>
      <c r="I15" s="213"/>
      <c r="J15" s="216">
        <v>354</v>
      </c>
      <c r="K15" s="208">
        <v>321.81818181818181</v>
      </c>
      <c r="M15" s="301"/>
    </row>
    <row r="16" spans="2:13" x14ac:dyDescent="0.25">
      <c r="B16" s="303" t="s">
        <v>29</v>
      </c>
      <c r="C16" s="304"/>
      <c r="D16" s="304"/>
      <c r="E16" s="304"/>
      <c r="F16" s="305"/>
      <c r="G16" s="207">
        <f t="shared" si="0"/>
        <v>63.636363636363633</v>
      </c>
      <c r="H16" s="213">
        <f t="shared" si="1"/>
        <v>6.0857142857142854</v>
      </c>
      <c r="I16" s="213"/>
      <c r="J16" s="216">
        <v>426</v>
      </c>
      <c r="K16" s="208">
        <v>387.27272727272725</v>
      </c>
      <c r="M16" s="301"/>
    </row>
    <row r="17" spans="2:13" x14ac:dyDescent="0.25">
      <c r="B17" s="303" t="s">
        <v>20</v>
      </c>
      <c r="C17" s="304"/>
      <c r="D17" s="304"/>
      <c r="E17" s="304"/>
      <c r="F17" s="305"/>
      <c r="G17" s="207">
        <f t="shared" si="0"/>
        <v>63.636363636363633</v>
      </c>
      <c r="H17" s="213">
        <f t="shared" si="1"/>
        <v>3.0285714285714289</v>
      </c>
      <c r="I17" s="213"/>
      <c r="J17" s="216">
        <v>212</v>
      </c>
      <c r="K17" s="208">
        <v>192.72727272727275</v>
      </c>
      <c r="M17" s="301"/>
    </row>
    <row r="18" spans="2:13" x14ac:dyDescent="0.25">
      <c r="B18" s="303" t="s">
        <v>21</v>
      </c>
      <c r="C18" s="304"/>
      <c r="D18" s="304"/>
      <c r="E18" s="304"/>
      <c r="F18" s="305"/>
      <c r="G18" s="207">
        <f t="shared" si="0"/>
        <v>63.636363636363633</v>
      </c>
      <c r="H18" s="213">
        <f t="shared" si="1"/>
        <v>4.0571428571428578</v>
      </c>
      <c r="I18" s="213"/>
      <c r="J18" s="216">
        <v>284</v>
      </c>
      <c r="K18" s="208">
        <v>258.18181818181819</v>
      </c>
      <c r="M18" s="301"/>
    </row>
    <row r="19" spans="2:13" x14ac:dyDescent="0.25">
      <c r="B19" s="303" t="s">
        <v>22</v>
      </c>
      <c r="C19" s="304"/>
      <c r="D19" s="304"/>
      <c r="E19" s="304"/>
      <c r="F19" s="305"/>
      <c r="G19" s="207">
        <f t="shared" si="0"/>
        <v>63.636363636363633</v>
      </c>
      <c r="H19" s="213">
        <f t="shared" si="1"/>
        <v>6.0857142857142854</v>
      </c>
      <c r="I19" s="213"/>
      <c r="J19" s="216">
        <v>426</v>
      </c>
      <c r="K19" s="208">
        <v>387.27272727272725</v>
      </c>
      <c r="M19" s="301"/>
    </row>
    <row r="20" spans="2:13" x14ac:dyDescent="0.25">
      <c r="B20" s="303" t="s">
        <v>23</v>
      </c>
      <c r="C20" s="304"/>
      <c r="D20" s="304"/>
      <c r="E20" s="304"/>
      <c r="F20" s="305"/>
      <c r="G20" s="207">
        <f t="shared" si="0"/>
        <v>63.636363636363633</v>
      </c>
      <c r="H20" s="214" t="s">
        <v>30</v>
      </c>
      <c r="I20" s="214">
        <v>3</v>
      </c>
      <c r="J20" s="216">
        <v>70</v>
      </c>
      <c r="K20" s="208">
        <v>63.636363636363633</v>
      </c>
      <c r="M20" s="301"/>
    </row>
    <row r="21" spans="2:13" x14ac:dyDescent="0.25">
      <c r="B21" s="303" t="s">
        <v>9</v>
      </c>
      <c r="C21" s="304"/>
      <c r="D21" s="304"/>
      <c r="E21" s="304"/>
      <c r="F21" s="305"/>
      <c r="G21" s="207"/>
      <c r="H21" s="214"/>
      <c r="I21" s="214"/>
      <c r="J21" s="216"/>
      <c r="K21" s="208"/>
      <c r="M21" s="301"/>
    </row>
    <row r="22" spans="2:13" x14ac:dyDescent="0.25">
      <c r="B22" s="303" t="s">
        <v>10</v>
      </c>
      <c r="C22" s="304"/>
      <c r="D22" s="304"/>
      <c r="E22" s="304"/>
      <c r="F22" s="305"/>
      <c r="G22" s="207">
        <f t="shared" ref="G22:G27" si="2">70/11*10</f>
        <v>63.636363636363633</v>
      </c>
      <c r="H22" s="214" t="s">
        <v>30</v>
      </c>
      <c r="I22" s="214">
        <v>3</v>
      </c>
      <c r="J22" s="216">
        <v>70</v>
      </c>
      <c r="K22" s="208">
        <v>63.636363636363633</v>
      </c>
      <c r="M22" s="301"/>
    </row>
    <row r="23" spans="2:13" x14ac:dyDescent="0.25">
      <c r="B23" s="303" t="s">
        <v>24</v>
      </c>
      <c r="C23" s="304"/>
      <c r="D23" s="304"/>
      <c r="E23" s="304"/>
      <c r="F23" s="305"/>
      <c r="G23" s="207">
        <f t="shared" si="2"/>
        <v>63.636363636363633</v>
      </c>
      <c r="H23" s="214" t="s">
        <v>30</v>
      </c>
      <c r="I23" s="214">
        <v>3</v>
      </c>
      <c r="J23" s="216">
        <v>70</v>
      </c>
      <c r="K23" s="208">
        <v>63.636363636363633</v>
      </c>
      <c r="M23" s="301"/>
    </row>
    <row r="24" spans="2:13" x14ac:dyDescent="0.25">
      <c r="B24" s="303" t="s">
        <v>11</v>
      </c>
      <c r="C24" s="304"/>
      <c r="D24" s="304"/>
      <c r="E24" s="304"/>
      <c r="F24" s="305"/>
      <c r="G24" s="207">
        <f t="shared" si="2"/>
        <v>63.636363636363633</v>
      </c>
      <c r="H24" s="214" t="s">
        <v>30</v>
      </c>
      <c r="I24" s="214">
        <v>3</v>
      </c>
      <c r="J24" s="216">
        <v>70</v>
      </c>
      <c r="K24" s="208">
        <v>63.636363636363633</v>
      </c>
      <c r="M24" s="301"/>
    </row>
    <row r="25" spans="2:13" x14ac:dyDescent="0.25">
      <c r="B25" s="303" t="s">
        <v>25</v>
      </c>
      <c r="C25" s="304"/>
      <c r="D25" s="304"/>
      <c r="E25" s="304"/>
      <c r="F25" s="305"/>
      <c r="G25" s="207">
        <f t="shared" si="2"/>
        <v>63.636363636363633</v>
      </c>
      <c r="H25" s="213">
        <f t="shared" ref="H25:H27" si="3">+K25/G25</f>
        <v>3.0285714285714289</v>
      </c>
      <c r="I25" s="213"/>
      <c r="J25" s="216">
        <v>212</v>
      </c>
      <c r="K25" s="208">
        <v>192.72727272727275</v>
      </c>
      <c r="M25" s="301"/>
    </row>
    <row r="26" spans="2:13" x14ac:dyDescent="0.25">
      <c r="B26" s="303" t="s">
        <v>26</v>
      </c>
      <c r="C26" s="304"/>
      <c r="D26" s="304"/>
      <c r="E26" s="304"/>
      <c r="F26" s="305"/>
      <c r="G26" s="207">
        <f t="shared" si="2"/>
        <v>63.636363636363633</v>
      </c>
      <c r="H26" s="213">
        <f t="shared" si="3"/>
        <v>4.0571428571428578</v>
      </c>
      <c r="I26" s="213"/>
      <c r="J26" s="216">
        <v>284</v>
      </c>
      <c r="K26" s="208">
        <v>258.18181818181819</v>
      </c>
      <c r="M26" s="301"/>
    </row>
    <row r="27" spans="2:13" x14ac:dyDescent="0.25">
      <c r="B27" s="303" t="s">
        <v>27</v>
      </c>
      <c r="C27" s="304"/>
      <c r="D27" s="304"/>
      <c r="E27" s="304"/>
      <c r="F27" s="305"/>
      <c r="G27" s="207">
        <f t="shared" si="2"/>
        <v>63.636363636363633</v>
      </c>
      <c r="H27" s="213">
        <f t="shared" si="3"/>
        <v>6.0857142857142854</v>
      </c>
      <c r="I27" s="213"/>
      <c r="J27" s="216">
        <v>426</v>
      </c>
      <c r="K27" s="208">
        <v>387.27272727272725</v>
      </c>
      <c r="M27" s="301"/>
    </row>
    <row r="28" spans="2:13" x14ac:dyDescent="0.25">
      <c r="B28" s="303" t="s">
        <v>9</v>
      </c>
      <c r="C28" s="304"/>
      <c r="D28" s="304"/>
      <c r="E28" s="304"/>
      <c r="F28" s="305"/>
      <c r="G28" s="207"/>
      <c r="H28" s="213"/>
      <c r="I28" s="213"/>
      <c r="J28" s="216"/>
      <c r="K28" s="208"/>
      <c r="M28" s="301"/>
    </row>
    <row r="29" spans="2:13" x14ac:dyDescent="0.25">
      <c r="B29" s="303" t="s">
        <v>12</v>
      </c>
      <c r="C29" s="304"/>
      <c r="D29" s="304"/>
      <c r="E29" s="304"/>
      <c r="F29" s="305"/>
      <c r="G29" s="207">
        <f t="shared" ref="G29:G30" si="4">70/11*10</f>
        <v>63.636363636363633</v>
      </c>
      <c r="H29" s="213" t="s">
        <v>30</v>
      </c>
      <c r="I29" s="213">
        <v>3</v>
      </c>
      <c r="J29" s="216">
        <v>70</v>
      </c>
      <c r="K29" s="208">
        <v>63.636363636363633</v>
      </c>
      <c r="M29" s="301"/>
    </row>
    <row r="30" spans="2:13" x14ac:dyDescent="0.25">
      <c r="B30" s="303" t="s">
        <v>13</v>
      </c>
      <c r="C30" s="304"/>
      <c r="D30" s="304"/>
      <c r="E30" s="304"/>
      <c r="F30" s="305"/>
      <c r="G30" s="207">
        <f t="shared" si="4"/>
        <v>63.636363636363633</v>
      </c>
      <c r="H30" s="214" t="s">
        <v>30</v>
      </c>
      <c r="I30" s="214">
        <v>3</v>
      </c>
      <c r="J30" s="216">
        <v>70</v>
      </c>
      <c r="K30" s="208">
        <v>63.636363636363633</v>
      </c>
      <c r="M30" s="301"/>
    </row>
    <row r="31" spans="2:13" x14ac:dyDescent="0.25">
      <c r="B31" s="306"/>
      <c r="C31" s="307"/>
      <c r="D31" s="307"/>
      <c r="E31" s="307"/>
      <c r="F31" s="307"/>
      <c r="G31" s="197"/>
      <c r="H31" s="196"/>
      <c r="I31" s="196"/>
      <c r="J31" s="196"/>
      <c r="K31" s="198"/>
      <c r="M31" s="302"/>
    </row>
    <row r="33" spans="2:13" ht="15.75" x14ac:dyDescent="0.25">
      <c r="B33" s="33" t="s">
        <v>2</v>
      </c>
      <c r="C33" s="34"/>
      <c r="D33" s="34"/>
      <c r="E33" s="34"/>
      <c r="F33" s="34"/>
      <c r="G33" s="35"/>
      <c r="H33" s="35"/>
      <c r="I33" s="35"/>
      <c r="J33" s="35"/>
      <c r="K33" s="34"/>
      <c r="M33" s="36"/>
    </row>
    <row r="35" spans="2:13" x14ac:dyDescent="0.25">
      <c r="B35" s="308"/>
      <c r="C35" s="309"/>
      <c r="D35" s="309"/>
      <c r="E35" s="309"/>
      <c r="F35" s="310"/>
      <c r="G35" s="37" t="s">
        <v>37</v>
      </c>
      <c r="H35" s="38" t="s">
        <v>38</v>
      </c>
      <c r="I35" s="39" t="s">
        <v>39</v>
      </c>
      <c r="J35" s="38" t="s">
        <v>40</v>
      </c>
      <c r="K35" s="40" t="s">
        <v>41</v>
      </c>
      <c r="M35" s="41" t="s">
        <v>5</v>
      </c>
    </row>
    <row r="36" spans="2:13" ht="42" customHeight="1" x14ac:dyDescent="0.25">
      <c r="B36" s="321" t="s">
        <v>2</v>
      </c>
      <c r="C36" s="322"/>
      <c r="D36" s="322"/>
      <c r="E36" s="322"/>
      <c r="F36" s="323"/>
      <c r="G36" s="19">
        <v>210934.01000000327</v>
      </c>
      <c r="H36" s="20">
        <v>225260.86000000234</v>
      </c>
      <c r="I36" s="21">
        <v>220696.25000000212</v>
      </c>
      <c r="J36" s="20">
        <v>214177.30000000115</v>
      </c>
      <c r="K36" s="98"/>
      <c r="M36" s="42" t="s">
        <v>173</v>
      </c>
    </row>
    <row r="38" spans="2:13" ht="15.75" x14ac:dyDescent="0.25">
      <c r="B38" s="33" t="s">
        <v>67</v>
      </c>
      <c r="C38" s="34"/>
      <c r="D38" s="34"/>
      <c r="E38" s="34"/>
      <c r="F38" s="34"/>
      <c r="G38" s="35"/>
      <c r="H38" s="35"/>
      <c r="I38" s="35"/>
      <c r="J38" s="35"/>
      <c r="K38" s="34"/>
      <c r="M38" s="36"/>
    </row>
    <row r="40" spans="2:13" x14ac:dyDescent="0.25">
      <c r="B40" s="56" t="s">
        <v>50</v>
      </c>
      <c r="C40" s="369" t="s">
        <v>66</v>
      </c>
      <c r="D40" s="369"/>
      <c r="E40" s="369"/>
      <c r="F40" s="369"/>
      <c r="G40" s="38" t="s">
        <v>37</v>
      </c>
      <c r="H40" s="38" t="s">
        <v>38</v>
      </c>
      <c r="I40" s="38" t="s">
        <v>39</v>
      </c>
      <c r="J40" s="38" t="s">
        <v>40</v>
      </c>
      <c r="K40" s="57" t="s">
        <v>41</v>
      </c>
      <c r="M40" s="41" t="s">
        <v>5</v>
      </c>
    </row>
    <row r="41" spans="2:13" ht="27.75" customHeight="1" x14ac:dyDescent="0.25">
      <c r="B41" s="22" t="s">
        <v>33</v>
      </c>
      <c r="C41" s="366" t="s">
        <v>34</v>
      </c>
      <c r="D41" s="367"/>
      <c r="E41" s="367"/>
      <c r="F41" s="368"/>
      <c r="G41" s="370" t="s">
        <v>36</v>
      </c>
      <c r="H41" s="23">
        <v>52150.655050230867</v>
      </c>
      <c r="I41" s="20">
        <v>64084.834620085647</v>
      </c>
      <c r="J41" s="20">
        <v>5447.66</v>
      </c>
      <c r="K41" s="373"/>
      <c r="M41" s="300" t="s">
        <v>174</v>
      </c>
    </row>
    <row r="42" spans="2:13" ht="27.75" customHeight="1" x14ac:dyDescent="0.25">
      <c r="B42" s="22" t="s">
        <v>35</v>
      </c>
      <c r="C42" s="366" t="s">
        <v>34</v>
      </c>
      <c r="D42" s="367"/>
      <c r="E42" s="367"/>
      <c r="F42" s="368"/>
      <c r="G42" s="371"/>
      <c r="H42" s="23">
        <v>135183.38136415713</v>
      </c>
      <c r="I42" s="20">
        <v>177837.03299137941</v>
      </c>
      <c r="J42" s="20">
        <v>124802.06698883603</v>
      </c>
      <c r="K42" s="375"/>
      <c r="M42" s="302"/>
    </row>
    <row r="43" spans="2:13" ht="13.5" thickBot="1" x14ac:dyDescent="0.3">
      <c r="B43" s="58"/>
      <c r="C43" s="58"/>
      <c r="D43" s="58"/>
      <c r="E43" s="58"/>
      <c r="F43" s="58"/>
      <c r="G43" s="291"/>
      <c r="H43" s="52">
        <f>SUM(H41:H42)</f>
        <v>187334.03641438799</v>
      </c>
      <c r="I43" s="52">
        <f t="shared" ref="I43:J43" si="5">SUM(I41:I42)</f>
        <v>241921.86761146504</v>
      </c>
      <c r="J43" s="52">
        <f t="shared" si="5"/>
        <v>130249.72698883603</v>
      </c>
      <c r="K43" s="100"/>
    </row>
    <row r="44" spans="2:13" x14ac:dyDescent="0.25">
      <c r="B44" s="58"/>
      <c r="C44" s="58"/>
      <c r="D44" s="58"/>
      <c r="E44" s="58"/>
      <c r="F44" s="58"/>
      <c r="G44" s="59"/>
      <c r="H44" s="59"/>
      <c r="I44" s="59"/>
      <c r="J44" s="59"/>
      <c r="K44" s="30"/>
    </row>
    <row r="45" spans="2:13" ht="15.75" x14ac:dyDescent="0.25">
      <c r="B45" s="33" t="s">
        <v>94</v>
      </c>
      <c r="C45" s="34"/>
      <c r="D45" s="34"/>
      <c r="E45" s="34"/>
      <c r="F45" s="34"/>
      <c r="G45" s="35"/>
      <c r="H45" s="35"/>
      <c r="I45" s="35"/>
      <c r="J45" s="35"/>
      <c r="K45" s="34"/>
      <c r="M45" s="36"/>
    </row>
    <row r="47" spans="2:13" ht="38.25" x14ac:dyDescent="0.25">
      <c r="B47" s="308" t="s">
        <v>31</v>
      </c>
      <c r="C47" s="309"/>
      <c r="D47" s="309"/>
      <c r="E47" s="309"/>
      <c r="F47" s="310"/>
      <c r="G47" s="37" t="s">
        <v>37</v>
      </c>
      <c r="H47" s="38" t="s">
        <v>38</v>
      </c>
      <c r="I47" s="38" t="s">
        <v>39</v>
      </c>
      <c r="J47" s="38" t="s">
        <v>40</v>
      </c>
      <c r="K47" s="173" t="s">
        <v>125</v>
      </c>
      <c r="M47" s="41" t="s">
        <v>5</v>
      </c>
    </row>
    <row r="48" spans="2:13" x14ac:dyDescent="0.25">
      <c r="B48" s="311" t="s">
        <v>14</v>
      </c>
      <c r="C48" s="312"/>
      <c r="D48" s="312"/>
      <c r="E48" s="312"/>
      <c r="F48" s="313"/>
      <c r="G48" s="43">
        <v>61</v>
      </c>
      <c r="H48" s="44">
        <v>56</v>
      </c>
      <c r="I48" s="45">
        <v>63</v>
      </c>
      <c r="J48" s="44">
        <v>67</v>
      </c>
      <c r="K48" s="44">
        <v>67</v>
      </c>
      <c r="M48" s="300" t="s">
        <v>192</v>
      </c>
    </row>
    <row r="49" spans="2:13" x14ac:dyDescent="0.25">
      <c r="B49" s="333" t="s">
        <v>15</v>
      </c>
      <c r="C49" s="334"/>
      <c r="D49" s="334"/>
      <c r="E49" s="334"/>
      <c r="F49" s="335"/>
      <c r="G49" s="46">
        <v>47</v>
      </c>
      <c r="H49" s="47">
        <v>32</v>
      </c>
      <c r="I49" s="48">
        <v>55</v>
      </c>
      <c r="J49" s="47">
        <v>45</v>
      </c>
      <c r="K49" s="47">
        <v>45</v>
      </c>
      <c r="M49" s="301"/>
    </row>
    <row r="50" spans="2:13" x14ac:dyDescent="0.25">
      <c r="B50" s="333" t="s">
        <v>16</v>
      </c>
      <c r="C50" s="334"/>
      <c r="D50" s="334"/>
      <c r="E50" s="334"/>
      <c r="F50" s="335"/>
      <c r="G50" s="46">
        <v>82</v>
      </c>
      <c r="H50" s="47">
        <v>87</v>
      </c>
      <c r="I50" s="48">
        <v>107</v>
      </c>
      <c r="J50" s="47">
        <v>99</v>
      </c>
      <c r="K50" s="47">
        <v>94</v>
      </c>
      <c r="M50" s="301"/>
    </row>
    <row r="51" spans="2:13" x14ac:dyDescent="0.25">
      <c r="B51" s="333" t="s">
        <v>28</v>
      </c>
      <c r="C51" s="334"/>
      <c r="D51" s="334"/>
      <c r="E51" s="334"/>
      <c r="F51" s="335"/>
      <c r="G51" s="46">
        <v>36</v>
      </c>
      <c r="H51" s="47">
        <v>59</v>
      </c>
      <c r="I51" s="48">
        <v>78</v>
      </c>
      <c r="J51" s="47">
        <v>69</v>
      </c>
      <c r="K51" s="47">
        <v>64</v>
      </c>
      <c r="M51" s="301"/>
    </row>
    <row r="52" spans="2:13" x14ac:dyDescent="0.25">
      <c r="B52" s="333" t="s">
        <v>17</v>
      </c>
      <c r="C52" s="334"/>
      <c r="D52" s="334"/>
      <c r="E52" s="334"/>
      <c r="F52" s="335"/>
      <c r="G52" s="46">
        <v>4</v>
      </c>
      <c r="H52" s="47">
        <v>0</v>
      </c>
      <c r="I52" s="48">
        <v>0</v>
      </c>
      <c r="J52" s="47">
        <v>17</v>
      </c>
      <c r="K52" s="47">
        <v>17</v>
      </c>
      <c r="M52" s="301"/>
    </row>
    <row r="53" spans="2:13" x14ac:dyDescent="0.25">
      <c r="B53" s="333" t="s">
        <v>18</v>
      </c>
      <c r="C53" s="334"/>
      <c r="D53" s="334"/>
      <c r="E53" s="334"/>
      <c r="F53" s="335"/>
      <c r="G53" s="46">
        <v>0</v>
      </c>
      <c r="H53" s="47">
        <v>0</v>
      </c>
      <c r="I53" s="48">
        <v>0</v>
      </c>
      <c r="J53" s="47">
        <v>3</v>
      </c>
      <c r="K53" s="47">
        <v>3</v>
      </c>
      <c r="M53" s="301"/>
    </row>
    <row r="54" spans="2:13" x14ac:dyDescent="0.25">
      <c r="B54" s="333" t="s">
        <v>19</v>
      </c>
      <c r="C54" s="334"/>
      <c r="D54" s="334"/>
      <c r="E54" s="334"/>
      <c r="F54" s="335"/>
      <c r="G54" s="46">
        <v>4</v>
      </c>
      <c r="H54" s="47">
        <v>0</v>
      </c>
      <c r="I54" s="48">
        <v>0</v>
      </c>
      <c r="J54" s="47">
        <v>1</v>
      </c>
      <c r="K54" s="47">
        <v>1</v>
      </c>
      <c r="M54" s="301"/>
    </row>
    <row r="55" spans="2:13" x14ac:dyDescent="0.25">
      <c r="B55" s="333" t="s">
        <v>29</v>
      </c>
      <c r="C55" s="334"/>
      <c r="D55" s="334"/>
      <c r="E55" s="334"/>
      <c r="F55" s="335"/>
      <c r="G55" s="46">
        <v>0</v>
      </c>
      <c r="H55" s="47">
        <v>0</v>
      </c>
      <c r="I55" s="48">
        <v>0</v>
      </c>
      <c r="J55" s="47">
        <v>0</v>
      </c>
      <c r="K55" s="47">
        <v>0</v>
      </c>
      <c r="M55" s="301"/>
    </row>
    <row r="56" spans="2:13" x14ac:dyDescent="0.25">
      <c r="B56" s="333" t="s">
        <v>20</v>
      </c>
      <c r="C56" s="334"/>
      <c r="D56" s="334"/>
      <c r="E56" s="334"/>
      <c r="F56" s="335"/>
      <c r="G56" s="46">
        <v>11</v>
      </c>
      <c r="H56" s="47">
        <v>21</v>
      </c>
      <c r="I56" s="48">
        <v>31</v>
      </c>
      <c r="J56" s="47">
        <v>7</v>
      </c>
      <c r="K56" s="47">
        <v>8</v>
      </c>
      <c r="M56" s="301"/>
    </row>
    <row r="57" spans="2:13" x14ac:dyDescent="0.25">
      <c r="B57" s="333" t="s">
        <v>21</v>
      </c>
      <c r="C57" s="334"/>
      <c r="D57" s="334"/>
      <c r="E57" s="334"/>
      <c r="F57" s="335"/>
      <c r="G57" s="46">
        <v>3</v>
      </c>
      <c r="H57" s="47">
        <v>3</v>
      </c>
      <c r="I57" s="48">
        <v>6</v>
      </c>
      <c r="J57" s="47">
        <v>4</v>
      </c>
      <c r="K57" s="47">
        <v>3</v>
      </c>
      <c r="M57" s="301"/>
    </row>
    <row r="58" spans="2:13" x14ac:dyDescent="0.25">
      <c r="B58" s="333" t="s">
        <v>22</v>
      </c>
      <c r="C58" s="334"/>
      <c r="D58" s="334"/>
      <c r="E58" s="334"/>
      <c r="F58" s="335"/>
      <c r="G58" s="46">
        <v>1</v>
      </c>
      <c r="H58" s="47">
        <v>2</v>
      </c>
      <c r="I58" s="48">
        <v>2</v>
      </c>
      <c r="J58" s="47">
        <v>0</v>
      </c>
      <c r="K58" s="47">
        <v>0</v>
      </c>
      <c r="M58" s="301"/>
    </row>
    <row r="59" spans="2:13" x14ac:dyDescent="0.25">
      <c r="B59" s="333" t="s">
        <v>23</v>
      </c>
      <c r="C59" s="334"/>
      <c r="D59" s="334"/>
      <c r="E59" s="334"/>
      <c r="F59" s="335"/>
      <c r="G59" s="46">
        <v>19</v>
      </c>
      <c r="H59" s="47">
        <v>11</v>
      </c>
      <c r="I59" s="48">
        <v>11</v>
      </c>
      <c r="J59" s="47">
        <v>27</v>
      </c>
      <c r="K59" s="47">
        <v>28</v>
      </c>
      <c r="M59" s="301"/>
    </row>
    <row r="60" spans="2:13" x14ac:dyDescent="0.25">
      <c r="B60" s="330" t="s">
        <v>9</v>
      </c>
      <c r="C60" s="331"/>
      <c r="D60" s="331"/>
      <c r="E60" s="331"/>
      <c r="F60" s="332"/>
      <c r="G60" s="46"/>
      <c r="H60" s="47"/>
      <c r="I60" s="48"/>
      <c r="J60" s="47"/>
      <c r="K60" s="47"/>
      <c r="M60" s="301"/>
    </row>
    <row r="61" spans="2:13" x14ac:dyDescent="0.25">
      <c r="B61" s="333" t="s">
        <v>10</v>
      </c>
      <c r="C61" s="334"/>
      <c r="D61" s="334"/>
      <c r="E61" s="334"/>
      <c r="F61" s="335"/>
      <c r="G61" s="46">
        <v>140</v>
      </c>
      <c r="H61" s="47">
        <v>88</v>
      </c>
      <c r="I61" s="48">
        <v>88</v>
      </c>
      <c r="J61" s="47">
        <v>84</v>
      </c>
      <c r="K61" s="47">
        <v>86</v>
      </c>
      <c r="M61" s="301"/>
    </row>
    <row r="62" spans="2:13" x14ac:dyDescent="0.25">
      <c r="B62" s="333" t="s">
        <v>24</v>
      </c>
      <c r="C62" s="334"/>
      <c r="D62" s="334"/>
      <c r="E62" s="334"/>
      <c r="F62" s="335"/>
      <c r="G62" s="46">
        <v>344</v>
      </c>
      <c r="H62" s="47">
        <v>251</v>
      </c>
      <c r="I62" s="48">
        <v>208</v>
      </c>
      <c r="J62" s="47">
        <v>201</v>
      </c>
      <c r="K62" s="47">
        <v>196</v>
      </c>
      <c r="M62" s="301"/>
    </row>
    <row r="63" spans="2:13" x14ac:dyDescent="0.25">
      <c r="B63" s="333" t="s">
        <v>11</v>
      </c>
      <c r="C63" s="334"/>
      <c r="D63" s="334"/>
      <c r="E63" s="334"/>
      <c r="F63" s="335"/>
      <c r="G63" s="46">
        <v>53</v>
      </c>
      <c r="H63" s="47">
        <v>31</v>
      </c>
      <c r="I63" s="48">
        <v>33</v>
      </c>
      <c r="J63" s="47">
        <v>11</v>
      </c>
      <c r="K63" s="47">
        <v>12</v>
      </c>
      <c r="M63" s="301"/>
    </row>
    <row r="64" spans="2:13" x14ac:dyDescent="0.25">
      <c r="B64" s="333" t="s">
        <v>25</v>
      </c>
      <c r="C64" s="334"/>
      <c r="D64" s="334"/>
      <c r="E64" s="334"/>
      <c r="F64" s="335"/>
      <c r="G64" s="46">
        <v>37</v>
      </c>
      <c r="H64" s="47">
        <v>38</v>
      </c>
      <c r="I64" s="48">
        <v>51</v>
      </c>
      <c r="J64" s="47">
        <v>64</v>
      </c>
      <c r="K64" s="47">
        <v>59</v>
      </c>
      <c r="M64" s="301"/>
    </row>
    <row r="65" spans="2:13" x14ac:dyDescent="0.25">
      <c r="B65" s="333" t="s">
        <v>26</v>
      </c>
      <c r="C65" s="334"/>
      <c r="D65" s="334"/>
      <c r="E65" s="334"/>
      <c r="F65" s="335"/>
      <c r="G65" s="46">
        <v>2</v>
      </c>
      <c r="H65" s="47">
        <v>3</v>
      </c>
      <c r="I65" s="48">
        <v>15</v>
      </c>
      <c r="J65" s="47">
        <v>4</v>
      </c>
      <c r="K65" s="47">
        <v>4</v>
      </c>
      <c r="M65" s="301"/>
    </row>
    <row r="66" spans="2:13" x14ac:dyDescent="0.25">
      <c r="B66" s="333" t="s">
        <v>27</v>
      </c>
      <c r="C66" s="334"/>
      <c r="D66" s="334"/>
      <c r="E66" s="334"/>
      <c r="F66" s="335"/>
      <c r="G66" s="46">
        <v>0</v>
      </c>
      <c r="H66" s="47">
        <v>0</v>
      </c>
      <c r="I66" s="48">
        <v>2</v>
      </c>
      <c r="J66" s="47">
        <v>1</v>
      </c>
      <c r="K66" s="47">
        <v>1</v>
      </c>
      <c r="M66" s="301"/>
    </row>
    <row r="67" spans="2:13" x14ac:dyDescent="0.25">
      <c r="B67" s="330" t="s">
        <v>9</v>
      </c>
      <c r="C67" s="331"/>
      <c r="D67" s="331"/>
      <c r="E67" s="331"/>
      <c r="F67" s="332"/>
      <c r="G67" s="46"/>
      <c r="H67" s="47"/>
      <c r="I67" s="48"/>
      <c r="J67" s="47"/>
      <c r="K67" s="47"/>
      <c r="M67" s="301"/>
    </row>
    <row r="68" spans="2:13" x14ac:dyDescent="0.25">
      <c r="B68" s="333" t="s">
        <v>12</v>
      </c>
      <c r="C68" s="334"/>
      <c r="D68" s="334"/>
      <c r="E68" s="334"/>
      <c r="F68" s="335"/>
      <c r="G68" s="46">
        <v>131</v>
      </c>
      <c r="H68" s="47">
        <v>125</v>
      </c>
      <c r="I68" s="48">
        <v>136</v>
      </c>
      <c r="J68" s="47">
        <v>188</v>
      </c>
      <c r="K68" s="47">
        <v>189</v>
      </c>
      <c r="M68" s="301"/>
    </row>
    <row r="69" spans="2:13" x14ac:dyDescent="0.25">
      <c r="B69" s="318" t="s">
        <v>13</v>
      </c>
      <c r="C69" s="319"/>
      <c r="D69" s="319"/>
      <c r="E69" s="319"/>
      <c r="F69" s="320"/>
      <c r="G69" s="49">
        <v>53</v>
      </c>
      <c r="H69" s="50">
        <v>39</v>
      </c>
      <c r="I69" s="51">
        <v>69</v>
      </c>
      <c r="J69" s="50">
        <v>59</v>
      </c>
      <c r="K69" s="50">
        <v>55</v>
      </c>
      <c r="M69" s="302"/>
    </row>
    <row r="70" spans="2:13" ht="13.5" thickBot="1" x14ac:dyDescent="0.3">
      <c r="G70" s="52">
        <f>SUM(G48:G69)</f>
        <v>1028</v>
      </c>
      <c r="H70" s="53">
        <f t="shared" ref="H70:K70" si="6">SUM(H48:H69)</f>
        <v>846</v>
      </c>
      <c r="I70" s="54">
        <f t="shared" si="6"/>
        <v>955</v>
      </c>
      <c r="J70" s="53">
        <f t="shared" si="6"/>
        <v>951</v>
      </c>
      <c r="K70" s="53">
        <f t="shared" si="6"/>
        <v>932</v>
      </c>
    </row>
    <row r="72" spans="2:13" ht="15.75" x14ac:dyDescent="0.25">
      <c r="B72" s="33" t="s">
        <v>126</v>
      </c>
      <c r="C72" s="34"/>
      <c r="D72" s="34"/>
      <c r="E72" s="34"/>
      <c r="F72" s="34"/>
      <c r="G72" s="35"/>
      <c r="H72" s="35"/>
      <c r="I72" s="35"/>
      <c r="J72" s="35"/>
      <c r="K72" s="34"/>
      <c r="M72" s="36"/>
    </row>
    <row r="74" spans="2:13" ht="25.5" x14ac:dyDescent="0.25">
      <c r="B74" s="80" t="s">
        <v>68</v>
      </c>
      <c r="C74" s="81" t="s">
        <v>69</v>
      </c>
      <c r="D74" s="82"/>
      <c r="E74" s="83" t="s">
        <v>70</v>
      </c>
      <c r="F74" s="84"/>
      <c r="G74" s="84"/>
      <c r="H74" s="85" t="s">
        <v>72</v>
      </c>
      <c r="J74" s="27"/>
      <c r="M74" s="41" t="s">
        <v>5</v>
      </c>
    </row>
    <row r="75" spans="2:13" x14ac:dyDescent="0.25">
      <c r="B75" s="425"/>
      <c r="C75" s="426"/>
      <c r="D75" s="427"/>
      <c r="E75" s="86" t="s">
        <v>71</v>
      </c>
      <c r="F75" s="87"/>
      <c r="G75" s="48"/>
      <c r="H75" s="88">
        <v>70.759229179999991</v>
      </c>
      <c r="J75" s="27"/>
      <c r="M75" s="300" t="s">
        <v>157</v>
      </c>
    </row>
    <row r="76" spans="2:13" x14ac:dyDescent="0.25">
      <c r="B76" s="425"/>
      <c r="C76" s="426"/>
      <c r="D76" s="427"/>
      <c r="E76" s="86" t="s">
        <v>71</v>
      </c>
      <c r="F76" s="87"/>
      <c r="G76" s="48"/>
      <c r="H76" s="88">
        <v>69.009106410000001</v>
      </c>
      <c r="J76" s="27"/>
      <c r="M76" s="301"/>
    </row>
    <row r="77" spans="2:13" x14ac:dyDescent="0.25">
      <c r="B77" s="425"/>
      <c r="C77" s="426"/>
      <c r="D77" s="427"/>
      <c r="E77" s="86" t="s">
        <v>71</v>
      </c>
      <c r="F77" s="87"/>
      <c r="G77" s="48"/>
      <c r="H77" s="88">
        <v>69.009106410000001</v>
      </c>
      <c r="J77" s="27"/>
      <c r="M77" s="301"/>
    </row>
    <row r="78" spans="2:13" x14ac:dyDescent="0.25">
      <c r="B78" s="425"/>
      <c r="C78" s="426"/>
      <c r="D78" s="427"/>
      <c r="E78" s="86" t="s">
        <v>71</v>
      </c>
      <c r="F78" s="87"/>
      <c r="G78" s="48"/>
      <c r="H78" s="88">
        <v>67.455908820000005</v>
      </c>
      <c r="J78" s="27"/>
      <c r="M78" s="301"/>
    </row>
    <row r="79" spans="2:13" x14ac:dyDescent="0.25">
      <c r="B79" s="425"/>
      <c r="C79" s="426"/>
      <c r="D79" s="427"/>
      <c r="E79" s="86" t="s">
        <v>71</v>
      </c>
      <c r="F79" s="87"/>
      <c r="G79" s="48"/>
      <c r="H79" s="88">
        <v>69.009106410000001</v>
      </c>
      <c r="J79" s="27"/>
      <c r="M79" s="301"/>
    </row>
    <row r="80" spans="2:13" x14ac:dyDescent="0.25">
      <c r="B80" s="425"/>
      <c r="C80" s="426"/>
      <c r="D80" s="427"/>
      <c r="E80" s="86" t="s">
        <v>71</v>
      </c>
      <c r="F80" s="87"/>
      <c r="G80" s="48"/>
      <c r="H80" s="88">
        <v>69.009106410000001</v>
      </c>
      <c r="J80" s="27"/>
      <c r="M80" s="301"/>
    </row>
    <row r="81" spans="2:13" x14ac:dyDescent="0.25">
      <c r="B81" s="425"/>
      <c r="C81" s="426"/>
      <c r="D81" s="427"/>
      <c r="E81" s="86" t="s">
        <v>71</v>
      </c>
      <c r="F81" s="87"/>
      <c r="G81" s="48"/>
      <c r="H81" s="88">
        <v>70.759229179999991</v>
      </c>
      <c r="J81" s="27"/>
      <c r="M81" s="301"/>
    </row>
    <row r="82" spans="2:13" x14ac:dyDescent="0.25">
      <c r="B82" s="425"/>
      <c r="C82" s="426"/>
      <c r="D82" s="427"/>
      <c r="E82" s="86" t="s">
        <v>71</v>
      </c>
      <c r="F82" s="87"/>
      <c r="G82" s="48"/>
      <c r="H82" s="88">
        <v>70.76520124999999</v>
      </c>
      <c r="J82" s="27"/>
      <c r="M82" s="301"/>
    </row>
    <row r="83" spans="2:13" x14ac:dyDescent="0.25">
      <c r="B83" s="425"/>
      <c r="C83" s="426"/>
      <c r="D83" s="427"/>
      <c r="E83" s="86" t="s">
        <v>71</v>
      </c>
      <c r="F83" s="87"/>
      <c r="G83" s="48"/>
      <c r="H83" s="88">
        <v>70.76520124999999</v>
      </c>
      <c r="J83" s="27"/>
      <c r="M83" s="301"/>
    </row>
    <row r="84" spans="2:13" x14ac:dyDescent="0.25">
      <c r="B84" s="425"/>
      <c r="C84" s="426"/>
      <c r="D84" s="427"/>
      <c r="E84" s="86" t="s">
        <v>71</v>
      </c>
      <c r="F84" s="87"/>
      <c r="G84" s="48"/>
      <c r="H84" s="88">
        <v>67.455908820000005</v>
      </c>
      <c r="J84" s="27"/>
      <c r="M84" s="301"/>
    </row>
    <row r="85" spans="2:13" x14ac:dyDescent="0.25">
      <c r="B85" s="425"/>
      <c r="C85" s="426"/>
      <c r="D85" s="427"/>
      <c r="E85" s="86" t="s">
        <v>71</v>
      </c>
      <c r="F85" s="87"/>
      <c r="G85" s="48"/>
      <c r="H85" s="88">
        <v>69.009106410000001</v>
      </c>
      <c r="J85" s="27"/>
      <c r="M85" s="301"/>
    </row>
    <row r="86" spans="2:13" x14ac:dyDescent="0.25">
      <c r="B86" s="425"/>
      <c r="C86" s="426"/>
      <c r="D86" s="427"/>
      <c r="E86" s="86" t="s">
        <v>71</v>
      </c>
      <c r="F86" s="87"/>
      <c r="G86" s="48"/>
      <c r="H86" s="88">
        <v>69.009106410000001</v>
      </c>
      <c r="J86" s="27"/>
      <c r="M86" s="301"/>
    </row>
    <row r="87" spans="2:13" x14ac:dyDescent="0.25">
      <c r="B87" s="425"/>
      <c r="C87" s="426"/>
      <c r="D87" s="427"/>
      <c r="E87" s="86" t="s">
        <v>71</v>
      </c>
      <c r="F87" s="87"/>
      <c r="G87" s="48"/>
      <c r="H87" s="88">
        <v>70.759229179999991</v>
      </c>
      <c r="J87" s="27"/>
      <c r="M87" s="301"/>
    </row>
    <row r="88" spans="2:13" x14ac:dyDescent="0.25">
      <c r="B88" s="425"/>
      <c r="C88" s="426"/>
      <c r="D88" s="427"/>
      <c r="E88" s="86" t="s">
        <v>71</v>
      </c>
      <c r="F88" s="87"/>
      <c r="G88" s="48"/>
      <c r="H88" s="88">
        <v>67.455908820000005</v>
      </c>
      <c r="J88" s="27"/>
      <c r="M88" s="301"/>
    </row>
    <row r="89" spans="2:13" x14ac:dyDescent="0.25">
      <c r="B89" s="425"/>
      <c r="C89" s="426"/>
      <c r="D89" s="427"/>
      <c r="E89" s="86" t="s">
        <v>71</v>
      </c>
      <c r="F89" s="87"/>
      <c r="G89" s="48"/>
      <c r="H89" s="88">
        <v>67.455908820000005</v>
      </c>
      <c r="J89" s="27"/>
      <c r="M89" s="301"/>
    </row>
    <row r="90" spans="2:13" x14ac:dyDescent="0.25">
      <c r="B90" s="425"/>
      <c r="C90" s="426"/>
      <c r="D90" s="427"/>
      <c r="E90" s="86" t="s">
        <v>71</v>
      </c>
      <c r="F90" s="87"/>
      <c r="G90" s="48"/>
      <c r="H90" s="88">
        <v>67.455908820000005</v>
      </c>
      <c r="J90" s="27"/>
      <c r="M90" s="301"/>
    </row>
    <row r="91" spans="2:13" x14ac:dyDescent="0.25">
      <c r="B91" s="425"/>
      <c r="C91" s="426"/>
      <c r="D91" s="427"/>
      <c r="E91" s="86" t="s">
        <v>71</v>
      </c>
      <c r="F91" s="87"/>
      <c r="G91" s="48"/>
      <c r="H91" s="88">
        <v>67.455908820000005</v>
      </c>
      <c r="J91" s="27"/>
      <c r="M91" s="301"/>
    </row>
    <row r="92" spans="2:13" x14ac:dyDescent="0.25">
      <c r="B92" s="425"/>
      <c r="C92" s="426"/>
      <c r="D92" s="427"/>
      <c r="E92" s="86" t="s">
        <v>71</v>
      </c>
      <c r="F92" s="87"/>
      <c r="G92" s="48"/>
      <c r="H92" s="88">
        <v>69.009106410000001</v>
      </c>
      <c r="J92" s="27"/>
      <c r="M92" s="301"/>
    </row>
    <row r="93" spans="2:13" x14ac:dyDescent="0.25">
      <c r="B93" s="425"/>
      <c r="C93" s="426"/>
      <c r="D93" s="427"/>
      <c r="E93" s="86" t="s">
        <v>71</v>
      </c>
      <c r="F93" s="87"/>
      <c r="G93" s="48"/>
      <c r="H93" s="88">
        <v>69.009106410000001</v>
      </c>
      <c r="J93" s="27"/>
      <c r="M93" s="301"/>
    </row>
    <row r="94" spans="2:13" x14ac:dyDescent="0.25">
      <c r="B94" s="425"/>
      <c r="C94" s="426"/>
      <c r="D94" s="427"/>
      <c r="E94" s="86" t="s">
        <v>71</v>
      </c>
      <c r="F94" s="87"/>
      <c r="G94" s="48"/>
      <c r="H94" s="88">
        <v>70.759229179999991</v>
      </c>
      <c r="J94" s="27"/>
      <c r="M94" s="301"/>
    </row>
    <row r="95" spans="2:13" x14ac:dyDescent="0.25">
      <c r="B95" s="425"/>
      <c r="C95" s="426"/>
      <c r="D95" s="427"/>
      <c r="E95" s="86" t="s">
        <v>71</v>
      </c>
      <c r="F95" s="87"/>
      <c r="G95" s="48"/>
      <c r="H95" s="88">
        <v>72.246734000000004</v>
      </c>
      <c r="J95" s="27"/>
      <c r="M95" s="301"/>
    </row>
    <row r="96" spans="2:13" x14ac:dyDescent="0.25">
      <c r="B96" s="425"/>
      <c r="C96" s="426"/>
      <c r="D96" s="427"/>
      <c r="E96" s="86" t="s">
        <v>71</v>
      </c>
      <c r="F96" s="87"/>
      <c r="G96" s="48"/>
      <c r="H96" s="88">
        <v>62.743945589999996</v>
      </c>
      <c r="J96" s="27"/>
      <c r="M96" s="301"/>
    </row>
    <row r="97" spans="2:13" x14ac:dyDescent="0.25">
      <c r="B97" s="425"/>
      <c r="C97" s="426"/>
      <c r="D97" s="427"/>
      <c r="E97" s="86" t="s">
        <v>71</v>
      </c>
      <c r="F97" s="87"/>
      <c r="G97" s="48"/>
      <c r="H97" s="88">
        <v>69.009106410000001</v>
      </c>
      <c r="J97" s="27"/>
      <c r="M97" s="301"/>
    </row>
    <row r="98" spans="2:13" x14ac:dyDescent="0.25">
      <c r="B98" s="425"/>
      <c r="C98" s="426"/>
      <c r="D98" s="427"/>
      <c r="E98" s="86" t="s">
        <v>71</v>
      </c>
      <c r="F98" s="87"/>
      <c r="G98" s="48"/>
      <c r="H98" s="88">
        <v>70.759229179999991</v>
      </c>
      <c r="J98" s="27"/>
      <c r="M98" s="301"/>
    </row>
    <row r="99" spans="2:13" x14ac:dyDescent="0.25">
      <c r="B99" s="425"/>
      <c r="C99" s="426"/>
      <c r="D99" s="427"/>
      <c r="E99" s="86" t="s">
        <v>71</v>
      </c>
      <c r="F99" s="87"/>
      <c r="G99" s="48"/>
      <c r="H99" s="88">
        <v>62.743945589999996</v>
      </c>
      <c r="J99" s="27"/>
      <c r="M99" s="301"/>
    </row>
    <row r="100" spans="2:13" x14ac:dyDescent="0.25">
      <c r="B100" s="425"/>
      <c r="C100" s="426"/>
      <c r="D100" s="427"/>
      <c r="E100" s="86" t="s">
        <v>71</v>
      </c>
      <c r="F100" s="87"/>
      <c r="G100" s="48"/>
      <c r="H100" s="88">
        <v>64.279533229999998</v>
      </c>
      <c r="J100" s="27"/>
      <c r="M100" s="301"/>
    </row>
    <row r="101" spans="2:13" x14ac:dyDescent="0.25">
      <c r="B101" s="425"/>
      <c r="C101" s="426"/>
      <c r="D101" s="427"/>
      <c r="E101" s="86" t="s">
        <v>71</v>
      </c>
      <c r="F101" s="87"/>
      <c r="G101" s="48"/>
      <c r="H101" s="88">
        <v>69.009106410000001</v>
      </c>
      <c r="J101" s="27"/>
      <c r="M101" s="301"/>
    </row>
    <row r="102" spans="2:13" x14ac:dyDescent="0.25">
      <c r="B102" s="425"/>
      <c r="C102" s="426"/>
      <c r="D102" s="427"/>
      <c r="E102" s="86" t="s">
        <v>71</v>
      </c>
      <c r="F102" s="87"/>
      <c r="G102" s="48"/>
      <c r="H102" s="88">
        <v>62.743945589999996</v>
      </c>
      <c r="J102" s="27"/>
      <c r="M102" s="301"/>
    </row>
    <row r="103" spans="2:13" x14ac:dyDescent="0.25">
      <c r="B103" s="425"/>
      <c r="C103" s="426"/>
      <c r="D103" s="427"/>
      <c r="E103" s="86" t="s">
        <v>71</v>
      </c>
      <c r="F103" s="87"/>
      <c r="G103" s="48"/>
      <c r="H103" s="88">
        <v>67.455908820000005</v>
      </c>
      <c r="J103" s="27"/>
      <c r="M103" s="301"/>
    </row>
    <row r="104" spans="2:13" x14ac:dyDescent="0.25">
      <c r="B104" s="425"/>
      <c r="C104" s="426"/>
      <c r="D104" s="427"/>
      <c r="E104" s="86" t="s">
        <v>71</v>
      </c>
      <c r="F104" s="87"/>
      <c r="G104" s="48"/>
      <c r="H104" s="88">
        <v>65.920321180000002</v>
      </c>
      <c r="J104" s="27"/>
      <c r="M104" s="301"/>
    </row>
    <row r="105" spans="2:13" x14ac:dyDescent="0.25">
      <c r="B105" s="425"/>
      <c r="C105" s="426"/>
      <c r="D105" s="427"/>
      <c r="E105" s="86" t="s">
        <v>71</v>
      </c>
      <c r="F105" s="87"/>
      <c r="G105" s="48"/>
      <c r="H105" s="88">
        <v>69.009106410000001</v>
      </c>
      <c r="J105" s="27"/>
      <c r="M105" s="301"/>
    </row>
    <row r="106" spans="2:13" x14ac:dyDescent="0.25">
      <c r="B106" s="425"/>
      <c r="C106" s="426"/>
      <c r="D106" s="427"/>
      <c r="E106" s="86" t="s">
        <v>71</v>
      </c>
      <c r="F106" s="87"/>
      <c r="G106" s="48"/>
      <c r="H106" s="88">
        <v>77.155622410000007</v>
      </c>
      <c r="J106" s="27"/>
      <c r="M106" s="301"/>
    </row>
    <row r="107" spans="2:13" x14ac:dyDescent="0.25">
      <c r="B107" s="425"/>
      <c r="C107" s="426"/>
      <c r="D107" s="427"/>
      <c r="E107" s="86" t="s">
        <v>71</v>
      </c>
      <c r="F107" s="87"/>
      <c r="G107" s="48"/>
      <c r="H107" s="88">
        <v>80.804557180000003</v>
      </c>
      <c r="J107" s="27"/>
      <c r="M107" s="301"/>
    </row>
    <row r="108" spans="2:13" x14ac:dyDescent="0.25">
      <c r="B108" s="425"/>
      <c r="C108" s="426"/>
      <c r="D108" s="427"/>
      <c r="E108" s="86" t="s">
        <v>71</v>
      </c>
      <c r="F108" s="87"/>
      <c r="G108" s="48"/>
      <c r="H108" s="88">
        <v>64.279533229999998</v>
      </c>
      <c r="J108" s="27"/>
      <c r="M108" s="301"/>
    </row>
    <row r="109" spans="2:13" x14ac:dyDescent="0.25">
      <c r="B109" s="425"/>
      <c r="C109" s="426"/>
      <c r="D109" s="427"/>
      <c r="E109" s="86" t="s">
        <v>71</v>
      </c>
      <c r="F109" s="87"/>
      <c r="G109" s="48"/>
      <c r="H109" s="88">
        <v>72.246734000000004</v>
      </c>
      <c r="J109" s="27"/>
      <c r="M109" s="301"/>
    </row>
    <row r="110" spans="2:13" x14ac:dyDescent="0.25">
      <c r="B110" s="425"/>
      <c r="C110" s="426"/>
      <c r="D110" s="427"/>
      <c r="E110" s="86" t="s">
        <v>71</v>
      </c>
      <c r="F110" s="87"/>
      <c r="G110" s="48"/>
      <c r="H110" s="88">
        <v>67.455908820000005</v>
      </c>
      <c r="J110" s="27"/>
      <c r="M110" s="301"/>
    </row>
    <row r="111" spans="2:13" x14ac:dyDescent="0.25">
      <c r="B111" s="428"/>
      <c r="C111" s="429"/>
      <c r="D111" s="430"/>
      <c r="E111" s="89" t="s">
        <v>71</v>
      </c>
      <c r="F111" s="90"/>
      <c r="G111" s="51"/>
      <c r="H111" s="91">
        <v>69.009106410000001</v>
      </c>
      <c r="J111" s="27"/>
      <c r="M111" s="301"/>
    </row>
    <row r="112" spans="2:13" ht="13.5" thickBot="1" x14ac:dyDescent="0.3">
      <c r="G112" s="92" t="s">
        <v>73</v>
      </c>
      <c r="H112" s="93">
        <f>AVERAGE(H75:H111)</f>
        <v>68.871566699459478</v>
      </c>
      <c r="I112" s="97"/>
      <c r="J112" s="27"/>
      <c r="M112" s="302"/>
    </row>
    <row r="114" spans="2:15" ht="15.75" x14ac:dyDescent="0.25">
      <c r="B114" s="33" t="s">
        <v>95</v>
      </c>
      <c r="C114" s="34"/>
      <c r="D114" s="34"/>
      <c r="E114" s="34"/>
      <c r="F114" s="34"/>
      <c r="G114" s="35"/>
      <c r="H114" s="35"/>
      <c r="I114" s="35"/>
      <c r="J114" s="35"/>
      <c r="K114" s="34"/>
      <c r="M114" s="36"/>
    </row>
    <row r="116" spans="2:15" x14ac:dyDescent="0.25">
      <c r="B116" s="248"/>
      <c r="C116" s="249"/>
      <c r="D116" s="249"/>
      <c r="E116" s="249"/>
      <c r="F116" s="37" t="s">
        <v>165</v>
      </c>
      <c r="G116" s="37" t="s">
        <v>37</v>
      </c>
      <c r="H116" s="38" t="s">
        <v>38</v>
      </c>
      <c r="I116" s="39" t="s">
        <v>39</v>
      </c>
      <c r="J116" s="38" t="s">
        <v>40</v>
      </c>
      <c r="K116" s="40" t="s">
        <v>41</v>
      </c>
      <c r="M116" s="41" t="s">
        <v>5</v>
      </c>
    </row>
    <row r="117" spans="2:15" ht="54" customHeight="1" x14ac:dyDescent="0.2">
      <c r="B117" s="253" t="s">
        <v>79</v>
      </c>
      <c r="C117" s="250"/>
      <c r="D117" s="246"/>
      <c r="E117" s="250"/>
      <c r="F117" s="251">
        <v>3.5000000000000003E-2</v>
      </c>
      <c r="G117" s="251">
        <v>3.5000000000000003E-2</v>
      </c>
      <c r="H117" s="251">
        <v>0.04</v>
      </c>
      <c r="I117" s="252">
        <v>0.04</v>
      </c>
      <c r="J117" s="251">
        <v>0</v>
      </c>
      <c r="K117" s="99"/>
      <c r="M117" s="55" t="s">
        <v>175</v>
      </c>
    </row>
    <row r="119" spans="2:15" ht="15.75" x14ac:dyDescent="0.25">
      <c r="B119" s="33" t="s">
        <v>127</v>
      </c>
      <c r="C119" s="34"/>
      <c r="D119" s="34"/>
      <c r="E119" s="34"/>
      <c r="F119" s="34"/>
      <c r="G119" s="35"/>
      <c r="H119" s="35"/>
      <c r="I119" s="35"/>
      <c r="J119" s="35"/>
      <c r="K119" s="34"/>
      <c r="M119" s="36"/>
    </row>
    <row r="121" spans="2:15" ht="15" customHeight="1" x14ac:dyDescent="0.25">
      <c r="E121" s="376" t="s">
        <v>78</v>
      </c>
      <c r="F121" s="377"/>
      <c r="G121" s="378"/>
      <c r="H121" s="257">
        <f>+I121/(1+H117)</f>
        <v>63.675634892251736</v>
      </c>
      <c r="I121" s="257">
        <f>+J121/(1+I117)</f>
        <v>66.222660287941807</v>
      </c>
      <c r="J121" s="257">
        <f>+$H$112</f>
        <v>68.871566699459478</v>
      </c>
    </row>
    <row r="122" spans="2:15" ht="38.25" x14ac:dyDescent="0.25">
      <c r="B122" s="308" t="s">
        <v>31</v>
      </c>
      <c r="C122" s="310"/>
      <c r="D122" s="60" t="s">
        <v>74</v>
      </c>
      <c r="E122" s="60" t="s">
        <v>52</v>
      </c>
      <c r="F122" s="61" t="s">
        <v>77</v>
      </c>
      <c r="G122" s="37" t="s">
        <v>37</v>
      </c>
      <c r="H122" s="38" t="s">
        <v>38</v>
      </c>
      <c r="I122" s="38" t="s">
        <v>39</v>
      </c>
      <c r="J122" s="38" t="s">
        <v>40</v>
      </c>
      <c r="K122" s="57" t="s">
        <v>41</v>
      </c>
      <c r="M122" s="41" t="s">
        <v>5</v>
      </c>
    </row>
    <row r="123" spans="2:15" x14ac:dyDescent="0.25">
      <c r="B123" s="321" t="s">
        <v>80</v>
      </c>
      <c r="C123" s="323"/>
      <c r="D123" s="24">
        <v>1</v>
      </c>
      <c r="E123" s="62">
        <v>1</v>
      </c>
      <c r="F123" s="63">
        <f t="shared" ref="F123:F134" si="7">+$H$112</f>
        <v>68.871566699459478</v>
      </c>
      <c r="G123" s="373" t="s">
        <v>176</v>
      </c>
      <c r="H123" s="65">
        <f t="shared" ref="H123:J134" si="8">+H$121*$E123*H48</f>
        <v>3565.835553966097</v>
      </c>
      <c r="I123" s="65">
        <f t="shared" si="8"/>
        <v>4172.0275981403338</v>
      </c>
      <c r="J123" s="65">
        <f t="shared" si="8"/>
        <v>4614.3949688637849</v>
      </c>
      <c r="K123" s="370"/>
      <c r="M123" s="300" t="s">
        <v>132</v>
      </c>
      <c r="O123" s="29"/>
    </row>
    <row r="124" spans="2:15" x14ac:dyDescent="0.25">
      <c r="B124" s="321" t="s">
        <v>81</v>
      </c>
      <c r="C124" s="323"/>
      <c r="D124" s="24">
        <v>1</v>
      </c>
      <c r="E124" s="62">
        <v>2.5</v>
      </c>
      <c r="F124" s="63">
        <f t="shared" si="7"/>
        <v>68.871566699459478</v>
      </c>
      <c r="G124" s="374"/>
      <c r="H124" s="65">
        <f t="shared" si="8"/>
        <v>5094.0507913801393</v>
      </c>
      <c r="I124" s="65">
        <f t="shared" si="8"/>
        <v>9105.6157895919987</v>
      </c>
      <c r="J124" s="65">
        <f t="shared" si="8"/>
        <v>7748.051253689192</v>
      </c>
      <c r="K124" s="372"/>
      <c r="M124" s="379"/>
      <c r="O124" s="29"/>
    </row>
    <row r="125" spans="2:15" x14ac:dyDescent="0.25">
      <c r="B125" s="321" t="s">
        <v>82</v>
      </c>
      <c r="C125" s="323"/>
      <c r="D125" s="24">
        <v>1</v>
      </c>
      <c r="E125" s="62">
        <v>5</v>
      </c>
      <c r="F125" s="63">
        <f t="shared" si="7"/>
        <v>68.871566699459478</v>
      </c>
      <c r="G125" s="374"/>
      <c r="H125" s="65">
        <f t="shared" si="8"/>
        <v>27698.901178129508</v>
      </c>
      <c r="I125" s="65">
        <f t="shared" si="8"/>
        <v>35429.123254048871</v>
      </c>
      <c r="J125" s="65">
        <f t="shared" si="8"/>
        <v>34091.425516232441</v>
      </c>
      <c r="K125" s="372"/>
      <c r="M125" s="379"/>
      <c r="O125" s="29"/>
    </row>
    <row r="126" spans="2:15" x14ac:dyDescent="0.25">
      <c r="B126" s="321" t="s">
        <v>83</v>
      </c>
      <c r="C126" s="323"/>
      <c r="D126" s="24">
        <v>1</v>
      </c>
      <c r="E126" s="62">
        <v>8</v>
      </c>
      <c r="F126" s="63">
        <f t="shared" si="7"/>
        <v>68.871566699459478</v>
      </c>
      <c r="G126" s="374"/>
      <c r="H126" s="65">
        <f t="shared" si="8"/>
        <v>30054.899669142818</v>
      </c>
      <c r="I126" s="65">
        <f t="shared" si="8"/>
        <v>41322.940019675691</v>
      </c>
      <c r="J126" s="65">
        <f t="shared" si="8"/>
        <v>38017.10481810163</v>
      </c>
      <c r="K126" s="372"/>
      <c r="M126" s="379"/>
      <c r="O126" s="29"/>
    </row>
    <row r="127" spans="2:15" x14ac:dyDescent="0.25">
      <c r="B127" s="321" t="s">
        <v>84</v>
      </c>
      <c r="C127" s="323"/>
      <c r="D127" s="24">
        <v>1</v>
      </c>
      <c r="E127" s="62">
        <v>1</v>
      </c>
      <c r="F127" s="63">
        <f t="shared" si="7"/>
        <v>68.871566699459478</v>
      </c>
      <c r="G127" s="374"/>
      <c r="H127" s="65">
        <f t="shared" si="8"/>
        <v>0</v>
      </c>
      <c r="I127" s="65">
        <f t="shared" si="8"/>
        <v>0</v>
      </c>
      <c r="J127" s="65">
        <f t="shared" si="8"/>
        <v>1170.8166338908111</v>
      </c>
      <c r="K127" s="372"/>
      <c r="M127" s="379"/>
      <c r="O127" s="29"/>
    </row>
    <row r="128" spans="2:15" x14ac:dyDescent="0.25">
      <c r="B128" s="321" t="s">
        <v>85</v>
      </c>
      <c r="C128" s="323"/>
      <c r="D128" s="24">
        <v>1</v>
      </c>
      <c r="E128" s="62">
        <v>2.5</v>
      </c>
      <c r="F128" s="63">
        <f t="shared" si="7"/>
        <v>68.871566699459478</v>
      </c>
      <c r="G128" s="374"/>
      <c r="H128" s="65">
        <f t="shared" si="8"/>
        <v>0</v>
      </c>
      <c r="I128" s="65">
        <f t="shared" si="8"/>
        <v>0</v>
      </c>
      <c r="J128" s="65">
        <f t="shared" si="8"/>
        <v>516.53675024594611</v>
      </c>
      <c r="K128" s="372"/>
      <c r="M128" s="379"/>
      <c r="O128" s="29"/>
    </row>
    <row r="129" spans="2:17" x14ac:dyDescent="0.25">
      <c r="B129" s="321" t="s">
        <v>86</v>
      </c>
      <c r="C129" s="323"/>
      <c r="D129" s="24">
        <v>1</v>
      </c>
      <c r="E129" s="62">
        <v>5</v>
      </c>
      <c r="F129" s="63">
        <f t="shared" si="7"/>
        <v>68.871566699459478</v>
      </c>
      <c r="G129" s="374"/>
      <c r="H129" s="65">
        <f t="shared" si="8"/>
        <v>0</v>
      </c>
      <c r="I129" s="65">
        <f t="shared" si="8"/>
        <v>0</v>
      </c>
      <c r="J129" s="65">
        <f t="shared" si="8"/>
        <v>344.35783349729741</v>
      </c>
      <c r="K129" s="372"/>
      <c r="M129" s="379"/>
      <c r="O129" s="29"/>
    </row>
    <row r="130" spans="2:17" x14ac:dyDescent="0.25">
      <c r="B130" s="321" t="s">
        <v>87</v>
      </c>
      <c r="C130" s="323"/>
      <c r="D130" s="24">
        <v>1</v>
      </c>
      <c r="E130" s="62">
        <v>8</v>
      </c>
      <c r="F130" s="63">
        <f t="shared" si="7"/>
        <v>68.871566699459478</v>
      </c>
      <c r="G130" s="374"/>
      <c r="H130" s="65">
        <f t="shared" si="8"/>
        <v>0</v>
      </c>
      <c r="I130" s="65">
        <f t="shared" si="8"/>
        <v>0</v>
      </c>
      <c r="J130" s="65">
        <f t="shared" si="8"/>
        <v>0</v>
      </c>
      <c r="K130" s="372"/>
      <c r="M130" s="379"/>
      <c r="O130" s="29"/>
    </row>
    <row r="131" spans="2:17" x14ac:dyDescent="0.25">
      <c r="B131" s="321" t="s">
        <v>88</v>
      </c>
      <c r="C131" s="323"/>
      <c r="D131" s="24">
        <v>1</v>
      </c>
      <c r="E131" s="62">
        <v>1</v>
      </c>
      <c r="F131" s="63">
        <f t="shared" si="7"/>
        <v>68.871566699459478</v>
      </c>
      <c r="G131" s="374"/>
      <c r="H131" s="65">
        <f t="shared" si="8"/>
        <v>1337.1883327372864</v>
      </c>
      <c r="I131" s="65">
        <f t="shared" si="8"/>
        <v>2052.902468926196</v>
      </c>
      <c r="J131" s="65">
        <f t="shared" si="8"/>
        <v>482.10096689621633</v>
      </c>
      <c r="K131" s="372"/>
      <c r="M131" s="379"/>
      <c r="O131" s="29"/>
    </row>
    <row r="132" spans="2:17" x14ac:dyDescent="0.25">
      <c r="B132" s="321" t="s">
        <v>89</v>
      </c>
      <c r="C132" s="323"/>
      <c r="D132" s="24">
        <v>1</v>
      </c>
      <c r="E132" s="62">
        <v>2.5</v>
      </c>
      <c r="F132" s="63">
        <f t="shared" si="7"/>
        <v>68.871566699459478</v>
      </c>
      <c r="G132" s="374"/>
      <c r="H132" s="65">
        <f t="shared" si="8"/>
        <v>477.56726169188806</v>
      </c>
      <c r="I132" s="65">
        <f t="shared" si="8"/>
        <v>993.33990431912719</v>
      </c>
      <c r="J132" s="65">
        <f t="shared" si="8"/>
        <v>688.71566699459481</v>
      </c>
      <c r="K132" s="372"/>
      <c r="M132" s="379"/>
      <c r="O132" s="29"/>
    </row>
    <row r="133" spans="2:17" x14ac:dyDescent="0.25">
      <c r="B133" s="321" t="s">
        <v>90</v>
      </c>
      <c r="C133" s="323"/>
      <c r="D133" s="24">
        <v>1</v>
      </c>
      <c r="E133" s="62">
        <v>8</v>
      </c>
      <c r="F133" s="63">
        <f t="shared" si="7"/>
        <v>68.871566699459478</v>
      </c>
      <c r="G133" s="374"/>
      <c r="H133" s="65">
        <f t="shared" si="8"/>
        <v>1018.8101582760278</v>
      </c>
      <c r="I133" s="65">
        <f t="shared" si="8"/>
        <v>1059.5625646070689</v>
      </c>
      <c r="J133" s="65">
        <f t="shared" si="8"/>
        <v>0</v>
      </c>
      <c r="K133" s="372"/>
      <c r="M133" s="379"/>
      <c r="O133" s="29"/>
    </row>
    <row r="134" spans="2:17" x14ac:dyDescent="0.25">
      <c r="B134" s="321" t="s">
        <v>91</v>
      </c>
      <c r="C134" s="323"/>
      <c r="D134" s="24">
        <v>1</v>
      </c>
      <c r="E134" s="62">
        <v>1</v>
      </c>
      <c r="F134" s="63">
        <f t="shared" si="7"/>
        <v>68.871566699459478</v>
      </c>
      <c r="G134" s="375"/>
      <c r="H134" s="65">
        <f t="shared" si="8"/>
        <v>700.43198381476907</v>
      </c>
      <c r="I134" s="65">
        <f t="shared" si="8"/>
        <v>728.44926316735985</v>
      </c>
      <c r="J134" s="65">
        <f t="shared" si="8"/>
        <v>1859.5323008854059</v>
      </c>
      <c r="K134" s="372"/>
      <c r="M134" s="379"/>
      <c r="O134" s="29"/>
    </row>
    <row r="135" spans="2:17" x14ac:dyDescent="0.25">
      <c r="B135" s="321"/>
      <c r="C135" s="323"/>
      <c r="D135" s="24"/>
      <c r="E135" s="62"/>
      <c r="F135" s="64"/>
      <c r="G135" s="64"/>
      <c r="H135" s="65"/>
      <c r="I135" s="65"/>
      <c r="J135" s="65"/>
      <c r="K135" s="372"/>
      <c r="M135" s="379"/>
      <c r="O135" s="29"/>
    </row>
    <row r="136" spans="2:17" ht="15" customHeight="1" x14ac:dyDescent="0.25">
      <c r="B136" s="321" t="s">
        <v>65</v>
      </c>
      <c r="C136" s="323"/>
      <c r="D136" s="327" t="s">
        <v>97</v>
      </c>
      <c r="E136" s="328"/>
      <c r="F136" s="328"/>
      <c r="G136" s="328"/>
      <c r="H136" s="328"/>
      <c r="I136" s="328"/>
      <c r="J136" s="329"/>
      <c r="K136" s="372"/>
      <c r="M136" s="379"/>
      <c r="O136" s="29"/>
    </row>
    <row r="137" spans="2:17" x14ac:dyDescent="0.25">
      <c r="B137" s="321"/>
      <c r="C137" s="323"/>
      <c r="D137" s="24"/>
      <c r="E137" s="62"/>
      <c r="F137" s="64"/>
      <c r="G137" s="64"/>
      <c r="H137" s="65"/>
      <c r="I137" s="65"/>
      <c r="J137" s="65"/>
      <c r="K137" s="372"/>
      <c r="M137" s="379"/>
      <c r="O137" s="29"/>
    </row>
    <row r="138" spans="2:17" x14ac:dyDescent="0.25">
      <c r="B138" s="321" t="s">
        <v>75</v>
      </c>
      <c r="C138" s="323"/>
      <c r="D138" s="24">
        <v>1</v>
      </c>
      <c r="E138" s="62">
        <v>1</v>
      </c>
      <c r="F138" s="63">
        <f>+$H$112</f>
        <v>68.871566699459478</v>
      </c>
      <c r="G138" s="373" t="s">
        <v>176</v>
      </c>
      <c r="H138" s="65">
        <f t="shared" ref="H138:J139" si="9">+H$121*$E138*H68</f>
        <v>7959.4543615314669</v>
      </c>
      <c r="I138" s="65">
        <f t="shared" si="9"/>
        <v>9006.2817991600859</v>
      </c>
      <c r="J138" s="65">
        <f t="shared" si="9"/>
        <v>12947.854539498381</v>
      </c>
      <c r="K138" s="372"/>
      <c r="M138" s="379"/>
      <c r="O138" s="29"/>
    </row>
    <row r="139" spans="2:17" x14ac:dyDescent="0.25">
      <c r="B139" s="321" t="s">
        <v>76</v>
      </c>
      <c r="C139" s="323"/>
      <c r="D139" s="24">
        <v>1</v>
      </c>
      <c r="E139" s="62">
        <v>1</v>
      </c>
      <c r="F139" s="63">
        <f>+$H$112</f>
        <v>68.871566699459478</v>
      </c>
      <c r="G139" s="375"/>
      <c r="H139" s="65">
        <f t="shared" si="9"/>
        <v>2483.3497607978179</v>
      </c>
      <c r="I139" s="65">
        <f t="shared" si="9"/>
        <v>4569.3635598679848</v>
      </c>
      <c r="J139" s="65">
        <f t="shared" si="9"/>
        <v>4063.4224352681094</v>
      </c>
      <c r="K139" s="371"/>
      <c r="M139" s="380"/>
      <c r="O139" s="29"/>
    </row>
    <row r="140" spans="2:17" ht="13.5" thickBot="1" x14ac:dyDescent="0.3">
      <c r="E140" s="66"/>
      <c r="H140" s="53">
        <f>SUM(H123:H139)</f>
        <v>80390.489051467812</v>
      </c>
      <c r="I140" s="53">
        <f>SUM(I123:I139)</f>
        <v>108439.60622150473</v>
      </c>
      <c r="J140" s="53">
        <f>SUM(J123:J139)</f>
        <v>106544.3136840638</v>
      </c>
      <c r="O140" s="28"/>
      <c r="P140" s="28"/>
      <c r="Q140" s="28"/>
    </row>
    <row r="141" spans="2:17" x14ac:dyDescent="0.25">
      <c r="E141" s="66"/>
    </row>
    <row r="142" spans="2:17" ht="15.75" x14ac:dyDescent="0.25">
      <c r="B142" s="33" t="s">
        <v>92</v>
      </c>
      <c r="C142" s="34"/>
      <c r="D142" s="34"/>
      <c r="E142" s="34"/>
      <c r="F142" s="34"/>
      <c r="G142" s="35"/>
      <c r="H142" s="35"/>
      <c r="I142" s="35"/>
      <c r="J142" s="35"/>
      <c r="K142" s="34"/>
      <c r="M142" s="36"/>
    </row>
    <row r="144" spans="2:17" x14ac:dyDescent="0.25">
      <c r="B144" s="56" t="s">
        <v>50</v>
      </c>
      <c r="C144" s="308" t="s">
        <v>3</v>
      </c>
      <c r="D144" s="309"/>
      <c r="E144" s="310"/>
      <c r="F144" s="56" t="s">
        <v>5</v>
      </c>
      <c r="G144" s="38" t="s">
        <v>37</v>
      </c>
      <c r="H144" s="38" t="s">
        <v>38</v>
      </c>
      <c r="I144" s="38" t="s">
        <v>39</v>
      </c>
      <c r="J144" s="38" t="s">
        <v>40</v>
      </c>
      <c r="K144" s="57" t="s">
        <v>41</v>
      </c>
      <c r="M144" s="41" t="s">
        <v>5</v>
      </c>
    </row>
    <row r="145" spans="2:13" x14ac:dyDescent="0.25">
      <c r="B145" s="22" t="s">
        <v>33</v>
      </c>
      <c r="C145" s="366" t="s">
        <v>34</v>
      </c>
      <c r="D145" s="367"/>
      <c r="E145" s="368"/>
      <c r="F145" s="22" t="s">
        <v>50</v>
      </c>
      <c r="G145" s="370" t="s">
        <v>36</v>
      </c>
      <c r="H145" s="23">
        <v>621.7384284447304</v>
      </c>
      <c r="I145" s="23">
        <v>971.67236258851335</v>
      </c>
      <c r="J145" s="23">
        <v>90.712066744303272</v>
      </c>
      <c r="K145" s="373"/>
      <c r="M145" s="300" t="s">
        <v>101</v>
      </c>
    </row>
    <row r="146" spans="2:13" x14ac:dyDescent="0.25">
      <c r="B146" s="22" t="s">
        <v>35</v>
      </c>
      <c r="C146" s="366" t="s">
        <v>34</v>
      </c>
      <c r="D146" s="367"/>
      <c r="E146" s="368"/>
      <c r="F146" s="22" t="s">
        <v>50</v>
      </c>
      <c r="G146" s="372"/>
      <c r="H146" s="23">
        <v>1998.8393390178337</v>
      </c>
      <c r="I146" s="23">
        <v>2665.997171922163</v>
      </c>
      <c r="J146" s="23">
        <v>1736.935728650813</v>
      </c>
      <c r="K146" s="374"/>
      <c r="M146" s="302"/>
    </row>
    <row r="147" spans="2:13" x14ac:dyDescent="0.25">
      <c r="B147" s="22"/>
      <c r="C147" s="321" t="s">
        <v>80</v>
      </c>
      <c r="D147" s="322"/>
      <c r="E147" s="323"/>
      <c r="F147" s="22" t="s">
        <v>93</v>
      </c>
      <c r="G147" s="372"/>
      <c r="H147" s="25">
        <f t="shared" ref="H147:J158" si="10">+$E123*H48</f>
        <v>56</v>
      </c>
      <c r="I147" s="25">
        <f t="shared" si="10"/>
        <v>63</v>
      </c>
      <c r="J147" s="25">
        <f t="shared" si="10"/>
        <v>67</v>
      </c>
      <c r="K147" s="374"/>
      <c r="M147" s="300" t="s">
        <v>133</v>
      </c>
    </row>
    <row r="148" spans="2:13" x14ac:dyDescent="0.25">
      <c r="B148" s="22"/>
      <c r="C148" s="321" t="s">
        <v>81</v>
      </c>
      <c r="D148" s="322"/>
      <c r="E148" s="323"/>
      <c r="F148" s="22" t="s">
        <v>93</v>
      </c>
      <c r="G148" s="372"/>
      <c r="H148" s="25">
        <f t="shared" si="10"/>
        <v>80</v>
      </c>
      <c r="I148" s="25">
        <f t="shared" si="10"/>
        <v>137.5</v>
      </c>
      <c r="J148" s="25">
        <f t="shared" si="10"/>
        <v>112.5</v>
      </c>
      <c r="K148" s="374"/>
      <c r="M148" s="301"/>
    </row>
    <row r="149" spans="2:13" x14ac:dyDescent="0.25">
      <c r="B149" s="22"/>
      <c r="C149" s="321" t="s">
        <v>82</v>
      </c>
      <c r="D149" s="322"/>
      <c r="E149" s="323"/>
      <c r="F149" s="22" t="s">
        <v>93</v>
      </c>
      <c r="G149" s="372"/>
      <c r="H149" s="25">
        <f t="shared" si="10"/>
        <v>435</v>
      </c>
      <c r="I149" s="25">
        <f t="shared" si="10"/>
        <v>535</v>
      </c>
      <c r="J149" s="25">
        <f t="shared" si="10"/>
        <v>495</v>
      </c>
      <c r="K149" s="374"/>
      <c r="M149" s="301"/>
    </row>
    <row r="150" spans="2:13" x14ac:dyDescent="0.25">
      <c r="B150" s="22"/>
      <c r="C150" s="321" t="s">
        <v>83</v>
      </c>
      <c r="D150" s="322"/>
      <c r="E150" s="323"/>
      <c r="F150" s="22" t="s">
        <v>93</v>
      </c>
      <c r="G150" s="372"/>
      <c r="H150" s="25">
        <f t="shared" si="10"/>
        <v>472</v>
      </c>
      <c r="I150" s="25">
        <f t="shared" si="10"/>
        <v>624</v>
      </c>
      <c r="J150" s="25">
        <f t="shared" si="10"/>
        <v>552</v>
      </c>
      <c r="K150" s="374"/>
      <c r="M150" s="301"/>
    </row>
    <row r="151" spans="2:13" x14ac:dyDescent="0.25">
      <c r="B151" s="22"/>
      <c r="C151" s="321" t="s">
        <v>84</v>
      </c>
      <c r="D151" s="322"/>
      <c r="E151" s="323"/>
      <c r="F151" s="22" t="s">
        <v>93</v>
      </c>
      <c r="G151" s="372"/>
      <c r="H151" s="25">
        <f t="shared" si="10"/>
        <v>0</v>
      </c>
      <c r="I151" s="25">
        <f t="shared" si="10"/>
        <v>0</v>
      </c>
      <c r="J151" s="25">
        <f t="shared" si="10"/>
        <v>17</v>
      </c>
      <c r="K151" s="374"/>
      <c r="M151" s="301"/>
    </row>
    <row r="152" spans="2:13" x14ac:dyDescent="0.25">
      <c r="B152" s="22"/>
      <c r="C152" s="321" t="s">
        <v>85</v>
      </c>
      <c r="D152" s="322"/>
      <c r="E152" s="323"/>
      <c r="F152" s="22" t="s">
        <v>93</v>
      </c>
      <c r="G152" s="372"/>
      <c r="H152" s="25">
        <f t="shared" si="10"/>
        <v>0</v>
      </c>
      <c r="I152" s="25">
        <f t="shared" si="10"/>
        <v>0</v>
      </c>
      <c r="J152" s="25">
        <f t="shared" si="10"/>
        <v>7.5</v>
      </c>
      <c r="K152" s="374"/>
      <c r="M152" s="301"/>
    </row>
    <row r="153" spans="2:13" x14ac:dyDescent="0.25">
      <c r="B153" s="22"/>
      <c r="C153" s="321" t="s">
        <v>86</v>
      </c>
      <c r="D153" s="322"/>
      <c r="E153" s="323"/>
      <c r="F153" s="22" t="s">
        <v>93</v>
      </c>
      <c r="G153" s="372"/>
      <c r="H153" s="25">
        <f t="shared" si="10"/>
        <v>0</v>
      </c>
      <c r="I153" s="25">
        <f t="shared" si="10"/>
        <v>0</v>
      </c>
      <c r="J153" s="25">
        <f t="shared" si="10"/>
        <v>5</v>
      </c>
      <c r="K153" s="374"/>
      <c r="M153" s="301"/>
    </row>
    <row r="154" spans="2:13" x14ac:dyDescent="0.25">
      <c r="B154" s="22"/>
      <c r="C154" s="321" t="s">
        <v>87</v>
      </c>
      <c r="D154" s="322"/>
      <c r="E154" s="323"/>
      <c r="F154" s="22" t="s">
        <v>93</v>
      </c>
      <c r="G154" s="372"/>
      <c r="H154" s="25">
        <f t="shared" si="10"/>
        <v>0</v>
      </c>
      <c r="I154" s="25">
        <f t="shared" si="10"/>
        <v>0</v>
      </c>
      <c r="J154" s="25">
        <f t="shared" si="10"/>
        <v>0</v>
      </c>
      <c r="K154" s="374"/>
      <c r="M154" s="301"/>
    </row>
    <row r="155" spans="2:13" x14ac:dyDescent="0.25">
      <c r="B155" s="22"/>
      <c r="C155" s="321" t="s">
        <v>88</v>
      </c>
      <c r="D155" s="322"/>
      <c r="E155" s="323"/>
      <c r="F155" s="22" t="s">
        <v>93</v>
      </c>
      <c r="G155" s="372"/>
      <c r="H155" s="25">
        <f t="shared" si="10"/>
        <v>21</v>
      </c>
      <c r="I155" s="25">
        <f t="shared" si="10"/>
        <v>31</v>
      </c>
      <c r="J155" s="25">
        <f t="shared" si="10"/>
        <v>7</v>
      </c>
      <c r="K155" s="374"/>
      <c r="M155" s="301"/>
    </row>
    <row r="156" spans="2:13" x14ac:dyDescent="0.25">
      <c r="B156" s="22"/>
      <c r="C156" s="321" t="s">
        <v>89</v>
      </c>
      <c r="D156" s="322"/>
      <c r="E156" s="323"/>
      <c r="F156" s="22" t="s">
        <v>93</v>
      </c>
      <c r="G156" s="372"/>
      <c r="H156" s="25">
        <f t="shared" si="10"/>
        <v>7.5</v>
      </c>
      <c r="I156" s="25">
        <f t="shared" si="10"/>
        <v>15</v>
      </c>
      <c r="J156" s="25">
        <f t="shared" si="10"/>
        <v>10</v>
      </c>
      <c r="K156" s="374"/>
      <c r="M156" s="301"/>
    </row>
    <row r="157" spans="2:13" x14ac:dyDescent="0.25">
      <c r="B157" s="22"/>
      <c r="C157" s="321" t="s">
        <v>90</v>
      </c>
      <c r="D157" s="322"/>
      <c r="E157" s="323"/>
      <c r="F157" s="22" t="s">
        <v>93</v>
      </c>
      <c r="G157" s="372"/>
      <c r="H157" s="25">
        <f t="shared" si="10"/>
        <v>16</v>
      </c>
      <c r="I157" s="25">
        <f t="shared" si="10"/>
        <v>16</v>
      </c>
      <c r="J157" s="25">
        <f t="shared" si="10"/>
        <v>0</v>
      </c>
      <c r="K157" s="374"/>
      <c r="M157" s="301"/>
    </row>
    <row r="158" spans="2:13" x14ac:dyDescent="0.25">
      <c r="B158" s="22"/>
      <c r="C158" s="321" t="s">
        <v>91</v>
      </c>
      <c r="D158" s="322"/>
      <c r="E158" s="323"/>
      <c r="F158" s="22" t="s">
        <v>93</v>
      </c>
      <c r="G158" s="372"/>
      <c r="H158" s="25">
        <f t="shared" si="10"/>
        <v>11</v>
      </c>
      <c r="I158" s="25">
        <f t="shared" si="10"/>
        <v>11</v>
      </c>
      <c r="J158" s="25">
        <f t="shared" si="10"/>
        <v>27</v>
      </c>
      <c r="K158" s="374"/>
      <c r="M158" s="301"/>
    </row>
    <row r="159" spans="2:13" x14ac:dyDescent="0.25">
      <c r="B159" s="22"/>
      <c r="C159" s="321" t="s">
        <v>75</v>
      </c>
      <c r="D159" s="322"/>
      <c r="E159" s="323"/>
      <c r="F159" s="22" t="s">
        <v>93</v>
      </c>
      <c r="G159" s="372"/>
      <c r="H159" s="25">
        <f t="shared" ref="H159:J160" si="11">+$E138*H68</f>
        <v>125</v>
      </c>
      <c r="I159" s="25">
        <f t="shared" si="11"/>
        <v>136</v>
      </c>
      <c r="J159" s="25">
        <f t="shared" si="11"/>
        <v>188</v>
      </c>
      <c r="K159" s="374"/>
      <c r="M159" s="301"/>
    </row>
    <row r="160" spans="2:13" x14ac:dyDescent="0.25">
      <c r="B160" s="22"/>
      <c r="C160" s="321" t="s">
        <v>76</v>
      </c>
      <c r="D160" s="322"/>
      <c r="E160" s="323"/>
      <c r="F160" s="22" t="s">
        <v>93</v>
      </c>
      <c r="G160" s="371"/>
      <c r="H160" s="25">
        <f t="shared" si="11"/>
        <v>39</v>
      </c>
      <c r="I160" s="25">
        <f t="shared" si="11"/>
        <v>69</v>
      </c>
      <c r="J160" s="25">
        <f t="shared" si="11"/>
        <v>59</v>
      </c>
      <c r="K160" s="375"/>
      <c r="M160" s="302"/>
    </row>
    <row r="161" spans="2:14" ht="13.5" thickBot="1" x14ac:dyDescent="0.3">
      <c r="B161" s="58"/>
      <c r="C161" s="58"/>
      <c r="D161" s="58"/>
      <c r="E161" s="58"/>
      <c r="F161" s="58"/>
      <c r="G161" s="100"/>
      <c r="H161" s="67">
        <f>SUM(H145:H160)</f>
        <v>3883.0777674625642</v>
      </c>
      <c r="I161" s="67">
        <f>SUM(I145:I160)</f>
        <v>5275.1695345106764</v>
      </c>
      <c r="J161" s="67">
        <f>SUM(J145:J160)</f>
        <v>3374.6477953951162</v>
      </c>
      <c r="K161" s="100"/>
    </row>
    <row r="162" spans="2:14" x14ac:dyDescent="0.25">
      <c r="E162" s="66"/>
    </row>
    <row r="163" spans="2:14" ht="15.75" x14ac:dyDescent="0.25">
      <c r="B163" s="33" t="s">
        <v>129</v>
      </c>
      <c r="C163" s="34"/>
      <c r="D163" s="34"/>
      <c r="E163" s="34"/>
      <c r="F163" s="34"/>
      <c r="G163" s="35"/>
      <c r="H163" s="35"/>
      <c r="I163" s="35"/>
      <c r="J163" s="35"/>
      <c r="K163" s="34"/>
      <c r="M163" s="36"/>
    </row>
    <row r="164" spans="2:14" x14ac:dyDescent="0.25">
      <c r="E164" s="66"/>
    </row>
    <row r="165" spans="2:14" x14ac:dyDescent="0.25">
      <c r="B165" s="315"/>
      <c r="C165" s="316"/>
      <c r="D165" s="316"/>
      <c r="E165" s="316"/>
      <c r="F165" s="316"/>
      <c r="G165" s="317"/>
      <c r="H165" s="38" t="s">
        <v>38</v>
      </c>
      <c r="I165" s="38" t="s">
        <v>39</v>
      </c>
      <c r="J165" s="38" t="s">
        <v>40</v>
      </c>
      <c r="K165" s="57" t="s">
        <v>41</v>
      </c>
      <c r="M165" s="41" t="s">
        <v>5</v>
      </c>
    </row>
    <row r="166" spans="2:14" x14ac:dyDescent="0.25">
      <c r="B166" s="311" t="s">
        <v>96</v>
      </c>
      <c r="C166" s="312"/>
      <c r="D166" s="312"/>
      <c r="E166" s="312"/>
      <c r="F166" s="312"/>
      <c r="G166" s="313"/>
      <c r="H166" s="46">
        <f>+H140+H43</f>
        <v>267724.52546585578</v>
      </c>
      <c r="I166" s="48">
        <f>+I140+I43</f>
        <v>350361.47383296979</v>
      </c>
      <c r="J166" s="68">
        <f>+J140+J43</f>
        <v>236794.04067289984</v>
      </c>
      <c r="K166" s="179"/>
      <c r="M166" s="300" t="s">
        <v>178</v>
      </c>
    </row>
    <row r="167" spans="2:14" x14ac:dyDescent="0.25">
      <c r="B167" s="318" t="s">
        <v>92</v>
      </c>
      <c r="C167" s="319"/>
      <c r="D167" s="319"/>
      <c r="E167" s="319"/>
      <c r="F167" s="319"/>
      <c r="G167" s="320"/>
      <c r="H167" s="46">
        <f>+H161</f>
        <v>3883.0777674625642</v>
      </c>
      <c r="I167" s="48">
        <f>+I161</f>
        <v>5275.1695345106764</v>
      </c>
      <c r="J167" s="68">
        <f>+J161</f>
        <v>3374.6477953951162</v>
      </c>
      <c r="K167" s="180"/>
      <c r="M167" s="301"/>
    </row>
    <row r="168" spans="2:14" x14ac:dyDescent="0.25">
      <c r="B168" s="321" t="s">
        <v>78</v>
      </c>
      <c r="C168" s="322"/>
      <c r="D168" s="322"/>
      <c r="E168" s="322"/>
      <c r="F168" s="322"/>
      <c r="G168" s="323"/>
      <c r="H168" s="69">
        <f>+H166/H167</f>
        <v>68.946475321508444</v>
      </c>
      <c r="I168" s="70">
        <f>+I166/I167</f>
        <v>66.417102150152843</v>
      </c>
      <c r="J168" s="71">
        <f>+J166/J167</f>
        <v>70.168519807020374</v>
      </c>
      <c r="K168" s="181"/>
      <c r="M168" s="301"/>
      <c r="N168" s="78"/>
    </row>
    <row r="169" spans="2:14" x14ac:dyDescent="0.25">
      <c r="B169" s="311" t="s">
        <v>128</v>
      </c>
      <c r="C169" s="312"/>
      <c r="D169" s="312"/>
      <c r="E169" s="312"/>
      <c r="F169" s="312"/>
      <c r="G169" s="313"/>
      <c r="H169" s="72">
        <f>+H117</f>
        <v>0.04</v>
      </c>
      <c r="I169" s="73">
        <f>+I117</f>
        <v>0.04</v>
      </c>
      <c r="J169" s="74">
        <f>+J117</f>
        <v>0</v>
      </c>
      <c r="K169" s="180"/>
      <c r="M169" s="301"/>
    </row>
    <row r="170" spans="2:14" x14ac:dyDescent="0.25">
      <c r="B170" s="324" t="s">
        <v>104</v>
      </c>
      <c r="C170" s="325"/>
      <c r="D170" s="325"/>
      <c r="E170" s="325"/>
      <c r="F170" s="325"/>
      <c r="G170" s="326"/>
      <c r="H170" s="75">
        <f>+H168*(1+H169)*(1+I169)</f>
        <v>74.57250770774354</v>
      </c>
      <c r="I170" s="76">
        <f>+I168*(1+I169)</f>
        <v>69.073786236158952</v>
      </c>
      <c r="J170" s="77">
        <f>+J168</f>
        <v>70.168519807020374</v>
      </c>
      <c r="K170" s="182"/>
      <c r="M170" s="301"/>
    </row>
    <row r="171" spans="2:14" x14ac:dyDescent="0.25">
      <c r="E171" s="66"/>
      <c r="H171" s="78"/>
      <c r="I171" s="78"/>
      <c r="J171" s="78"/>
      <c r="M171" s="301"/>
    </row>
    <row r="172" spans="2:14" x14ac:dyDescent="0.25">
      <c r="E172" s="66"/>
      <c r="G172" s="314" t="s">
        <v>179</v>
      </c>
      <c r="H172" s="314"/>
      <c r="I172" s="314"/>
      <c r="J172" s="189">
        <f>AVERAGE(H170:J170)</f>
        <v>71.271604583640951</v>
      </c>
      <c r="K172" s="78"/>
      <c r="M172" s="301"/>
    </row>
    <row r="173" spans="2:14" x14ac:dyDescent="0.25">
      <c r="E173" s="66"/>
      <c r="H173" s="78"/>
      <c r="I173" s="78"/>
      <c r="J173" s="78"/>
      <c r="M173" s="301"/>
    </row>
    <row r="174" spans="2:14" x14ac:dyDescent="0.25">
      <c r="E174" s="66"/>
      <c r="G174" s="314" t="s">
        <v>105</v>
      </c>
      <c r="H174" s="314"/>
      <c r="I174" s="314"/>
      <c r="J174" s="190">
        <f>+K194-1</f>
        <v>1.2648945446885498</v>
      </c>
      <c r="M174" s="301"/>
    </row>
    <row r="175" spans="2:14" x14ac:dyDescent="0.25">
      <c r="E175" s="66"/>
      <c r="H175" s="78"/>
      <c r="I175" s="78"/>
      <c r="J175" s="78"/>
      <c r="M175" s="301"/>
    </row>
    <row r="176" spans="2:14" x14ac:dyDescent="0.25">
      <c r="E176" s="66"/>
      <c r="G176" s="314" t="s">
        <v>106</v>
      </c>
      <c r="H176" s="314"/>
      <c r="I176" s="314"/>
      <c r="J176" s="189">
        <f>+J172+(J174*J172)</f>
        <v>161.42266841268781</v>
      </c>
      <c r="M176" s="302"/>
    </row>
    <row r="177" spans="2:13" x14ac:dyDescent="0.25">
      <c r="E177" s="66"/>
      <c r="H177" s="78"/>
      <c r="I177" s="78"/>
      <c r="J177" s="78"/>
    </row>
    <row r="178" spans="2:13" ht="15.75" x14ac:dyDescent="0.25">
      <c r="B178" s="33" t="s">
        <v>130</v>
      </c>
      <c r="C178" s="34"/>
      <c r="D178" s="34"/>
      <c r="E178" s="34"/>
      <c r="F178" s="34"/>
      <c r="G178" s="35"/>
      <c r="H178" s="35"/>
      <c r="I178" s="35"/>
      <c r="J178" s="35"/>
      <c r="K178" s="34"/>
      <c r="M178" s="36"/>
    </row>
    <row r="179" spans="2:13" x14ac:dyDescent="0.25">
      <c r="E179" s="66"/>
    </row>
    <row r="180" spans="2:13" x14ac:dyDescent="0.25">
      <c r="B180" s="183"/>
      <c r="C180" s="184"/>
      <c r="D180" s="184"/>
      <c r="E180" s="184"/>
      <c r="F180" s="38" t="s">
        <v>41</v>
      </c>
      <c r="G180" s="38" t="s">
        <v>42</v>
      </c>
      <c r="H180" s="38" t="s">
        <v>43</v>
      </c>
      <c r="I180" s="38" t="s">
        <v>44</v>
      </c>
      <c r="J180" s="38" t="s">
        <v>45</v>
      </c>
      <c r="K180" s="38" t="s">
        <v>46</v>
      </c>
      <c r="M180" s="41" t="s">
        <v>5</v>
      </c>
    </row>
    <row r="181" spans="2:13" x14ac:dyDescent="0.25">
      <c r="F181" s="29"/>
      <c r="H181" s="78"/>
      <c r="I181" s="78"/>
      <c r="J181" s="78"/>
      <c r="M181" s="363" t="s">
        <v>180</v>
      </c>
    </row>
    <row r="182" spans="2:13" x14ac:dyDescent="0.25">
      <c r="B182" s="27" t="s">
        <v>116</v>
      </c>
      <c r="F182" s="79">
        <f>G182/1.025</f>
        <v>74.346753383593992</v>
      </c>
      <c r="G182" s="79">
        <f>$J172*G201</f>
        <v>76.205422218183841</v>
      </c>
      <c r="H182" s="79">
        <f>$J172*H201</f>
        <v>79.530243444331376</v>
      </c>
      <c r="I182" s="79">
        <f>$J172*I201</f>
        <v>82.222954516184714</v>
      </c>
      <c r="J182" s="79">
        <f>$J172*J201</f>
        <v>85.119517745490143</v>
      </c>
      <c r="K182" s="79">
        <f>$J172*K201</f>
        <v>88.050723140702686</v>
      </c>
      <c r="M182" s="364"/>
    </row>
    <row r="183" spans="2:13" x14ac:dyDescent="0.25">
      <c r="B183" s="27" t="s">
        <v>117</v>
      </c>
      <c r="F183" s="79"/>
      <c r="G183" s="79">
        <f>$J176*G201</f>
        <v>172.59724505765215</v>
      </c>
      <c r="H183" s="79">
        <f>$J176*H201</f>
        <v>180.12761451481842</v>
      </c>
      <c r="I183" s="79">
        <f>$J176*I201</f>
        <v>186.22632113188152</v>
      </c>
      <c r="J183" s="79">
        <f>$J176*J201</f>
        <v>192.7867313882808</v>
      </c>
      <c r="K183" s="79">
        <f>$J176*K201</f>
        <v>199.42560249725935</v>
      </c>
      <c r="M183" s="364"/>
    </row>
    <row r="184" spans="2:13" x14ac:dyDescent="0.25">
      <c r="F184" s="79"/>
      <c r="G184" s="79"/>
      <c r="H184" s="79"/>
      <c r="I184" s="79"/>
      <c r="J184" s="79"/>
      <c r="K184" s="79"/>
      <c r="M184" s="364"/>
    </row>
    <row r="185" spans="2:13" x14ac:dyDescent="0.25">
      <c r="B185" s="185" t="s">
        <v>131</v>
      </c>
      <c r="C185" s="185"/>
      <c r="D185" s="185"/>
      <c r="E185" s="185"/>
      <c r="F185" s="186"/>
      <c r="G185" s="186"/>
      <c r="H185" s="186">
        <f t="shared" ref="H185:K185" si="12">(H183-G183)/G183</f>
        <v>4.3629719898778951E-2</v>
      </c>
      <c r="I185" s="186">
        <f t="shared" si="12"/>
        <v>3.3857699351041944E-2</v>
      </c>
      <c r="J185" s="186">
        <f t="shared" si="12"/>
        <v>3.5228157956003099E-2</v>
      </c>
      <c r="K185" s="187">
        <f t="shared" si="12"/>
        <v>3.4436348711196184E-2</v>
      </c>
      <c r="M185" s="365"/>
    </row>
    <row r="186" spans="2:13" x14ac:dyDescent="0.25">
      <c r="E186" s="66"/>
      <c r="H186" s="78"/>
      <c r="I186" s="78"/>
      <c r="J186" s="78"/>
    </row>
    <row r="187" spans="2:13" ht="15.75" x14ac:dyDescent="0.25">
      <c r="B187" s="33" t="s">
        <v>103</v>
      </c>
      <c r="C187" s="34"/>
      <c r="D187" s="34"/>
      <c r="E187" s="34"/>
      <c r="F187" s="34"/>
      <c r="G187" s="35"/>
      <c r="H187" s="35"/>
      <c r="I187" s="35"/>
      <c r="J187" s="35"/>
      <c r="K187" s="34"/>
      <c r="M187" s="36"/>
    </row>
    <row r="189" spans="2:13" x14ac:dyDescent="0.25">
      <c r="B189" s="348" t="s">
        <v>47</v>
      </c>
      <c r="C189" s="349"/>
      <c r="D189" s="349"/>
      <c r="E189" s="350"/>
      <c r="F189" s="178"/>
      <c r="G189" s="178" t="s">
        <v>42</v>
      </c>
      <c r="H189" s="178" t="s">
        <v>43</v>
      </c>
      <c r="I189" s="178" t="s">
        <v>44</v>
      </c>
      <c r="J189" s="178" t="s">
        <v>45</v>
      </c>
      <c r="K189" s="60" t="s">
        <v>46</v>
      </c>
      <c r="M189" s="41" t="s">
        <v>5</v>
      </c>
    </row>
    <row r="190" spans="2:13" x14ac:dyDescent="0.25">
      <c r="B190" s="351" t="s">
        <v>171</v>
      </c>
      <c r="C190" s="352"/>
      <c r="D190" s="352"/>
      <c r="E190" s="353"/>
      <c r="F190" s="47"/>
      <c r="G190" s="68">
        <v>18449161.14072692</v>
      </c>
      <c r="H190" s="68">
        <v>19652616.51053571</v>
      </c>
      <c r="I190" s="68">
        <v>20750302.453561164</v>
      </c>
      <c r="J190" s="68">
        <v>21950966.582370307</v>
      </c>
      <c r="K190" s="47">
        <v>23217206.584968176</v>
      </c>
      <c r="M190" s="300" t="s">
        <v>181</v>
      </c>
    </row>
    <row r="191" spans="2:13" x14ac:dyDescent="0.25">
      <c r="B191" s="354" t="s">
        <v>172</v>
      </c>
      <c r="C191" s="355"/>
      <c r="D191" s="355"/>
      <c r="E191" s="356"/>
      <c r="F191" s="47"/>
      <c r="G191" s="68">
        <v>40098372.700329572</v>
      </c>
      <c r="H191" s="68">
        <v>44414981.708611391</v>
      </c>
      <c r="I191" s="68">
        <v>47124811.758132517</v>
      </c>
      <c r="J191" s="68">
        <v>50429626.415997855</v>
      </c>
      <c r="K191" s="47">
        <v>53924251.70079805</v>
      </c>
      <c r="M191" s="301"/>
    </row>
    <row r="192" spans="2:13" x14ac:dyDescent="0.25">
      <c r="B192" s="357" t="s">
        <v>47</v>
      </c>
      <c r="C192" s="358"/>
      <c r="D192" s="358"/>
      <c r="E192" s="359"/>
      <c r="F192" s="94"/>
      <c r="G192" s="94">
        <f t="shared" ref="G192:K192" si="13">+G191/G190</f>
        <v>2.1734523534412387</v>
      </c>
      <c r="H192" s="94">
        <f t="shared" si="13"/>
        <v>2.2600034801880273</v>
      </c>
      <c r="I192" s="94">
        <f t="shared" si="13"/>
        <v>2.2710421625707418</v>
      </c>
      <c r="J192" s="94">
        <f t="shared" si="13"/>
        <v>2.2973761190315822</v>
      </c>
      <c r="K192" s="255">
        <f t="shared" si="13"/>
        <v>2.3225986082111594</v>
      </c>
      <c r="M192" s="301"/>
    </row>
    <row r="193" spans="2:13" x14ac:dyDescent="0.25">
      <c r="F193" s="29"/>
      <c r="K193" s="29"/>
      <c r="M193" s="301"/>
    </row>
    <row r="194" spans="2:13" x14ac:dyDescent="0.25">
      <c r="F194" s="342" t="s">
        <v>188</v>
      </c>
      <c r="G194" s="343"/>
      <c r="H194" s="343"/>
      <c r="I194" s="343"/>
      <c r="J194" s="344"/>
      <c r="K194" s="254">
        <f>AVERAGE(G192:K192)</f>
        <v>2.2648945446885498</v>
      </c>
      <c r="M194" s="302"/>
    </row>
    <row r="195" spans="2:13" x14ac:dyDescent="0.25">
      <c r="G195" s="27"/>
      <c r="H195" s="27"/>
      <c r="I195" s="27"/>
      <c r="J195" s="27"/>
      <c r="K195" s="188"/>
    </row>
    <row r="196" spans="2:13" ht="15.75" x14ac:dyDescent="0.25">
      <c r="B196" s="33" t="s">
        <v>195</v>
      </c>
      <c r="C196" s="34"/>
      <c r="D196" s="34"/>
      <c r="E196" s="34"/>
      <c r="F196" s="34"/>
      <c r="G196" s="35"/>
      <c r="H196" s="35"/>
      <c r="I196" s="35"/>
      <c r="J196" s="35"/>
      <c r="K196" s="34"/>
      <c r="M196" s="36"/>
    </row>
    <row r="198" spans="2:13" x14ac:dyDescent="0.2">
      <c r="B198" s="360" t="s">
        <v>196</v>
      </c>
      <c r="C198" s="361"/>
      <c r="D198" s="361"/>
      <c r="E198" s="362"/>
      <c r="F198" s="294"/>
      <c r="G198" s="178" t="s">
        <v>42</v>
      </c>
      <c r="H198" s="178" t="s">
        <v>43</v>
      </c>
      <c r="I198" s="178" t="s">
        <v>44</v>
      </c>
      <c r="J198" s="178" t="s">
        <v>45</v>
      </c>
      <c r="K198" s="60" t="s">
        <v>46</v>
      </c>
      <c r="M198" s="41" t="s">
        <v>5</v>
      </c>
    </row>
    <row r="199" spans="2:13" ht="12.75" customHeight="1" x14ac:dyDescent="0.2">
      <c r="B199" s="345" t="s">
        <v>177</v>
      </c>
      <c r="C199" s="346"/>
      <c r="D199" s="346"/>
      <c r="E199" s="347"/>
      <c r="F199" s="296"/>
      <c r="G199" s="26">
        <v>17254695.000010207</v>
      </c>
      <c r="H199" s="26">
        <v>17611834.848126188</v>
      </c>
      <c r="I199" s="26">
        <v>17986550.838063825</v>
      </c>
      <c r="J199" s="26">
        <v>18379810.552560411</v>
      </c>
      <c r="K199" s="256">
        <v>18792890.146016706</v>
      </c>
      <c r="M199" s="363" t="s">
        <v>194</v>
      </c>
    </row>
    <row r="200" spans="2:13" x14ac:dyDescent="0.2">
      <c r="B200" s="336" t="s">
        <v>197</v>
      </c>
      <c r="C200" s="337"/>
      <c r="D200" s="337"/>
      <c r="E200" s="338"/>
      <c r="F200" s="295"/>
      <c r="G200" s="26">
        <v>18449161.14072692</v>
      </c>
      <c r="H200" s="26">
        <v>19652616.51053571</v>
      </c>
      <c r="I200" s="26">
        <v>20750302.453561164</v>
      </c>
      <c r="J200" s="26">
        <v>21950966.582370307</v>
      </c>
      <c r="K200" s="256">
        <v>23217206.584968176</v>
      </c>
      <c r="M200" s="364"/>
    </row>
    <row r="201" spans="2:13" x14ac:dyDescent="0.2">
      <c r="B201" s="339" t="s">
        <v>198</v>
      </c>
      <c r="C201" s="340"/>
      <c r="D201" s="340"/>
      <c r="E201" s="341"/>
      <c r="F201" s="297"/>
      <c r="G201" s="94">
        <f t="shared" ref="G201:K201" si="14">+G200/G199</f>
        <v>1.0692255725595849</v>
      </c>
      <c r="H201" s="94">
        <f t="shared" si="14"/>
        <v>1.1158755847989712</v>
      </c>
      <c r="I201" s="94">
        <f t="shared" si="14"/>
        <v>1.1536565648622628</v>
      </c>
      <c r="J201" s="94">
        <f t="shared" si="14"/>
        <v>1.1942977605562106</v>
      </c>
      <c r="K201" s="255">
        <f t="shared" si="14"/>
        <v>1.2354250147037249</v>
      </c>
      <c r="M201" s="364"/>
    </row>
    <row r="202" spans="2:13" x14ac:dyDescent="0.25">
      <c r="F202" s="29"/>
      <c r="K202" s="29"/>
      <c r="M202" s="364"/>
    </row>
    <row r="203" spans="2:13" x14ac:dyDescent="0.25">
      <c r="F203" s="342" t="s">
        <v>48</v>
      </c>
      <c r="G203" s="343"/>
      <c r="H203" s="343"/>
      <c r="I203" s="343"/>
      <c r="J203" s="344"/>
      <c r="K203" s="254">
        <f>AVERAGE(G201:K201)</f>
        <v>1.1536960994961507</v>
      </c>
      <c r="M203" s="365"/>
    </row>
    <row r="204" spans="2:13" x14ac:dyDescent="0.25">
      <c r="K204" s="188"/>
      <c r="M204" s="299"/>
    </row>
    <row r="205" spans="2:13" x14ac:dyDescent="0.25">
      <c r="K205" s="103"/>
      <c r="M205" s="96"/>
    </row>
    <row r="206" spans="2:13" x14ac:dyDescent="0.25">
      <c r="M206" s="298"/>
    </row>
    <row r="207" spans="2:13" x14ac:dyDescent="0.25">
      <c r="M207" s="298"/>
    </row>
    <row r="208" spans="2:13" x14ac:dyDescent="0.25">
      <c r="M208" s="298"/>
    </row>
  </sheetData>
  <mergeCells count="126">
    <mergeCell ref="G41:G42"/>
    <mergeCell ref="G145:G160"/>
    <mergeCell ref="G123:G134"/>
    <mergeCell ref="G138:G139"/>
    <mergeCell ref="K145:K160"/>
    <mergeCell ref="K123:K139"/>
    <mergeCell ref="K41:K42"/>
    <mergeCell ref="M166:M176"/>
    <mergeCell ref="M181:M185"/>
    <mergeCell ref="M75:M112"/>
    <mergeCell ref="M48:M69"/>
    <mergeCell ref="E121:G121"/>
    <mergeCell ref="M123:M139"/>
    <mergeCell ref="C158:E158"/>
    <mergeCell ref="B129:C129"/>
    <mergeCell ref="B130:C130"/>
    <mergeCell ref="B131:C131"/>
    <mergeCell ref="B132:C132"/>
    <mergeCell ref="B133:C133"/>
    <mergeCell ref="B134:C134"/>
    <mergeCell ref="B136:C136"/>
    <mergeCell ref="B137:C137"/>
    <mergeCell ref="B138:C138"/>
    <mergeCell ref="B139:C139"/>
    <mergeCell ref="C156:E156"/>
    <mergeCell ref="C154:E154"/>
    <mergeCell ref="C155:E155"/>
    <mergeCell ref="C144:E144"/>
    <mergeCell ref="C40:F40"/>
    <mergeCell ref="C41:F41"/>
    <mergeCell ref="C42:F42"/>
    <mergeCell ref="B124:C124"/>
    <mergeCell ref="B125:C125"/>
    <mergeCell ref="B51:F51"/>
    <mergeCell ref="B54:F54"/>
    <mergeCell ref="B55:F55"/>
    <mergeCell ref="B56:F56"/>
    <mergeCell ref="B57:F57"/>
    <mergeCell ref="B65:F65"/>
    <mergeCell ref="B66:F66"/>
    <mergeCell ref="B68:F68"/>
    <mergeCell ref="B69:F69"/>
    <mergeCell ref="B50:F50"/>
    <mergeCell ref="B48:F48"/>
    <mergeCell ref="B49:F49"/>
    <mergeCell ref="M41:M42"/>
    <mergeCell ref="B135:C135"/>
    <mergeCell ref="M147:M160"/>
    <mergeCell ref="C145:E145"/>
    <mergeCell ref="C146:E146"/>
    <mergeCell ref="C147:E147"/>
    <mergeCell ref="C148:E148"/>
    <mergeCell ref="C149:E149"/>
    <mergeCell ref="C150:E150"/>
    <mergeCell ref="C157:E157"/>
    <mergeCell ref="M145:M146"/>
    <mergeCell ref="C159:E159"/>
    <mergeCell ref="C160:E160"/>
    <mergeCell ref="C151:E151"/>
    <mergeCell ref="C152:E152"/>
    <mergeCell ref="C153:E153"/>
    <mergeCell ref="B126:C126"/>
    <mergeCell ref="B127:C127"/>
    <mergeCell ref="B128:C128"/>
    <mergeCell ref="B123:C123"/>
    <mergeCell ref="B122:C122"/>
    <mergeCell ref="B52:F52"/>
    <mergeCell ref="B53:F53"/>
    <mergeCell ref="B47:F47"/>
    <mergeCell ref="B200:E200"/>
    <mergeCell ref="B201:E201"/>
    <mergeCell ref="F194:J194"/>
    <mergeCell ref="F203:J203"/>
    <mergeCell ref="M190:M194"/>
    <mergeCell ref="B199:E199"/>
    <mergeCell ref="B189:E189"/>
    <mergeCell ref="B190:E190"/>
    <mergeCell ref="B191:E191"/>
    <mergeCell ref="B192:E192"/>
    <mergeCell ref="B198:E198"/>
    <mergeCell ref="M199:M203"/>
    <mergeCell ref="B8:F8"/>
    <mergeCell ref="B9:F9"/>
    <mergeCell ref="B10:F10"/>
    <mergeCell ref="B11:F11"/>
    <mergeCell ref="G172:I172"/>
    <mergeCell ref="G176:I176"/>
    <mergeCell ref="B165:G165"/>
    <mergeCell ref="B166:G166"/>
    <mergeCell ref="B167:G167"/>
    <mergeCell ref="B168:G168"/>
    <mergeCell ref="B169:G169"/>
    <mergeCell ref="B170:G170"/>
    <mergeCell ref="G174:I174"/>
    <mergeCell ref="D136:J136"/>
    <mergeCell ref="B35:F35"/>
    <mergeCell ref="B36:F36"/>
    <mergeCell ref="B60:F60"/>
    <mergeCell ref="B67:F67"/>
    <mergeCell ref="B58:F58"/>
    <mergeCell ref="B59:F59"/>
    <mergeCell ref="B61:F61"/>
    <mergeCell ref="B62:F62"/>
    <mergeCell ref="B63:F63"/>
    <mergeCell ref="B64:F64"/>
    <mergeCell ref="M9:M31"/>
    <mergeCell ref="B27:F27"/>
    <mergeCell ref="B28:F28"/>
    <mergeCell ref="B29:F29"/>
    <mergeCell ref="B30:F30"/>
    <mergeCell ref="B31:F31"/>
    <mergeCell ref="B22:F22"/>
    <mergeCell ref="B23:F23"/>
    <mergeCell ref="B24:F24"/>
    <mergeCell ref="B25:F25"/>
    <mergeCell ref="B26:F26"/>
    <mergeCell ref="B17:F17"/>
    <mergeCell ref="B18:F18"/>
    <mergeCell ref="B19:F19"/>
    <mergeCell ref="B20:F20"/>
    <mergeCell ref="B21:F21"/>
    <mergeCell ref="B12:F12"/>
    <mergeCell ref="B13:F13"/>
    <mergeCell ref="B14:F14"/>
    <mergeCell ref="B15:F15"/>
    <mergeCell ref="B16:F16"/>
  </mergeCells>
  <pageMargins left="0.39370078740157483" right="0.39370078740157483" top="0.39370078740157483" bottom="0.39370078740157483" header="0.19685039370078741" footer="0.19685039370078741"/>
  <pageSetup paperSize="8" scale="70" fitToHeight="2" orientation="portrait" r:id="rId1"/>
  <headerFooter>
    <oddFooter>&amp;C&amp;F&amp;R&amp;A</oddFooter>
  </headerFooter>
  <rowBreaks count="1" manualBreakCount="1">
    <brk id="11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C45"/>
  <sheetViews>
    <sheetView showGridLines="0" zoomScaleNormal="100" workbookViewId="0"/>
  </sheetViews>
  <sheetFormatPr defaultColWidth="9.140625" defaultRowHeight="12.75" x14ac:dyDescent="0.25"/>
  <cols>
    <col min="1" max="1" width="2.85546875" style="136" customWidth="1"/>
    <col min="2" max="2" width="47.28515625" style="136" customWidth="1"/>
    <col min="3" max="7" width="10.28515625" style="136" customWidth="1"/>
    <col min="8" max="8" width="2.85546875" style="136" customWidth="1"/>
    <col min="9" max="12" width="11.5703125" style="137" customWidth="1"/>
    <col min="13" max="13" width="2.85546875" style="136" customWidth="1"/>
    <col min="14" max="17" width="11.5703125" style="136" customWidth="1"/>
    <col min="18" max="18" width="2.85546875" style="136" customWidth="1"/>
    <col min="19" max="19" width="11.5703125" style="146" customWidth="1"/>
    <col min="20" max="22" width="11.5703125" style="136" customWidth="1"/>
    <col min="23" max="23" width="2.85546875" style="136" customWidth="1"/>
    <col min="24" max="27" width="11.5703125" style="136" customWidth="1"/>
    <col min="28" max="28" width="2.85546875" style="136" customWidth="1"/>
    <col min="29" max="56" width="9.140625" style="136" customWidth="1"/>
    <col min="57" max="16384" width="9.140625" style="136"/>
  </cols>
  <sheetData>
    <row r="1" spans="2:29" ht="14.25" customHeight="1" x14ac:dyDescent="0.25"/>
    <row r="2" spans="2:29" ht="21" x14ac:dyDescent="0.25">
      <c r="B2" s="199" t="s">
        <v>99</v>
      </c>
      <c r="C2" s="200"/>
      <c r="D2" s="200"/>
      <c r="E2" s="200"/>
      <c r="F2" s="200"/>
      <c r="G2" s="200"/>
      <c r="H2" s="200"/>
    </row>
    <row r="3" spans="2:29" ht="21" x14ac:dyDescent="0.25">
      <c r="B3" s="199" t="s">
        <v>98</v>
      </c>
      <c r="C3" s="200"/>
      <c r="D3" s="200"/>
      <c r="E3" s="200"/>
      <c r="F3" s="200"/>
      <c r="G3" s="200"/>
      <c r="H3" s="200"/>
    </row>
    <row r="4" spans="2:29" ht="18.75" x14ac:dyDescent="0.25">
      <c r="B4" s="201" t="s">
        <v>140</v>
      </c>
      <c r="C4" s="202"/>
      <c r="D4" s="202"/>
      <c r="E4" s="202"/>
      <c r="F4" s="202"/>
      <c r="G4" s="202"/>
      <c r="H4" s="202"/>
    </row>
    <row r="5" spans="2:29" ht="14.25" customHeight="1" x14ac:dyDescent="0.25"/>
    <row r="6" spans="2:29" ht="42" customHeight="1" x14ac:dyDescent="0.25">
      <c r="B6" s="381" t="s">
        <v>189</v>
      </c>
      <c r="C6" s="382"/>
      <c r="D6" s="382"/>
      <c r="E6" s="382"/>
      <c r="F6" s="382"/>
      <c r="G6" s="382"/>
      <c r="H6" s="382"/>
      <c r="I6" s="382"/>
      <c r="J6" s="382"/>
      <c r="K6" s="382"/>
      <c r="L6" s="382"/>
      <c r="M6" s="382"/>
      <c r="N6" s="382"/>
      <c r="O6" s="382"/>
      <c r="P6" s="382"/>
      <c r="Q6" s="383"/>
    </row>
    <row r="7" spans="2:29" ht="14.25" customHeight="1" x14ac:dyDescent="0.25">
      <c r="B7" s="145"/>
      <c r="C7" s="145"/>
      <c r="D7" s="145"/>
      <c r="E7" s="145"/>
      <c r="F7" s="145"/>
      <c r="G7" s="145"/>
      <c r="S7" s="139"/>
      <c r="T7" s="138"/>
      <c r="U7" s="138"/>
      <c r="V7" s="138"/>
      <c r="X7" s="138"/>
      <c r="Y7" s="138"/>
      <c r="Z7" s="138"/>
      <c r="AA7" s="138"/>
    </row>
    <row r="8" spans="2:29" ht="29.25" customHeight="1" x14ac:dyDescent="0.25">
      <c r="C8" s="384" t="s">
        <v>134</v>
      </c>
      <c r="D8" s="385"/>
      <c r="E8" s="385"/>
      <c r="F8" s="385"/>
      <c r="G8" s="386"/>
      <c r="I8" s="387" t="s">
        <v>113</v>
      </c>
      <c r="J8" s="388"/>
      <c r="K8" s="388"/>
      <c r="L8" s="389"/>
      <c r="N8" s="396" t="s">
        <v>136</v>
      </c>
      <c r="O8" s="397"/>
      <c r="P8" s="397"/>
      <c r="Q8" s="398"/>
      <c r="S8" s="393" t="s">
        <v>137</v>
      </c>
      <c r="T8" s="394"/>
      <c r="U8" s="394"/>
      <c r="V8" s="395"/>
      <c r="X8" s="390" t="s">
        <v>140</v>
      </c>
      <c r="Y8" s="391"/>
      <c r="Z8" s="391"/>
      <c r="AA8" s="392"/>
    </row>
    <row r="9" spans="2:29" s="209" customFormat="1" ht="51" x14ac:dyDescent="0.25">
      <c r="B9" s="106" t="s">
        <v>31</v>
      </c>
      <c r="C9" s="126" t="s">
        <v>112</v>
      </c>
      <c r="D9" s="167" t="s">
        <v>8</v>
      </c>
      <c r="E9" s="167" t="s">
        <v>135</v>
      </c>
      <c r="F9" s="167" t="s">
        <v>124</v>
      </c>
      <c r="G9" s="128" t="s">
        <v>111</v>
      </c>
      <c r="H9" s="210"/>
      <c r="I9" s="220" t="s">
        <v>53</v>
      </c>
      <c r="J9" s="220" t="s">
        <v>54</v>
      </c>
      <c r="K9" s="220" t="s">
        <v>55</v>
      </c>
      <c r="L9" s="211" t="s">
        <v>139</v>
      </c>
      <c r="N9" s="211" t="s">
        <v>56</v>
      </c>
      <c r="O9" s="211" t="s">
        <v>57</v>
      </c>
      <c r="P9" s="211" t="s">
        <v>58</v>
      </c>
      <c r="Q9" s="211" t="s">
        <v>59</v>
      </c>
      <c r="S9" s="217" t="s">
        <v>60</v>
      </c>
      <c r="T9" s="218" t="s">
        <v>61</v>
      </c>
      <c r="U9" s="218" t="s">
        <v>62</v>
      </c>
      <c r="V9" s="218" t="s">
        <v>138</v>
      </c>
      <c r="W9" s="210"/>
      <c r="X9" s="218" t="s">
        <v>63</v>
      </c>
      <c r="Y9" s="218" t="s">
        <v>64</v>
      </c>
      <c r="Z9" s="218" t="s">
        <v>140</v>
      </c>
      <c r="AA9" s="218" t="s">
        <v>141</v>
      </c>
    </row>
    <row r="10" spans="2:29" ht="14.25" customHeight="1" x14ac:dyDescent="0.25">
      <c r="B10" s="203" t="s">
        <v>14</v>
      </c>
      <c r="C10" s="204">
        <f>'Input Sheet'!G9</f>
        <v>63.636363636363633</v>
      </c>
      <c r="D10" s="212">
        <f>'Input Sheet'!H9</f>
        <v>3.0285714285714289</v>
      </c>
      <c r="E10" s="212"/>
      <c r="F10" s="215">
        <f>'Input Sheet'!J9</f>
        <v>212</v>
      </c>
      <c r="G10" s="205">
        <f>'Input Sheet'!K9</f>
        <v>192.72727272727275</v>
      </c>
      <c r="I10" s="191">
        <f>'Input Sheet'!H48</f>
        <v>56</v>
      </c>
      <c r="J10" s="191">
        <f>'Input Sheet'!I48</f>
        <v>63</v>
      </c>
      <c r="K10" s="191">
        <f>'Input Sheet'!J48</f>
        <v>67</v>
      </c>
      <c r="L10" s="219">
        <f>SUM(I10:K10)</f>
        <v>186</v>
      </c>
      <c r="N10" s="191">
        <f>IF($D10="Hourly",I10*$E10,$D10*I10)</f>
        <v>169.60000000000002</v>
      </c>
      <c r="O10" s="191">
        <f t="shared" ref="O10:O21" si="0">IF($D10="Hourly",J10*$E10,$D10*J10)</f>
        <v>190.8</v>
      </c>
      <c r="P10" s="191">
        <f t="shared" ref="P10:P21" si="1">IF($D10="Hourly",K10*$E10,$D10*K10)</f>
        <v>202.91428571428574</v>
      </c>
      <c r="Q10" s="219">
        <f>SUM(N10:P10)</f>
        <v>563.3142857142858</v>
      </c>
      <c r="R10" s="137"/>
      <c r="S10" s="191">
        <f>+N10/N$33*'Input Sheet'!H$161</f>
        <v>223.34573246570147</v>
      </c>
      <c r="T10" s="191">
        <f>+O10/O$33*'Input Sheet'!I$161</f>
        <v>294.07291097454174</v>
      </c>
      <c r="U10" s="191">
        <f>+P10/P$33*'Input Sheet'!J$161</f>
        <v>205.12100651217983</v>
      </c>
      <c r="V10" s="219">
        <f>SUM(S10:U10)</f>
        <v>722.53964995242302</v>
      </c>
      <c r="X10" s="224">
        <f>+V10/L10</f>
        <v>3.884621773937758</v>
      </c>
      <c r="Y10" s="141">
        <f>ROUND(X10,0)</f>
        <v>4</v>
      </c>
      <c r="Z10" s="141">
        <f>IF(D10="Hourly","Hourly",Y10)</f>
        <v>4</v>
      </c>
      <c r="AA10" s="191">
        <f>+Y10*L10</f>
        <v>744</v>
      </c>
      <c r="AB10" s="146"/>
      <c r="AC10" s="137"/>
    </row>
    <row r="11" spans="2:29" ht="14.25" customHeight="1" x14ac:dyDescent="0.25">
      <c r="B11" s="206" t="s">
        <v>15</v>
      </c>
      <c r="C11" s="207">
        <f>'Input Sheet'!G10</f>
        <v>63.636363636363633</v>
      </c>
      <c r="D11" s="213">
        <f>'Input Sheet'!H10</f>
        <v>4.0571428571428578</v>
      </c>
      <c r="E11" s="213"/>
      <c r="F11" s="216">
        <f>'Input Sheet'!J10</f>
        <v>284</v>
      </c>
      <c r="G11" s="208">
        <f>'Input Sheet'!K10</f>
        <v>258.18181818181819</v>
      </c>
      <c r="I11" s="191">
        <f>'Input Sheet'!H49</f>
        <v>32</v>
      </c>
      <c r="J11" s="191">
        <f>'Input Sheet'!I49</f>
        <v>55</v>
      </c>
      <c r="K11" s="191">
        <f>'Input Sheet'!J49</f>
        <v>45</v>
      </c>
      <c r="L11" s="219">
        <f t="shared" ref="L11:L21" si="2">SUM(I11:K11)</f>
        <v>132</v>
      </c>
      <c r="N11" s="191">
        <f t="shared" ref="N11:N21" si="3">IF($D11="Hourly",I11*$E11,$D11*I11)</f>
        <v>129.82857142857145</v>
      </c>
      <c r="O11" s="191">
        <f t="shared" si="0"/>
        <v>223.14285714285717</v>
      </c>
      <c r="P11" s="191">
        <f t="shared" si="1"/>
        <v>182.57142857142861</v>
      </c>
      <c r="Q11" s="219">
        <f t="shared" ref="Q11:Q21" si="4">SUM(N11:P11)</f>
        <v>535.5428571428572</v>
      </c>
      <c r="R11" s="137"/>
      <c r="S11" s="191">
        <f>+N11/N$33*'Input Sheet'!H$161</f>
        <v>170.9708571974642</v>
      </c>
      <c r="T11" s="191">
        <f>+O11/O$33*'Input Sheet'!I$161</f>
        <v>343.92174823467667</v>
      </c>
      <c r="U11" s="191">
        <f>+P11/P$33*'Input Sheet'!J$161</f>
        <v>184.55691799673741</v>
      </c>
      <c r="V11" s="219">
        <f t="shared" ref="V11:V21" si="5">SUM(S11:U11)</f>
        <v>699.44952342887825</v>
      </c>
      <c r="W11" s="138"/>
      <c r="X11" s="224">
        <f t="shared" ref="X11:X31" si="6">+V11/L11</f>
        <v>5.2988600259763503</v>
      </c>
      <c r="Y11" s="141">
        <f t="shared" ref="Y11:Y21" si="7">ROUND(X11,0)</f>
        <v>5</v>
      </c>
      <c r="Z11" s="141">
        <f t="shared" ref="Z11:Z21" si="8">IF(D11="Hourly","Hourly",Y11)</f>
        <v>5</v>
      </c>
      <c r="AA11" s="191">
        <f t="shared" ref="AA11:AA21" si="9">+Y11*L11</f>
        <v>660</v>
      </c>
      <c r="AB11" s="146"/>
      <c r="AC11" s="137"/>
    </row>
    <row r="12" spans="2:29" ht="14.25" customHeight="1" x14ac:dyDescent="0.25">
      <c r="B12" s="206" t="s">
        <v>16</v>
      </c>
      <c r="C12" s="207">
        <f>'Input Sheet'!G11</f>
        <v>63.636363636363633</v>
      </c>
      <c r="D12" s="213">
        <f>'Input Sheet'!H11</f>
        <v>5.0571428571428569</v>
      </c>
      <c r="E12" s="213"/>
      <c r="F12" s="216">
        <f>'Input Sheet'!J11</f>
        <v>354</v>
      </c>
      <c r="G12" s="208">
        <f>'Input Sheet'!K11</f>
        <v>321.81818181818181</v>
      </c>
      <c r="I12" s="191">
        <f>'Input Sheet'!H50</f>
        <v>87</v>
      </c>
      <c r="J12" s="191">
        <f>'Input Sheet'!I50</f>
        <v>107</v>
      </c>
      <c r="K12" s="191">
        <f>'Input Sheet'!J50</f>
        <v>99</v>
      </c>
      <c r="L12" s="219">
        <f t="shared" si="2"/>
        <v>293</v>
      </c>
      <c r="M12" s="147"/>
      <c r="N12" s="191">
        <f t="shared" si="3"/>
        <v>439.97142857142853</v>
      </c>
      <c r="O12" s="191">
        <f t="shared" si="0"/>
        <v>541.11428571428564</v>
      </c>
      <c r="P12" s="191">
        <f t="shared" si="1"/>
        <v>500.65714285714284</v>
      </c>
      <c r="Q12" s="219">
        <f t="shared" si="4"/>
        <v>1481.742857142857</v>
      </c>
      <c r="R12" s="137"/>
      <c r="S12" s="191">
        <f>+N12/N$33*'Input Sheet'!H$161</f>
        <v>579.39705765487474</v>
      </c>
      <c r="T12" s="191">
        <f>+O12/O$33*'Input Sheet'!I$161</f>
        <v>833.99923045026128</v>
      </c>
      <c r="U12" s="191">
        <f>+P12/P$33*'Input Sheet'!J$161</f>
        <v>506.1018582248559</v>
      </c>
      <c r="V12" s="219">
        <f t="shared" si="5"/>
        <v>1919.4981463299921</v>
      </c>
      <c r="W12" s="138"/>
      <c r="X12" s="224">
        <f t="shared" si="6"/>
        <v>6.5511882127303487</v>
      </c>
      <c r="Y12" s="141">
        <f t="shared" si="7"/>
        <v>7</v>
      </c>
      <c r="Z12" s="141">
        <f t="shared" si="8"/>
        <v>7</v>
      </c>
      <c r="AA12" s="191">
        <f t="shared" si="9"/>
        <v>2051</v>
      </c>
      <c r="AB12" s="146"/>
      <c r="AC12" s="137"/>
    </row>
    <row r="13" spans="2:29" ht="14.25" customHeight="1" x14ac:dyDescent="0.25">
      <c r="B13" s="206" t="s">
        <v>28</v>
      </c>
      <c r="C13" s="207">
        <f>'Input Sheet'!G12</f>
        <v>63.636363636363633</v>
      </c>
      <c r="D13" s="213">
        <f>'Input Sheet'!H12</f>
        <v>6.0857142857142854</v>
      </c>
      <c r="E13" s="213"/>
      <c r="F13" s="216">
        <f>'Input Sheet'!J12</f>
        <v>426</v>
      </c>
      <c r="G13" s="208">
        <f>'Input Sheet'!K12</f>
        <v>387.27272727272725</v>
      </c>
      <c r="I13" s="191">
        <f>'Input Sheet'!H51</f>
        <v>59</v>
      </c>
      <c r="J13" s="191">
        <f>'Input Sheet'!I51</f>
        <v>78</v>
      </c>
      <c r="K13" s="191">
        <f>'Input Sheet'!J51</f>
        <v>69</v>
      </c>
      <c r="L13" s="219">
        <f t="shared" si="2"/>
        <v>206</v>
      </c>
      <c r="N13" s="191">
        <f t="shared" si="3"/>
        <v>359.05714285714282</v>
      </c>
      <c r="O13" s="191">
        <f t="shared" si="0"/>
        <v>474.68571428571425</v>
      </c>
      <c r="P13" s="191">
        <f t="shared" si="1"/>
        <v>419.91428571428571</v>
      </c>
      <c r="Q13" s="219">
        <f t="shared" si="4"/>
        <v>1253.6571428571428</v>
      </c>
      <c r="R13" s="137"/>
      <c r="S13" s="191">
        <f>+N13/N$33*'Input Sheet'!H$161</f>
        <v>472.84127693673679</v>
      </c>
      <c r="T13" s="191">
        <f>+O13/O$33*'Input Sheet'!I$161</f>
        <v>731.61535533558492</v>
      </c>
      <c r="U13" s="191">
        <f>+P13/P$33*'Input Sheet'!J$161</f>
        <v>424.48091139249601</v>
      </c>
      <c r="V13" s="219">
        <f t="shared" si="5"/>
        <v>1628.9375436648177</v>
      </c>
      <c r="W13" s="138"/>
      <c r="X13" s="224">
        <f t="shared" si="6"/>
        <v>7.9074638041981444</v>
      </c>
      <c r="Y13" s="141">
        <f t="shared" si="7"/>
        <v>8</v>
      </c>
      <c r="Z13" s="141">
        <f t="shared" si="8"/>
        <v>8</v>
      </c>
      <c r="AA13" s="191">
        <f t="shared" si="9"/>
        <v>1648</v>
      </c>
      <c r="AB13" s="146"/>
      <c r="AC13" s="137"/>
    </row>
    <row r="14" spans="2:29" ht="14.25" customHeight="1" x14ac:dyDescent="0.25">
      <c r="B14" s="206" t="s">
        <v>17</v>
      </c>
      <c r="C14" s="207">
        <f>'Input Sheet'!G13</f>
        <v>63.636363636363633</v>
      </c>
      <c r="D14" s="213">
        <f>'Input Sheet'!H13</f>
        <v>3.0285714285714289</v>
      </c>
      <c r="E14" s="213"/>
      <c r="F14" s="216">
        <f>'Input Sheet'!J13</f>
        <v>212</v>
      </c>
      <c r="G14" s="208">
        <f>'Input Sheet'!K13</f>
        <v>192.72727272727275</v>
      </c>
      <c r="I14" s="191">
        <f>'Input Sheet'!H52</f>
        <v>0</v>
      </c>
      <c r="J14" s="191">
        <f>'Input Sheet'!I52</f>
        <v>0</v>
      </c>
      <c r="K14" s="191">
        <f>'Input Sheet'!J52</f>
        <v>17</v>
      </c>
      <c r="L14" s="219">
        <f t="shared" si="2"/>
        <v>17</v>
      </c>
      <c r="N14" s="191">
        <f t="shared" si="3"/>
        <v>0</v>
      </c>
      <c r="O14" s="191">
        <f t="shared" si="0"/>
        <v>0</v>
      </c>
      <c r="P14" s="191">
        <f t="shared" si="1"/>
        <v>51.485714285714295</v>
      </c>
      <c r="Q14" s="219">
        <f t="shared" si="4"/>
        <v>51.485714285714295</v>
      </c>
      <c r="R14" s="137"/>
      <c r="S14" s="191">
        <f>+N14/N$33*'Input Sheet'!H$161</f>
        <v>0</v>
      </c>
      <c r="T14" s="191">
        <f>+O14/O$33*'Input Sheet'!I$161</f>
        <v>0</v>
      </c>
      <c r="U14" s="191">
        <f>+P14/P$33*'Input Sheet'!J$161</f>
        <v>52.045628518015782</v>
      </c>
      <c r="V14" s="219">
        <f t="shared" si="5"/>
        <v>52.045628518015782</v>
      </c>
      <c r="W14" s="138"/>
      <c r="X14" s="224">
        <f t="shared" si="6"/>
        <v>3.0615075598832813</v>
      </c>
      <c r="Y14" s="141">
        <f t="shared" si="7"/>
        <v>3</v>
      </c>
      <c r="Z14" s="141">
        <f t="shared" si="8"/>
        <v>3</v>
      </c>
      <c r="AA14" s="191">
        <f t="shared" si="9"/>
        <v>51</v>
      </c>
      <c r="AB14" s="146"/>
      <c r="AC14" s="137"/>
    </row>
    <row r="15" spans="2:29" ht="14.25" customHeight="1" x14ac:dyDescent="0.25">
      <c r="B15" s="206" t="s">
        <v>18</v>
      </c>
      <c r="C15" s="207">
        <f>'Input Sheet'!G14</f>
        <v>63.636363636363633</v>
      </c>
      <c r="D15" s="213">
        <f>'Input Sheet'!H14</f>
        <v>4.0571428571428578</v>
      </c>
      <c r="E15" s="213"/>
      <c r="F15" s="216">
        <f>'Input Sheet'!J14</f>
        <v>284</v>
      </c>
      <c r="G15" s="208">
        <f>'Input Sheet'!K14</f>
        <v>258.18181818181819</v>
      </c>
      <c r="I15" s="191">
        <f>'Input Sheet'!H53</f>
        <v>0</v>
      </c>
      <c r="J15" s="191">
        <f>'Input Sheet'!I53</f>
        <v>0</v>
      </c>
      <c r="K15" s="191">
        <f>'Input Sheet'!J53</f>
        <v>3</v>
      </c>
      <c r="L15" s="219">
        <f t="shared" si="2"/>
        <v>3</v>
      </c>
      <c r="N15" s="191">
        <f t="shared" si="3"/>
        <v>0</v>
      </c>
      <c r="O15" s="191">
        <f t="shared" si="0"/>
        <v>0</v>
      </c>
      <c r="P15" s="191">
        <f t="shared" si="1"/>
        <v>12.171428571428574</v>
      </c>
      <c r="Q15" s="219">
        <f t="shared" si="4"/>
        <v>12.171428571428574</v>
      </c>
      <c r="R15" s="137"/>
      <c r="S15" s="191">
        <f>+N15/N$33*'Input Sheet'!H$161</f>
        <v>0</v>
      </c>
      <c r="T15" s="191">
        <f>+O15/O$33*'Input Sheet'!I$161</f>
        <v>0</v>
      </c>
      <c r="U15" s="191">
        <f>+P15/P$33*'Input Sheet'!J$161</f>
        <v>12.303794533115829</v>
      </c>
      <c r="V15" s="219">
        <f t="shared" si="5"/>
        <v>12.303794533115829</v>
      </c>
      <c r="W15" s="138"/>
      <c r="X15" s="224">
        <f t="shared" si="6"/>
        <v>4.1012648443719426</v>
      </c>
      <c r="Y15" s="141">
        <f t="shared" si="7"/>
        <v>4</v>
      </c>
      <c r="Z15" s="141">
        <f t="shared" si="8"/>
        <v>4</v>
      </c>
      <c r="AA15" s="191">
        <f t="shared" si="9"/>
        <v>12</v>
      </c>
      <c r="AB15" s="146"/>
      <c r="AC15" s="137"/>
    </row>
    <row r="16" spans="2:29" ht="14.25" customHeight="1" x14ac:dyDescent="0.25">
      <c r="B16" s="206" t="s">
        <v>19</v>
      </c>
      <c r="C16" s="207">
        <f>'Input Sheet'!G15</f>
        <v>63.636363636363633</v>
      </c>
      <c r="D16" s="213">
        <f>'Input Sheet'!H15</f>
        <v>5.0571428571428569</v>
      </c>
      <c r="E16" s="213"/>
      <c r="F16" s="216">
        <f>'Input Sheet'!J15</f>
        <v>354</v>
      </c>
      <c r="G16" s="208">
        <f>'Input Sheet'!K15</f>
        <v>321.81818181818181</v>
      </c>
      <c r="I16" s="191">
        <f>'Input Sheet'!H54</f>
        <v>0</v>
      </c>
      <c r="J16" s="191">
        <f>'Input Sheet'!I54</f>
        <v>0</v>
      </c>
      <c r="K16" s="191">
        <f>'Input Sheet'!J54</f>
        <v>1</v>
      </c>
      <c r="L16" s="219">
        <f t="shared" si="2"/>
        <v>1</v>
      </c>
      <c r="N16" s="191">
        <f t="shared" si="3"/>
        <v>0</v>
      </c>
      <c r="O16" s="191">
        <f t="shared" si="0"/>
        <v>0</v>
      </c>
      <c r="P16" s="191">
        <f t="shared" si="1"/>
        <v>5.0571428571428569</v>
      </c>
      <c r="Q16" s="219">
        <f t="shared" si="4"/>
        <v>5.0571428571428569</v>
      </c>
      <c r="R16" s="137"/>
      <c r="S16" s="191">
        <f>+N16/N$33*'Input Sheet'!H$161</f>
        <v>0</v>
      </c>
      <c r="T16" s="191">
        <f>+O16/O$33*'Input Sheet'!I$161</f>
        <v>0</v>
      </c>
      <c r="U16" s="191">
        <f>+P16/P$33*'Input Sheet'!J$161</f>
        <v>5.1121399820692517</v>
      </c>
      <c r="V16" s="219">
        <f t="shared" si="5"/>
        <v>5.1121399820692517</v>
      </c>
      <c r="W16" s="138"/>
      <c r="X16" s="224">
        <f t="shared" si="6"/>
        <v>5.1121399820692517</v>
      </c>
      <c r="Y16" s="141">
        <f t="shared" si="7"/>
        <v>5</v>
      </c>
      <c r="Z16" s="141">
        <f t="shared" si="8"/>
        <v>5</v>
      </c>
      <c r="AA16" s="191">
        <f t="shared" si="9"/>
        <v>5</v>
      </c>
      <c r="AB16" s="146"/>
      <c r="AC16" s="137"/>
    </row>
    <row r="17" spans="2:29" ht="14.25" customHeight="1" x14ac:dyDescent="0.25">
      <c r="B17" s="206" t="s">
        <v>29</v>
      </c>
      <c r="C17" s="207">
        <f>'Input Sheet'!G16</f>
        <v>63.636363636363633</v>
      </c>
      <c r="D17" s="213">
        <f>'Input Sheet'!H16</f>
        <v>6.0857142857142854</v>
      </c>
      <c r="E17" s="213"/>
      <c r="F17" s="216">
        <f>'Input Sheet'!J16</f>
        <v>426</v>
      </c>
      <c r="G17" s="208">
        <f>'Input Sheet'!K16</f>
        <v>387.27272727272725</v>
      </c>
      <c r="I17" s="191">
        <f>'Input Sheet'!H55</f>
        <v>0</v>
      </c>
      <c r="J17" s="191">
        <f>'Input Sheet'!I55</f>
        <v>0</v>
      </c>
      <c r="K17" s="191">
        <f>'Input Sheet'!J55</f>
        <v>0</v>
      </c>
      <c r="L17" s="219">
        <f t="shared" si="2"/>
        <v>0</v>
      </c>
      <c r="N17" s="191">
        <f t="shared" si="3"/>
        <v>0</v>
      </c>
      <c r="O17" s="191">
        <f t="shared" si="0"/>
        <v>0</v>
      </c>
      <c r="P17" s="191">
        <f t="shared" si="1"/>
        <v>0</v>
      </c>
      <c r="Q17" s="219">
        <f t="shared" si="4"/>
        <v>0</v>
      </c>
      <c r="R17" s="137"/>
      <c r="S17" s="191">
        <f>+N17/N$33*'Input Sheet'!H$161</f>
        <v>0</v>
      </c>
      <c r="T17" s="191">
        <f>+O17/O$33*'Input Sheet'!I$161</f>
        <v>0</v>
      </c>
      <c r="U17" s="191">
        <f>+P17/P$33*'Input Sheet'!J$161</f>
        <v>0</v>
      </c>
      <c r="V17" s="219">
        <f t="shared" si="5"/>
        <v>0</v>
      </c>
      <c r="W17" s="138"/>
      <c r="X17" s="224" t="e">
        <f t="shared" si="6"/>
        <v>#DIV/0!</v>
      </c>
      <c r="Y17" s="141">
        <f>ROUND(D17,0)</f>
        <v>6</v>
      </c>
      <c r="Z17" s="141">
        <f t="shared" si="8"/>
        <v>6</v>
      </c>
      <c r="AA17" s="191">
        <f t="shared" si="9"/>
        <v>0</v>
      </c>
      <c r="AB17" s="146"/>
      <c r="AC17" s="137"/>
    </row>
    <row r="18" spans="2:29" ht="14.25" customHeight="1" x14ac:dyDescent="0.25">
      <c r="B18" s="206" t="s">
        <v>20</v>
      </c>
      <c r="C18" s="207">
        <f>'Input Sheet'!G17</f>
        <v>63.636363636363633</v>
      </c>
      <c r="D18" s="213">
        <f>'Input Sheet'!H17</f>
        <v>3.0285714285714289</v>
      </c>
      <c r="E18" s="213"/>
      <c r="F18" s="216">
        <f>'Input Sheet'!J17</f>
        <v>212</v>
      </c>
      <c r="G18" s="208">
        <f>'Input Sheet'!K17</f>
        <v>192.72727272727275</v>
      </c>
      <c r="I18" s="191">
        <f>'Input Sheet'!H56</f>
        <v>21</v>
      </c>
      <c r="J18" s="191">
        <f>'Input Sheet'!I56</f>
        <v>31</v>
      </c>
      <c r="K18" s="191">
        <f>'Input Sheet'!J56</f>
        <v>7</v>
      </c>
      <c r="L18" s="219">
        <f t="shared" si="2"/>
        <v>59</v>
      </c>
      <c r="N18" s="191">
        <f t="shared" si="3"/>
        <v>63.600000000000009</v>
      </c>
      <c r="O18" s="191">
        <f t="shared" si="0"/>
        <v>93.8857142857143</v>
      </c>
      <c r="P18" s="191">
        <f t="shared" si="1"/>
        <v>21.200000000000003</v>
      </c>
      <c r="Q18" s="219">
        <f t="shared" si="4"/>
        <v>178.68571428571431</v>
      </c>
      <c r="R18" s="137"/>
      <c r="S18" s="191">
        <f>+N18/N$33*'Input Sheet'!H$161</f>
        <v>83.754649674638046</v>
      </c>
      <c r="T18" s="191">
        <f>+O18/O$33*'Input Sheet'!I$161</f>
        <v>144.70254349540946</v>
      </c>
      <c r="U18" s="191">
        <f>+P18/P$33*'Input Sheet'!J$161</f>
        <v>21.430552919182965</v>
      </c>
      <c r="V18" s="219">
        <f t="shared" si="5"/>
        <v>249.88774608923046</v>
      </c>
      <c r="W18" s="138"/>
      <c r="X18" s="224">
        <f t="shared" si="6"/>
        <v>4.2353855269361098</v>
      </c>
      <c r="Y18" s="141">
        <f t="shared" si="7"/>
        <v>4</v>
      </c>
      <c r="Z18" s="141">
        <f t="shared" si="8"/>
        <v>4</v>
      </c>
      <c r="AA18" s="191">
        <f t="shared" si="9"/>
        <v>236</v>
      </c>
      <c r="AB18" s="146"/>
      <c r="AC18" s="137"/>
    </row>
    <row r="19" spans="2:29" ht="14.25" customHeight="1" x14ac:dyDescent="0.25">
      <c r="B19" s="206" t="s">
        <v>21</v>
      </c>
      <c r="C19" s="207">
        <f>'Input Sheet'!G18</f>
        <v>63.636363636363633</v>
      </c>
      <c r="D19" s="213">
        <f>'Input Sheet'!H18</f>
        <v>4.0571428571428578</v>
      </c>
      <c r="E19" s="213"/>
      <c r="F19" s="216">
        <f>'Input Sheet'!J18</f>
        <v>284</v>
      </c>
      <c r="G19" s="208">
        <f>'Input Sheet'!K18</f>
        <v>258.18181818181819</v>
      </c>
      <c r="I19" s="191">
        <f>'Input Sheet'!H57</f>
        <v>3</v>
      </c>
      <c r="J19" s="191">
        <f>'Input Sheet'!I57</f>
        <v>6</v>
      </c>
      <c r="K19" s="191">
        <f>'Input Sheet'!J57</f>
        <v>4</v>
      </c>
      <c r="L19" s="219">
        <f t="shared" si="2"/>
        <v>13</v>
      </c>
      <c r="N19" s="191">
        <f t="shared" si="3"/>
        <v>12.171428571428574</v>
      </c>
      <c r="O19" s="191">
        <f t="shared" si="0"/>
        <v>24.342857142857149</v>
      </c>
      <c r="P19" s="191">
        <f t="shared" si="1"/>
        <v>16.228571428571431</v>
      </c>
      <c r="Q19" s="219">
        <f t="shared" si="4"/>
        <v>52.742857142857147</v>
      </c>
      <c r="R19" s="137"/>
      <c r="S19" s="191">
        <f>+N19/N$33*'Input Sheet'!H$161</f>
        <v>16.028517862262269</v>
      </c>
      <c r="T19" s="191">
        <f>+O19/O$33*'Input Sheet'!I$161</f>
        <v>37.51873617105565</v>
      </c>
      <c r="U19" s="191">
        <f>+P19/P$33*'Input Sheet'!J$161</f>
        <v>16.40505937748777</v>
      </c>
      <c r="V19" s="219">
        <f t="shared" si="5"/>
        <v>69.952313410805687</v>
      </c>
      <c r="W19" s="138"/>
      <c r="X19" s="224">
        <f t="shared" si="6"/>
        <v>5.3809471854465913</v>
      </c>
      <c r="Y19" s="141">
        <f t="shared" si="7"/>
        <v>5</v>
      </c>
      <c r="Z19" s="141">
        <f t="shared" si="8"/>
        <v>5</v>
      </c>
      <c r="AA19" s="191">
        <f t="shared" si="9"/>
        <v>65</v>
      </c>
      <c r="AB19" s="146"/>
      <c r="AC19" s="137"/>
    </row>
    <row r="20" spans="2:29" ht="14.25" customHeight="1" x14ac:dyDescent="0.25">
      <c r="B20" s="206" t="s">
        <v>22</v>
      </c>
      <c r="C20" s="207">
        <f>'Input Sheet'!G19</f>
        <v>63.636363636363633</v>
      </c>
      <c r="D20" s="213">
        <f>'Input Sheet'!H19</f>
        <v>6.0857142857142854</v>
      </c>
      <c r="E20" s="213"/>
      <c r="F20" s="216">
        <f>'Input Sheet'!J19</f>
        <v>426</v>
      </c>
      <c r="G20" s="208">
        <f>'Input Sheet'!K19</f>
        <v>387.27272727272725</v>
      </c>
      <c r="I20" s="191">
        <f>'Input Sheet'!H58</f>
        <v>2</v>
      </c>
      <c r="J20" s="191">
        <f>'Input Sheet'!I58</f>
        <v>2</v>
      </c>
      <c r="K20" s="191">
        <f>'Input Sheet'!J58</f>
        <v>0</v>
      </c>
      <c r="L20" s="219">
        <f t="shared" si="2"/>
        <v>4</v>
      </c>
      <c r="N20" s="191">
        <f t="shared" si="3"/>
        <v>12.171428571428571</v>
      </c>
      <c r="O20" s="191">
        <f t="shared" si="0"/>
        <v>12.171428571428571</v>
      </c>
      <c r="P20" s="191">
        <f t="shared" si="1"/>
        <v>0</v>
      </c>
      <c r="Q20" s="219">
        <f t="shared" si="4"/>
        <v>24.342857142857142</v>
      </c>
      <c r="R20" s="137"/>
      <c r="S20" s="191">
        <f>+N20/N$33*'Input Sheet'!H$161</f>
        <v>16.028517862262266</v>
      </c>
      <c r="T20" s="191">
        <f>+O20/O$33*'Input Sheet'!I$161</f>
        <v>18.759368085527818</v>
      </c>
      <c r="U20" s="191">
        <f>+P20/P$33*'Input Sheet'!J$161</f>
        <v>0</v>
      </c>
      <c r="V20" s="219">
        <f t="shared" si="5"/>
        <v>34.787885947790087</v>
      </c>
      <c r="W20" s="138"/>
      <c r="X20" s="224">
        <f t="shared" si="6"/>
        <v>8.6969714869475219</v>
      </c>
      <c r="Y20" s="141">
        <f t="shared" si="7"/>
        <v>9</v>
      </c>
      <c r="Z20" s="141">
        <f t="shared" si="8"/>
        <v>9</v>
      </c>
      <c r="AA20" s="191">
        <f t="shared" si="9"/>
        <v>36</v>
      </c>
      <c r="AB20" s="146"/>
      <c r="AC20" s="137"/>
    </row>
    <row r="21" spans="2:29" ht="14.25" customHeight="1" x14ac:dyDescent="0.25">
      <c r="B21" s="206" t="s">
        <v>23</v>
      </c>
      <c r="C21" s="207">
        <f>'Input Sheet'!G20</f>
        <v>63.636363636363633</v>
      </c>
      <c r="D21" s="214" t="str">
        <f>'Input Sheet'!H20</f>
        <v>Hourly</v>
      </c>
      <c r="E21" s="214">
        <f>'Input Sheet'!I20</f>
        <v>3</v>
      </c>
      <c r="F21" s="216">
        <f>'Input Sheet'!J20</f>
        <v>70</v>
      </c>
      <c r="G21" s="208">
        <f>'Input Sheet'!K20</f>
        <v>63.636363636363633</v>
      </c>
      <c r="I21" s="191">
        <f>'Input Sheet'!H59</f>
        <v>11</v>
      </c>
      <c r="J21" s="191">
        <f>'Input Sheet'!I59</f>
        <v>11</v>
      </c>
      <c r="K21" s="191">
        <f>'Input Sheet'!J59</f>
        <v>27</v>
      </c>
      <c r="L21" s="219">
        <f t="shared" si="2"/>
        <v>49</v>
      </c>
      <c r="N21" s="191">
        <f t="shared" si="3"/>
        <v>33</v>
      </c>
      <c r="O21" s="191">
        <f t="shared" si="0"/>
        <v>33</v>
      </c>
      <c r="P21" s="191">
        <f t="shared" si="1"/>
        <v>81</v>
      </c>
      <c r="Q21" s="219">
        <f t="shared" si="4"/>
        <v>147</v>
      </c>
      <c r="R21" s="137"/>
      <c r="S21" s="191">
        <f>+N21/N$33*'Input Sheet'!H$161</f>
        <v>43.45760124627445</v>
      </c>
      <c r="T21" s="191">
        <f>+O21/O$33*'Input Sheet'!I$161</f>
        <v>50.861666992452186</v>
      </c>
      <c r="U21" s="191">
        <f>+P21/P$33*'Input Sheet'!J$161</f>
        <v>81.880886153482081</v>
      </c>
      <c r="V21" s="219">
        <f t="shared" si="5"/>
        <v>176.20015439220873</v>
      </c>
      <c r="W21" s="138"/>
      <c r="X21" s="224">
        <f t="shared" si="6"/>
        <v>3.5959215182083413</v>
      </c>
      <c r="Y21" s="141">
        <f t="shared" si="7"/>
        <v>4</v>
      </c>
      <c r="Z21" s="141" t="str">
        <f t="shared" si="8"/>
        <v>Hourly</v>
      </c>
      <c r="AA21" s="191">
        <f t="shared" si="9"/>
        <v>196</v>
      </c>
      <c r="AB21" s="146"/>
      <c r="AC21" s="137"/>
    </row>
    <row r="22" spans="2:29" ht="14.25" customHeight="1" x14ac:dyDescent="0.25">
      <c r="B22" s="206" t="s">
        <v>9</v>
      </c>
      <c r="C22" s="207"/>
      <c r="D22" s="214"/>
      <c r="E22" s="214"/>
      <c r="F22" s="216"/>
      <c r="G22" s="208"/>
      <c r="I22" s="191"/>
      <c r="J22" s="191"/>
      <c r="K22" s="191"/>
      <c r="L22" s="219"/>
      <c r="N22" s="191"/>
      <c r="O22" s="191"/>
      <c r="P22" s="191"/>
      <c r="Q22" s="219"/>
      <c r="R22" s="137"/>
      <c r="S22" s="191"/>
      <c r="T22" s="191"/>
      <c r="U22" s="191"/>
      <c r="V22" s="219"/>
      <c r="W22" s="138"/>
      <c r="X22" s="224"/>
      <c r="Y22" s="141"/>
      <c r="Z22" s="141"/>
      <c r="AA22" s="191"/>
      <c r="AB22" s="146"/>
      <c r="AC22" s="137"/>
    </row>
    <row r="23" spans="2:29" ht="14.25" customHeight="1" x14ac:dyDescent="0.25">
      <c r="B23" s="206" t="s">
        <v>10</v>
      </c>
      <c r="C23" s="207">
        <f>'Input Sheet'!G22</f>
        <v>63.636363636363633</v>
      </c>
      <c r="D23" s="214" t="str">
        <f>'Input Sheet'!H22</f>
        <v>Hourly</v>
      </c>
      <c r="E23" s="214">
        <f>'Input Sheet'!I22</f>
        <v>3</v>
      </c>
      <c r="F23" s="216">
        <f>'Input Sheet'!J22</f>
        <v>70</v>
      </c>
      <c r="G23" s="208">
        <f>'Input Sheet'!K22</f>
        <v>63.636363636363633</v>
      </c>
      <c r="I23" s="191">
        <f>'Input Sheet'!H61</f>
        <v>88</v>
      </c>
      <c r="J23" s="191">
        <f>'Input Sheet'!I61</f>
        <v>88</v>
      </c>
      <c r="K23" s="191">
        <f>'Input Sheet'!J61</f>
        <v>84</v>
      </c>
      <c r="L23" s="219">
        <f t="shared" ref="L23:L28" si="10">SUM(I23:K23)</f>
        <v>260</v>
      </c>
      <c r="N23" s="191">
        <f t="shared" ref="N23:N28" si="11">IF($D23="Hourly",I23*$E23,$D23*I23)</f>
        <v>264</v>
      </c>
      <c r="O23" s="191">
        <f t="shared" ref="O23:O28" si="12">IF($D23="Hourly",J23*$E23,$D23*J23)</f>
        <v>264</v>
      </c>
      <c r="P23" s="191">
        <f t="shared" ref="P23:P28" si="13">IF($D23="Hourly",K23*$E23,$D23*K23)</f>
        <v>252</v>
      </c>
      <c r="Q23" s="219">
        <f t="shared" ref="Q23:Q28" si="14">SUM(N23:P23)</f>
        <v>780</v>
      </c>
      <c r="R23" s="137"/>
      <c r="S23" s="191">
        <f>+N23/N$33*'Input Sheet'!H$161</f>
        <v>347.6608099701956</v>
      </c>
      <c r="T23" s="191">
        <f>+O23/O$33*'Input Sheet'!I$161</f>
        <v>406.89333593961749</v>
      </c>
      <c r="U23" s="191">
        <f>+P23/P$33*'Input Sheet'!J$161</f>
        <v>254.74053469972205</v>
      </c>
      <c r="V23" s="219">
        <f t="shared" ref="V23:V28" si="15">SUM(S23:U23)</f>
        <v>1009.2946806095351</v>
      </c>
      <c r="W23" s="138"/>
      <c r="X23" s="224">
        <f t="shared" si="6"/>
        <v>3.8819026177289815</v>
      </c>
      <c r="Y23" s="141">
        <f t="shared" ref="Y23:Y28" si="16">ROUND(X23,0)</f>
        <v>4</v>
      </c>
      <c r="Z23" s="141" t="str">
        <f t="shared" ref="Z23:Z28" si="17">IF(D23="Hourly","Hourly",Y23)</f>
        <v>Hourly</v>
      </c>
      <c r="AA23" s="191">
        <f t="shared" ref="AA23:AA28" si="18">+Y23*L23</f>
        <v>1040</v>
      </c>
      <c r="AB23" s="146"/>
      <c r="AC23" s="137"/>
    </row>
    <row r="24" spans="2:29" ht="14.25" customHeight="1" x14ac:dyDescent="0.25">
      <c r="B24" s="206" t="s">
        <v>24</v>
      </c>
      <c r="C24" s="207">
        <f>'Input Sheet'!G23</f>
        <v>63.636363636363633</v>
      </c>
      <c r="D24" s="214" t="str">
        <f>'Input Sheet'!H23</f>
        <v>Hourly</v>
      </c>
      <c r="E24" s="214">
        <f>'Input Sheet'!I23</f>
        <v>3</v>
      </c>
      <c r="F24" s="216">
        <f>'Input Sheet'!J23</f>
        <v>70</v>
      </c>
      <c r="G24" s="208">
        <f>'Input Sheet'!K23</f>
        <v>63.636363636363633</v>
      </c>
      <c r="I24" s="191">
        <f>'Input Sheet'!H62</f>
        <v>251</v>
      </c>
      <c r="J24" s="191">
        <f>'Input Sheet'!I62</f>
        <v>208</v>
      </c>
      <c r="K24" s="191">
        <f>'Input Sheet'!J62</f>
        <v>201</v>
      </c>
      <c r="L24" s="219">
        <f t="shared" si="10"/>
        <v>660</v>
      </c>
      <c r="M24" s="147"/>
      <c r="N24" s="191">
        <f t="shared" si="11"/>
        <v>753</v>
      </c>
      <c r="O24" s="191">
        <f t="shared" si="12"/>
        <v>624</v>
      </c>
      <c r="P24" s="191">
        <f t="shared" si="13"/>
        <v>603</v>
      </c>
      <c r="Q24" s="219">
        <f t="shared" si="14"/>
        <v>1980</v>
      </c>
      <c r="R24" s="137"/>
      <c r="S24" s="191">
        <f>+N24/N$33*'Input Sheet'!H$161</f>
        <v>991.62344661953523</v>
      </c>
      <c r="T24" s="191">
        <f>+O24/O$33*'Input Sheet'!I$161</f>
        <v>961.74788494818677</v>
      </c>
      <c r="U24" s="191">
        <f>+P24/P$33*'Input Sheet'!J$161</f>
        <v>609.55770803147777</v>
      </c>
      <c r="V24" s="219">
        <f t="shared" si="15"/>
        <v>2562.9290395991998</v>
      </c>
      <c r="W24" s="138"/>
      <c r="X24" s="224">
        <f t="shared" si="6"/>
        <v>3.8832258175745453</v>
      </c>
      <c r="Y24" s="141">
        <f t="shared" si="16"/>
        <v>4</v>
      </c>
      <c r="Z24" s="141" t="str">
        <f t="shared" si="17"/>
        <v>Hourly</v>
      </c>
      <c r="AA24" s="191">
        <f t="shared" si="18"/>
        <v>2640</v>
      </c>
      <c r="AB24" s="146"/>
      <c r="AC24" s="137"/>
    </row>
    <row r="25" spans="2:29" ht="14.25" customHeight="1" x14ac:dyDescent="0.25">
      <c r="B25" s="206" t="s">
        <v>11</v>
      </c>
      <c r="C25" s="207">
        <f>'Input Sheet'!G24</f>
        <v>63.636363636363633</v>
      </c>
      <c r="D25" s="214" t="str">
        <f>'Input Sheet'!H24</f>
        <v>Hourly</v>
      </c>
      <c r="E25" s="214">
        <f>'Input Sheet'!I24</f>
        <v>3</v>
      </c>
      <c r="F25" s="216">
        <f>'Input Sheet'!J24</f>
        <v>70</v>
      </c>
      <c r="G25" s="208">
        <f>'Input Sheet'!K24</f>
        <v>63.636363636363633</v>
      </c>
      <c r="I25" s="191">
        <f>'Input Sheet'!H63</f>
        <v>31</v>
      </c>
      <c r="J25" s="191">
        <f>'Input Sheet'!I63</f>
        <v>33</v>
      </c>
      <c r="K25" s="191">
        <f>'Input Sheet'!J63</f>
        <v>11</v>
      </c>
      <c r="L25" s="219">
        <f t="shared" si="10"/>
        <v>75</v>
      </c>
      <c r="N25" s="191">
        <f t="shared" si="11"/>
        <v>93</v>
      </c>
      <c r="O25" s="191">
        <f t="shared" si="12"/>
        <v>99</v>
      </c>
      <c r="P25" s="191">
        <f t="shared" si="13"/>
        <v>33</v>
      </c>
      <c r="Q25" s="219">
        <f t="shared" si="14"/>
        <v>225</v>
      </c>
      <c r="R25" s="137"/>
      <c r="S25" s="191">
        <f>+N25/N$33*'Input Sheet'!H$161</f>
        <v>122.4714216940462</v>
      </c>
      <c r="T25" s="191">
        <f>+O25/O$33*'Input Sheet'!I$161</f>
        <v>152.58500097735657</v>
      </c>
      <c r="U25" s="191">
        <f>+P25/P$33*'Input Sheet'!J$161</f>
        <v>33.358879544011216</v>
      </c>
      <c r="V25" s="219">
        <f t="shared" si="15"/>
        <v>308.41530221541393</v>
      </c>
      <c r="W25" s="138"/>
      <c r="X25" s="224">
        <f t="shared" si="6"/>
        <v>4.1122040295388524</v>
      </c>
      <c r="Y25" s="141">
        <f t="shared" si="16"/>
        <v>4</v>
      </c>
      <c r="Z25" s="141" t="str">
        <f t="shared" si="17"/>
        <v>Hourly</v>
      </c>
      <c r="AA25" s="191">
        <f t="shared" si="18"/>
        <v>300</v>
      </c>
      <c r="AB25" s="146"/>
      <c r="AC25" s="137"/>
    </row>
    <row r="26" spans="2:29" ht="14.25" customHeight="1" x14ac:dyDescent="0.25">
      <c r="B26" s="206" t="s">
        <v>25</v>
      </c>
      <c r="C26" s="207">
        <f>'Input Sheet'!G25</f>
        <v>63.636363636363633</v>
      </c>
      <c r="D26" s="213">
        <f>'Input Sheet'!H25</f>
        <v>3.0285714285714289</v>
      </c>
      <c r="E26" s="213"/>
      <c r="F26" s="216">
        <f>'Input Sheet'!J25</f>
        <v>212</v>
      </c>
      <c r="G26" s="208">
        <f>'Input Sheet'!K25</f>
        <v>192.72727272727275</v>
      </c>
      <c r="I26" s="191">
        <f>'Input Sheet'!H64</f>
        <v>38</v>
      </c>
      <c r="J26" s="191">
        <f>'Input Sheet'!I64</f>
        <v>51</v>
      </c>
      <c r="K26" s="191">
        <f>'Input Sheet'!J64</f>
        <v>64</v>
      </c>
      <c r="L26" s="219">
        <f t="shared" si="10"/>
        <v>153</v>
      </c>
      <c r="N26" s="191">
        <f t="shared" si="11"/>
        <v>115.0857142857143</v>
      </c>
      <c r="O26" s="191">
        <f t="shared" si="12"/>
        <v>154.45714285714288</v>
      </c>
      <c r="P26" s="191">
        <f t="shared" si="13"/>
        <v>193.82857142857145</v>
      </c>
      <c r="Q26" s="219">
        <f t="shared" si="14"/>
        <v>463.37142857142862</v>
      </c>
      <c r="R26" s="137"/>
      <c r="S26" s="191">
        <f>+N26/N$33*'Input Sheet'!H$161</f>
        <v>151.55603274458315</v>
      </c>
      <c r="T26" s="191">
        <f>+O26/O$33*'Input Sheet'!I$161</f>
        <v>238.05902316986715</v>
      </c>
      <c r="U26" s="191">
        <f>+P26/P$33*'Input Sheet'!J$161</f>
        <v>195.93648383252997</v>
      </c>
      <c r="V26" s="219">
        <f t="shared" si="15"/>
        <v>585.55153974698032</v>
      </c>
      <c r="W26" s="138"/>
      <c r="X26" s="224">
        <f t="shared" si="6"/>
        <v>3.8271342467122897</v>
      </c>
      <c r="Y26" s="141">
        <f t="shared" si="16"/>
        <v>4</v>
      </c>
      <c r="Z26" s="141">
        <f t="shared" si="17"/>
        <v>4</v>
      </c>
      <c r="AA26" s="191">
        <f t="shared" si="18"/>
        <v>612</v>
      </c>
      <c r="AB26" s="146"/>
      <c r="AC26" s="137"/>
    </row>
    <row r="27" spans="2:29" ht="14.25" customHeight="1" x14ac:dyDescent="0.25">
      <c r="B27" s="206" t="s">
        <v>26</v>
      </c>
      <c r="C27" s="207">
        <f>'Input Sheet'!G26</f>
        <v>63.636363636363633</v>
      </c>
      <c r="D27" s="213">
        <f>'Input Sheet'!H26</f>
        <v>4.0571428571428578</v>
      </c>
      <c r="E27" s="213"/>
      <c r="F27" s="216">
        <f>'Input Sheet'!J26</f>
        <v>284</v>
      </c>
      <c r="G27" s="208">
        <f>'Input Sheet'!K26</f>
        <v>258.18181818181819</v>
      </c>
      <c r="I27" s="191">
        <f>'Input Sheet'!H65</f>
        <v>3</v>
      </c>
      <c r="J27" s="191">
        <f>'Input Sheet'!I65</f>
        <v>15</v>
      </c>
      <c r="K27" s="191">
        <f>'Input Sheet'!J65</f>
        <v>4</v>
      </c>
      <c r="L27" s="219">
        <f t="shared" si="10"/>
        <v>22</v>
      </c>
      <c r="N27" s="191">
        <f t="shared" si="11"/>
        <v>12.171428571428574</v>
      </c>
      <c r="O27" s="191">
        <f t="shared" si="12"/>
        <v>60.857142857142868</v>
      </c>
      <c r="P27" s="191">
        <f t="shared" si="13"/>
        <v>16.228571428571431</v>
      </c>
      <c r="Q27" s="219">
        <f t="shared" si="14"/>
        <v>89.257142857142867</v>
      </c>
      <c r="R27" s="137"/>
      <c r="S27" s="191">
        <f>+N27/N$33*'Input Sheet'!H$161</f>
        <v>16.028517862262269</v>
      </c>
      <c r="T27" s="191">
        <f>+O27/O$33*'Input Sheet'!I$161</f>
        <v>93.796840427639111</v>
      </c>
      <c r="U27" s="191">
        <f>+P27/P$33*'Input Sheet'!J$161</f>
        <v>16.40505937748777</v>
      </c>
      <c r="V27" s="219">
        <f t="shared" si="15"/>
        <v>126.23041766738915</v>
      </c>
      <c r="W27" s="138"/>
      <c r="X27" s="224">
        <f t="shared" si="6"/>
        <v>5.737746257608598</v>
      </c>
      <c r="Y27" s="141">
        <f t="shared" si="16"/>
        <v>6</v>
      </c>
      <c r="Z27" s="141">
        <f t="shared" si="17"/>
        <v>6</v>
      </c>
      <c r="AA27" s="191">
        <f t="shared" si="18"/>
        <v>132</v>
      </c>
      <c r="AB27" s="146"/>
      <c r="AC27" s="137"/>
    </row>
    <row r="28" spans="2:29" ht="14.25" customHeight="1" x14ac:dyDescent="0.25">
      <c r="B28" s="206" t="s">
        <v>27</v>
      </c>
      <c r="C28" s="207">
        <f>'Input Sheet'!G27</f>
        <v>63.636363636363633</v>
      </c>
      <c r="D28" s="213">
        <f>'Input Sheet'!H27</f>
        <v>6.0857142857142854</v>
      </c>
      <c r="E28" s="213"/>
      <c r="F28" s="216">
        <f>'Input Sheet'!J27</f>
        <v>426</v>
      </c>
      <c r="G28" s="208">
        <f>'Input Sheet'!K27</f>
        <v>387.27272727272725</v>
      </c>
      <c r="I28" s="191">
        <f>'Input Sheet'!H66</f>
        <v>0</v>
      </c>
      <c r="J28" s="191">
        <f>'Input Sheet'!I66</f>
        <v>2</v>
      </c>
      <c r="K28" s="191">
        <f>'Input Sheet'!J66</f>
        <v>1</v>
      </c>
      <c r="L28" s="219">
        <f t="shared" si="10"/>
        <v>3</v>
      </c>
      <c r="N28" s="191">
        <f t="shared" si="11"/>
        <v>0</v>
      </c>
      <c r="O28" s="191">
        <f t="shared" si="12"/>
        <v>12.171428571428571</v>
      </c>
      <c r="P28" s="191">
        <f t="shared" si="13"/>
        <v>6.0857142857142854</v>
      </c>
      <c r="Q28" s="219">
        <f t="shared" si="14"/>
        <v>18.257142857142856</v>
      </c>
      <c r="R28" s="137"/>
      <c r="S28" s="191">
        <f>+N28/N$33*'Input Sheet'!H$161</f>
        <v>0</v>
      </c>
      <c r="T28" s="191">
        <f>+O28/O$33*'Input Sheet'!I$161</f>
        <v>18.759368085527818</v>
      </c>
      <c r="U28" s="191">
        <f>+P28/P$33*'Input Sheet'!J$161</f>
        <v>6.1518972665579126</v>
      </c>
      <c r="V28" s="219">
        <f t="shared" si="15"/>
        <v>24.911265352085731</v>
      </c>
      <c r="W28" s="138"/>
      <c r="X28" s="224">
        <f t="shared" si="6"/>
        <v>8.3037551173619111</v>
      </c>
      <c r="Y28" s="141">
        <f t="shared" si="16"/>
        <v>8</v>
      </c>
      <c r="Z28" s="141">
        <f t="shared" si="17"/>
        <v>8</v>
      </c>
      <c r="AA28" s="191">
        <f t="shared" si="18"/>
        <v>24</v>
      </c>
      <c r="AB28" s="146"/>
      <c r="AC28" s="137"/>
    </row>
    <row r="29" spans="2:29" ht="14.25" customHeight="1" x14ac:dyDescent="0.25">
      <c r="B29" s="206" t="s">
        <v>9</v>
      </c>
      <c r="C29" s="207"/>
      <c r="D29" s="213"/>
      <c r="E29" s="213"/>
      <c r="F29" s="216"/>
      <c r="G29" s="208"/>
      <c r="I29" s="191"/>
      <c r="J29" s="191"/>
      <c r="K29" s="191"/>
      <c r="L29" s="219"/>
      <c r="N29" s="191"/>
      <c r="O29" s="191"/>
      <c r="P29" s="191"/>
      <c r="Q29" s="219"/>
      <c r="R29" s="137"/>
      <c r="S29" s="191"/>
      <c r="T29" s="191"/>
      <c r="U29" s="191"/>
      <c r="V29" s="219"/>
      <c r="W29" s="138"/>
      <c r="X29" s="224"/>
      <c r="Y29" s="141"/>
      <c r="Z29" s="141"/>
      <c r="AA29" s="191"/>
      <c r="AB29" s="146"/>
      <c r="AC29" s="137"/>
    </row>
    <row r="30" spans="2:29" ht="14.25" customHeight="1" x14ac:dyDescent="0.25">
      <c r="B30" s="206" t="s">
        <v>12</v>
      </c>
      <c r="C30" s="207">
        <f>'Input Sheet'!G29</f>
        <v>63.636363636363633</v>
      </c>
      <c r="D30" s="213" t="str">
        <f>'Input Sheet'!H29</f>
        <v>Hourly</v>
      </c>
      <c r="E30" s="213">
        <f>'Input Sheet'!I29</f>
        <v>3</v>
      </c>
      <c r="F30" s="216">
        <f>'Input Sheet'!J29</f>
        <v>70</v>
      </c>
      <c r="G30" s="208">
        <f>'Input Sheet'!K29</f>
        <v>63.636363636363633</v>
      </c>
      <c r="I30" s="191">
        <f>'Input Sheet'!H68</f>
        <v>125</v>
      </c>
      <c r="J30" s="191">
        <f>'Input Sheet'!I68</f>
        <v>136</v>
      </c>
      <c r="K30" s="191">
        <f>'Input Sheet'!J68</f>
        <v>188</v>
      </c>
      <c r="L30" s="219">
        <f t="shared" ref="L30:L31" si="19">SUM(I30:K30)</f>
        <v>449</v>
      </c>
      <c r="N30" s="191">
        <f t="shared" ref="N30:N31" si="20">IF($D30="Hourly",I30*$E30,$D30*I30)</f>
        <v>375</v>
      </c>
      <c r="O30" s="191">
        <f t="shared" ref="O30:O31" si="21">IF($D30="Hourly",J30*$E30,$D30*J30)</f>
        <v>408</v>
      </c>
      <c r="P30" s="191">
        <f t="shared" ref="P30:P31" si="22">IF($D30="Hourly",K30*$E30,$D30*K30)</f>
        <v>564</v>
      </c>
      <c r="Q30" s="219">
        <f t="shared" ref="Q30:Q31" si="23">SUM(N30:P30)</f>
        <v>1347</v>
      </c>
      <c r="R30" s="137"/>
      <c r="S30" s="191">
        <f>+N30/N$33*'Input Sheet'!H$161</f>
        <v>493.83637779857332</v>
      </c>
      <c r="T30" s="191">
        <f>+O30/O$33*'Input Sheet'!I$161</f>
        <v>628.83515554304518</v>
      </c>
      <c r="U30" s="191">
        <f>+P30/P$33*'Input Sheet'!J$161</f>
        <v>570.13357766128263</v>
      </c>
      <c r="V30" s="219">
        <f t="shared" ref="V30:V31" si="24">SUM(S30:U30)</f>
        <v>1692.805111002901</v>
      </c>
      <c r="W30" s="138"/>
      <c r="X30" s="224">
        <f t="shared" si="6"/>
        <v>3.7701672850844119</v>
      </c>
      <c r="Y30" s="141">
        <f t="shared" ref="Y30:Y31" si="25">ROUND(X30,0)</f>
        <v>4</v>
      </c>
      <c r="Z30" s="141" t="str">
        <f t="shared" ref="Z30:Z31" si="26">IF(D30="Hourly","Hourly",Y30)</f>
        <v>Hourly</v>
      </c>
      <c r="AA30" s="191">
        <f t="shared" ref="AA30:AA31" si="27">+Y30*L30</f>
        <v>1796</v>
      </c>
      <c r="AB30" s="146"/>
      <c r="AC30" s="137"/>
    </row>
    <row r="31" spans="2:29" ht="14.25" customHeight="1" x14ac:dyDescent="0.25">
      <c r="B31" s="206" t="s">
        <v>13</v>
      </c>
      <c r="C31" s="207">
        <f>'Input Sheet'!G30</f>
        <v>63.636363636363633</v>
      </c>
      <c r="D31" s="214" t="str">
        <f>'Input Sheet'!H30</f>
        <v>Hourly</v>
      </c>
      <c r="E31" s="214">
        <f>'Input Sheet'!I30</f>
        <v>3</v>
      </c>
      <c r="F31" s="216">
        <f>'Input Sheet'!J30</f>
        <v>70</v>
      </c>
      <c r="G31" s="208">
        <f>'Input Sheet'!K30</f>
        <v>63.636363636363633</v>
      </c>
      <c r="I31" s="191">
        <f>'Input Sheet'!H69</f>
        <v>39</v>
      </c>
      <c r="J31" s="191">
        <f>'Input Sheet'!I69</f>
        <v>69</v>
      </c>
      <c r="K31" s="191">
        <f>'Input Sheet'!J69</f>
        <v>59</v>
      </c>
      <c r="L31" s="219">
        <f t="shared" si="19"/>
        <v>167</v>
      </c>
      <c r="N31" s="191">
        <f t="shared" si="20"/>
        <v>117</v>
      </c>
      <c r="O31" s="191">
        <f t="shared" si="21"/>
        <v>207</v>
      </c>
      <c r="P31" s="191">
        <f t="shared" si="22"/>
        <v>177</v>
      </c>
      <c r="Q31" s="219">
        <f t="shared" si="23"/>
        <v>501</v>
      </c>
      <c r="R31" s="137"/>
      <c r="S31" s="191">
        <f>+N31/N$33*'Input Sheet'!H$161</f>
        <v>154.07694987315486</v>
      </c>
      <c r="T31" s="191">
        <f>+O31/O$33*'Input Sheet'!I$161</f>
        <v>319.04136567992737</v>
      </c>
      <c r="U31" s="191">
        <f>+P31/P$33*'Input Sheet'!J$161</f>
        <v>178.92489937242379</v>
      </c>
      <c r="V31" s="219">
        <f t="shared" si="24"/>
        <v>652.04321492550594</v>
      </c>
      <c r="W31" s="138"/>
      <c r="X31" s="224">
        <f t="shared" si="6"/>
        <v>3.9044503887754844</v>
      </c>
      <c r="Y31" s="141">
        <f t="shared" si="25"/>
        <v>4</v>
      </c>
      <c r="Z31" s="141" t="str">
        <f t="shared" si="26"/>
        <v>Hourly</v>
      </c>
      <c r="AA31" s="191">
        <f t="shared" si="27"/>
        <v>668</v>
      </c>
      <c r="AB31" s="146"/>
      <c r="AC31" s="137"/>
    </row>
    <row r="32" spans="2:29" ht="14.25" customHeight="1" x14ac:dyDescent="0.25">
      <c r="B32" s="197"/>
      <c r="C32" s="197"/>
      <c r="D32" s="196"/>
      <c r="E32" s="196"/>
      <c r="F32" s="196"/>
      <c r="G32" s="198"/>
      <c r="I32" s="195"/>
      <c r="J32" s="195"/>
      <c r="K32" s="192"/>
      <c r="L32" s="195"/>
      <c r="N32" s="195"/>
      <c r="O32" s="195"/>
      <c r="P32" s="195"/>
      <c r="Q32" s="195"/>
      <c r="S32" s="193"/>
      <c r="T32" s="193"/>
      <c r="U32" s="193"/>
      <c r="V32" s="193"/>
      <c r="W32" s="143"/>
      <c r="X32" s="195"/>
      <c r="Y32" s="195"/>
      <c r="Z32" s="195"/>
      <c r="AA32" s="195"/>
    </row>
    <row r="33" spans="9:27" ht="14.25" customHeight="1" thickBot="1" x14ac:dyDescent="0.3">
      <c r="I33" s="194">
        <f t="shared" ref="I33:K33" si="28">SUM(I10:I32)</f>
        <v>846</v>
      </c>
      <c r="J33" s="194">
        <f t="shared" si="28"/>
        <v>955</v>
      </c>
      <c r="K33" s="194">
        <f t="shared" si="28"/>
        <v>951</v>
      </c>
      <c r="L33" s="194">
        <f>SUM(L10:L32)</f>
        <v>2752</v>
      </c>
      <c r="N33" s="194">
        <f>SUM(N10:N32)</f>
        <v>2948.6571428571424</v>
      </c>
      <c r="O33" s="194">
        <f>SUM(O10:O32)</f>
        <v>3422.6285714285709</v>
      </c>
      <c r="P33" s="194">
        <f>SUM(P10:P32)</f>
        <v>3338.3428571428576</v>
      </c>
      <c r="Q33" s="194">
        <f>SUM(Q10:Q32)</f>
        <v>9709.6285714285714</v>
      </c>
      <c r="S33" s="194">
        <f>SUM(S10:S32)</f>
        <v>3883.0777674625647</v>
      </c>
      <c r="T33" s="194">
        <f>SUM(T10:T32)</f>
        <v>5275.1695345106773</v>
      </c>
      <c r="U33" s="194">
        <f>SUM(U10:U32)</f>
        <v>3374.6477953951162</v>
      </c>
      <c r="V33" s="194">
        <f>SUM(V10:V32)</f>
        <v>12532.89509736836</v>
      </c>
      <c r="X33" s="225"/>
      <c r="Y33" s="225"/>
      <c r="Z33" s="225"/>
      <c r="AA33" s="194">
        <f>SUM(AA10:AA32)</f>
        <v>12916</v>
      </c>
    </row>
    <row r="34" spans="9:27" ht="14.25" customHeight="1" x14ac:dyDescent="0.25"/>
    <row r="35" spans="9:27" ht="14.25" customHeight="1" x14ac:dyDescent="0.25">
      <c r="M35" s="148"/>
      <c r="Y35" s="149"/>
      <c r="Z35" s="149"/>
      <c r="AA35" s="137"/>
    </row>
    <row r="36" spans="9:27" ht="14.25" customHeight="1" x14ac:dyDescent="0.25">
      <c r="Y36" s="150"/>
      <c r="Z36" s="150"/>
      <c r="AA36" s="137"/>
    </row>
    <row r="37" spans="9:27" ht="14.25" customHeight="1" x14ac:dyDescent="0.25">
      <c r="Y37" s="150"/>
      <c r="Z37" s="150"/>
      <c r="AA37" s="144"/>
    </row>
    <row r="38" spans="9:27" x14ac:dyDescent="0.25">
      <c r="V38" s="137"/>
    </row>
    <row r="39" spans="9:27" x14ac:dyDescent="0.25">
      <c r="K39" s="143"/>
      <c r="L39" s="143"/>
      <c r="M39" s="140"/>
      <c r="N39" s="140"/>
      <c r="O39" s="140"/>
      <c r="P39" s="140"/>
      <c r="Q39" s="140"/>
      <c r="V39" s="137"/>
    </row>
    <row r="40" spans="9:27" x14ac:dyDescent="0.25">
      <c r="K40" s="143"/>
      <c r="L40" s="143"/>
      <c r="M40" s="221"/>
      <c r="N40" s="222"/>
      <c r="O40" s="222"/>
      <c r="P40" s="222"/>
      <c r="Q40" s="222"/>
      <c r="V40" s="137"/>
    </row>
    <row r="41" spans="9:27" x14ac:dyDescent="0.25">
      <c r="K41" s="143"/>
      <c r="L41" s="143"/>
      <c r="M41" s="140"/>
      <c r="N41" s="143"/>
      <c r="O41" s="143"/>
      <c r="P41" s="142"/>
      <c r="Q41" s="142"/>
      <c r="R41" s="148"/>
    </row>
    <row r="42" spans="9:27" x14ac:dyDescent="0.25">
      <c r="K42" s="143"/>
      <c r="L42" s="143"/>
      <c r="M42" s="140"/>
      <c r="N42" s="143"/>
      <c r="O42" s="143"/>
      <c r="P42" s="143"/>
      <c r="Q42" s="142"/>
    </row>
    <row r="43" spans="9:27" x14ac:dyDescent="0.25">
      <c r="K43" s="143"/>
      <c r="L43" s="143"/>
      <c r="M43" s="140"/>
      <c r="N43" s="143"/>
      <c r="O43" s="143"/>
      <c r="P43" s="143"/>
      <c r="Q43" s="143"/>
    </row>
    <row r="44" spans="9:27" x14ac:dyDescent="0.25">
      <c r="K44" s="143"/>
      <c r="L44" s="143"/>
      <c r="M44" s="140"/>
      <c r="N44" s="223"/>
      <c r="O44" s="223"/>
      <c r="P44" s="223"/>
      <c r="Q44" s="223"/>
    </row>
    <row r="45" spans="9:27" x14ac:dyDescent="0.25">
      <c r="N45" s="151"/>
      <c r="O45" s="151"/>
      <c r="P45" s="151"/>
      <c r="Q45" s="151"/>
    </row>
  </sheetData>
  <mergeCells count="6">
    <mergeCell ref="B6:Q6"/>
    <mergeCell ref="C8:G8"/>
    <mergeCell ref="I8:L8"/>
    <mergeCell ref="X8:AA8"/>
    <mergeCell ref="S8:V8"/>
    <mergeCell ref="N8:Q8"/>
  </mergeCells>
  <pageMargins left="0.39370078740157483" right="0.39370078740157483" top="0.39370078740157483" bottom="0.39370078740157483" header="0.19685039370078741" footer="0.19685039370078741"/>
  <pageSetup paperSize="9" scale="46" fitToHeight="0" orientation="landscape"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102</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47"/>
  <sheetViews>
    <sheetView showGridLines="0" tabSelected="1" zoomScaleNormal="100"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8" ht="21" x14ac:dyDescent="0.35">
      <c r="B2" s="160" t="s">
        <v>109</v>
      </c>
      <c r="C2" s="161"/>
      <c r="D2" s="161"/>
      <c r="E2" s="161"/>
      <c r="F2" s="161"/>
      <c r="G2" s="161"/>
      <c r="H2" s="161"/>
    </row>
    <row r="3" spans="2:8" x14ac:dyDescent="0.25">
      <c r="B3" s="11" t="s">
        <v>0</v>
      </c>
      <c r="C3" s="16" t="s">
        <v>98</v>
      </c>
      <c r="D3" s="17"/>
      <c r="E3" s="17"/>
      <c r="F3" s="17"/>
      <c r="G3" s="17"/>
      <c r="H3" s="17"/>
    </row>
    <row r="4" spans="2:8" x14ac:dyDescent="0.25">
      <c r="B4" s="11" t="s">
        <v>168</v>
      </c>
      <c r="C4" s="399" t="s">
        <v>190</v>
      </c>
      <c r="D4" s="400"/>
      <c r="E4" s="400"/>
      <c r="F4" s="400"/>
      <c r="G4" s="400"/>
      <c r="H4" s="400"/>
    </row>
    <row r="5" spans="2:8" ht="32.25" customHeight="1" x14ac:dyDescent="0.25">
      <c r="B5" s="240" t="s">
        <v>158</v>
      </c>
      <c r="C5" s="401" t="s">
        <v>161</v>
      </c>
      <c r="D5" s="401"/>
      <c r="E5" s="401"/>
      <c r="F5" s="401"/>
      <c r="G5" s="401"/>
      <c r="H5" s="401"/>
    </row>
    <row r="6" spans="2:8" ht="32.25" customHeight="1" x14ac:dyDescent="0.25">
      <c r="B6" s="166" t="s">
        <v>159</v>
      </c>
      <c r="C6" s="401" t="s">
        <v>162</v>
      </c>
      <c r="D6" s="401"/>
      <c r="E6" s="401"/>
      <c r="F6" s="401"/>
      <c r="G6" s="401"/>
      <c r="H6" s="401"/>
    </row>
    <row r="7" spans="2:8" x14ac:dyDescent="0.25">
      <c r="B7" s="166"/>
      <c r="C7" s="239"/>
      <c r="D7" s="241" t="s">
        <v>42</v>
      </c>
      <c r="E7" s="241" t="s">
        <v>43</v>
      </c>
      <c r="F7" s="241" t="s">
        <v>44</v>
      </c>
      <c r="G7" s="241" t="s">
        <v>45</v>
      </c>
      <c r="H7" s="241" t="s">
        <v>46</v>
      </c>
    </row>
    <row r="8" spans="2:8" x14ac:dyDescent="0.25">
      <c r="B8" s="166"/>
      <c r="C8" s="239"/>
      <c r="D8" s="242">
        <f>'Input Sheet'!G183</f>
        <v>172.59724505765215</v>
      </c>
      <c r="E8" s="242">
        <f>'Input Sheet'!H183</f>
        <v>180.12761451481842</v>
      </c>
      <c r="F8" s="242">
        <f>'Input Sheet'!I183</f>
        <v>186.22632113188152</v>
      </c>
      <c r="G8" s="242">
        <f>'Input Sheet'!J183</f>
        <v>192.7867313882808</v>
      </c>
      <c r="H8" s="242">
        <f>'Input Sheet'!K183</f>
        <v>199.42560249725935</v>
      </c>
    </row>
    <row r="10" spans="2:8" x14ac:dyDescent="0.25">
      <c r="B10" s="158" t="s">
        <v>118</v>
      </c>
      <c r="C10" s="155"/>
      <c r="D10" s="155"/>
      <c r="E10" s="155"/>
      <c r="F10" s="155"/>
      <c r="G10" s="155"/>
      <c r="H10" s="155"/>
    </row>
    <row r="11" spans="2:8" x14ac:dyDescent="0.25">
      <c r="B11" s="403" t="s">
        <v>32</v>
      </c>
      <c r="C11" s="403"/>
      <c r="D11" s="403"/>
      <c r="E11" s="403"/>
      <c r="F11" s="403"/>
      <c r="G11" s="403"/>
      <c r="H11" s="403"/>
    </row>
    <row r="13" spans="2:8" x14ac:dyDescent="0.25">
      <c r="B13" s="158" t="s">
        <v>166</v>
      </c>
      <c r="C13" s="155"/>
      <c r="D13" s="155"/>
      <c r="E13" s="155"/>
      <c r="F13" s="155"/>
      <c r="G13" s="155"/>
      <c r="H13" s="155"/>
    </row>
    <row r="14" spans="2:8" ht="15" customHeight="1" x14ac:dyDescent="0.25">
      <c r="B14" s="403" t="s">
        <v>144</v>
      </c>
      <c r="C14" s="403"/>
      <c r="D14" s="403"/>
      <c r="E14" s="403"/>
      <c r="F14" s="403"/>
      <c r="G14" s="403"/>
      <c r="H14" s="403"/>
    </row>
    <row r="15" spans="2:8" ht="47.25" customHeight="1" x14ac:dyDescent="0.25">
      <c r="B15" s="404" t="s">
        <v>145</v>
      </c>
      <c r="C15" s="404"/>
      <c r="D15" s="404"/>
      <c r="E15" s="404"/>
      <c r="F15" s="404"/>
      <c r="G15" s="404"/>
      <c r="H15" s="404"/>
    </row>
    <row r="16" spans="2:8" ht="47.25" customHeight="1" x14ac:dyDescent="0.25">
      <c r="B16" s="404" t="s">
        <v>160</v>
      </c>
      <c r="C16" s="404"/>
      <c r="D16" s="404"/>
      <c r="E16" s="404"/>
      <c r="F16" s="404"/>
      <c r="G16" s="404"/>
      <c r="H16" s="404"/>
    </row>
    <row r="17" spans="2:8" ht="48" customHeight="1" x14ac:dyDescent="0.25">
      <c r="B17" s="404" t="s">
        <v>183</v>
      </c>
      <c r="C17" s="404"/>
      <c r="D17" s="404"/>
      <c r="E17" s="404"/>
      <c r="F17" s="404"/>
      <c r="G17" s="404"/>
      <c r="H17" s="404"/>
    </row>
    <row r="18" spans="2:8" ht="47.25" customHeight="1" x14ac:dyDescent="0.25">
      <c r="B18" s="404" t="s">
        <v>184</v>
      </c>
      <c r="C18" s="404"/>
      <c r="D18" s="404"/>
      <c r="E18" s="404"/>
      <c r="F18" s="404"/>
      <c r="G18" s="404"/>
      <c r="H18" s="404"/>
    </row>
    <row r="19" spans="2:8" ht="47.25" customHeight="1" x14ac:dyDescent="0.25">
      <c r="B19" s="404" t="s">
        <v>154</v>
      </c>
      <c r="C19" s="404"/>
      <c r="D19" s="404"/>
      <c r="E19" s="404"/>
      <c r="F19" s="404"/>
      <c r="G19" s="404"/>
      <c r="H19" s="404"/>
    </row>
    <row r="20" spans="2:8" ht="32.25" customHeight="1" x14ac:dyDescent="0.25">
      <c r="B20" s="404" t="s">
        <v>153</v>
      </c>
      <c r="C20" s="404"/>
      <c r="D20" s="404"/>
      <c r="E20" s="404"/>
      <c r="F20" s="404"/>
      <c r="G20" s="404"/>
      <c r="H20" s="404"/>
    </row>
    <row r="21" spans="2:8" ht="47.25" customHeight="1" x14ac:dyDescent="0.25">
      <c r="B21" s="404" t="s">
        <v>185</v>
      </c>
      <c r="C21" s="404"/>
      <c r="D21" s="404"/>
      <c r="E21" s="404"/>
      <c r="F21" s="404"/>
      <c r="G21" s="404"/>
      <c r="H21" s="404"/>
    </row>
    <row r="23" spans="2:8" x14ac:dyDescent="0.25">
      <c r="B23" s="158" t="s">
        <v>146</v>
      </c>
      <c r="C23" s="155"/>
      <c r="D23" s="155"/>
      <c r="E23" s="155"/>
      <c r="F23" s="155"/>
      <c r="G23" s="155"/>
      <c r="H23" s="155"/>
    </row>
    <row r="24" spans="2:8" ht="77.25" customHeight="1" x14ac:dyDescent="0.25">
      <c r="B24" s="403" t="s">
        <v>186</v>
      </c>
      <c r="C24" s="403"/>
      <c r="D24" s="403"/>
      <c r="E24" s="403"/>
      <c r="F24" s="403"/>
      <c r="G24" s="403"/>
      <c r="H24" s="403"/>
    </row>
    <row r="26" spans="2:8" x14ac:dyDescent="0.25">
      <c r="B26" s="14" t="s">
        <v>149</v>
      </c>
      <c r="C26" s="405" t="s">
        <v>5</v>
      </c>
      <c r="D26" s="406"/>
      <c r="E26" s="13" t="s">
        <v>38</v>
      </c>
      <c r="F26" s="13" t="s">
        <v>39</v>
      </c>
      <c r="G26" s="13" t="s">
        <v>40</v>
      </c>
      <c r="H26" s="237" t="s">
        <v>1</v>
      </c>
    </row>
    <row r="27" spans="2:8" x14ac:dyDescent="0.25">
      <c r="B27" s="15" t="s">
        <v>147</v>
      </c>
      <c r="C27" s="402" t="s">
        <v>150</v>
      </c>
      <c r="D27" s="402"/>
      <c r="E27" s="9">
        <f>'Input Sheet'!H36</f>
        <v>225260.86000000234</v>
      </c>
      <c r="F27" s="9">
        <f>'Input Sheet'!I36</f>
        <v>220696.25000000212</v>
      </c>
      <c r="G27" s="9">
        <f>'Input Sheet'!J36</f>
        <v>214177.30000000115</v>
      </c>
      <c r="H27" s="18">
        <f>SUM(D27:G27)</f>
        <v>660134.41000000562</v>
      </c>
    </row>
    <row r="28" spans="2:8" x14ac:dyDescent="0.25">
      <c r="B28" s="15" t="s">
        <v>49</v>
      </c>
      <c r="C28" s="402" t="s">
        <v>151</v>
      </c>
      <c r="D28" s="402"/>
      <c r="E28" s="9">
        <f>'Input Sheet'!H166</f>
        <v>267724.52546585578</v>
      </c>
      <c r="F28" s="9">
        <f>'Input Sheet'!I166</f>
        <v>350361.47383296979</v>
      </c>
      <c r="G28" s="9">
        <f>'Input Sheet'!J166</f>
        <v>236794.04067289984</v>
      </c>
      <c r="H28" s="18">
        <f>SUM(D28:G28)</f>
        <v>854880.03997172543</v>
      </c>
    </row>
    <row r="29" spans="2:8" x14ac:dyDescent="0.25">
      <c r="B29" t="s">
        <v>4</v>
      </c>
      <c r="C29" s="402" t="s">
        <v>152</v>
      </c>
      <c r="D29" s="402"/>
      <c r="E29" s="152">
        <f>'Input Sheet'!H70</f>
        <v>846</v>
      </c>
      <c r="F29" s="152">
        <f>'Input Sheet'!I70</f>
        <v>955</v>
      </c>
      <c r="G29" s="152">
        <f>'Input Sheet'!J70</f>
        <v>951</v>
      </c>
      <c r="H29" s="154">
        <f>SUM(D29:G29)</f>
        <v>2752</v>
      </c>
    </row>
    <row r="31" spans="2:8" x14ac:dyDescent="0.25">
      <c r="B31" s="158" t="s">
        <v>148</v>
      </c>
      <c r="C31" s="155"/>
      <c r="D31" s="155"/>
      <c r="E31" s="155"/>
      <c r="F31" s="155"/>
      <c r="G31" s="155"/>
      <c r="H31" s="155"/>
    </row>
    <row r="32" spans="2:8" ht="78" customHeight="1" x14ac:dyDescent="0.25">
      <c r="B32" s="403" t="s">
        <v>193</v>
      </c>
      <c r="C32" s="403"/>
      <c r="D32" s="403"/>
      <c r="E32" s="403"/>
      <c r="F32" s="403"/>
      <c r="G32" s="403"/>
      <c r="H32" s="403"/>
    </row>
    <row r="34" spans="2:8" x14ac:dyDescent="0.25">
      <c r="B34" s="12" t="s">
        <v>149</v>
      </c>
      <c r="C34" s="13" t="s">
        <v>42</v>
      </c>
      <c r="D34" s="13" t="s">
        <v>43</v>
      </c>
      <c r="E34" s="13" t="s">
        <v>44</v>
      </c>
      <c r="F34" s="13" t="s">
        <v>45</v>
      </c>
      <c r="G34" s="13" t="s">
        <v>46</v>
      </c>
      <c r="H34" s="237" t="s">
        <v>1</v>
      </c>
    </row>
    <row r="35" spans="2:8" x14ac:dyDescent="0.25">
      <c r="B35" s="15" t="s">
        <v>147</v>
      </c>
      <c r="C35" s="9">
        <f>'Fee Breakdown'!AB32</f>
        <v>755458.1416173433</v>
      </c>
      <c r="D35" s="9">
        <f>'Fee Breakdown'!AC32</f>
        <v>788418.5687313599</v>
      </c>
      <c r="E35" s="9">
        <f>'Fee Breakdown'!AD32</f>
        <v>815112.60759424535</v>
      </c>
      <c r="F35" s="9">
        <f>'Fee Breakdown'!AE32</f>
        <v>843827.52328650502</v>
      </c>
      <c r="G35" s="9">
        <f>'Fee Breakdown'!AF32</f>
        <v>872885.8621305041</v>
      </c>
      <c r="H35" s="18">
        <f>SUM(C35:G35)</f>
        <v>4075702.7033599578</v>
      </c>
    </row>
    <row r="36" spans="2:8" x14ac:dyDescent="0.25">
      <c r="B36" s="15"/>
      <c r="C36" s="9"/>
      <c r="D36" s="9"/>
      <c r="E36" s="9"/>
      <c r="F36" s="9"/>
      <c r="G36" s="9"/>
      <c r="H36" s="18"/>
    </row>
    <row r="37" spans="2:8" x14ac:dyDescent="0.25">
      <c r="B37" s="15" t="s">
        <v>49</v>
      </c>
      <c r="C37" s="9">
        <f>'Fee Breakdown'!P61</f>
        <v>333551.13304899068</v>
      </c>
      <c r="D37" s="9">
        <f>'Fee Breakdown'!Q61</f>
        <v>348103.8755558384</v>
      </c>
      <c r="E37" s="9">
        <f>'Fee Breakdown'!R61</f>
        <v>359889.87191734056</v>
      </c>
      <c r="F37" s="9">
        <f>'Fee Breakdown'!S61</f>
        <v>372568.12917201029</v>
      </c>
      <c r="G37" s="9">
        <f>'Fee Breakdown'!T61</f>
        <v>385398.01518685569</v>
      </c>
      <c r="H37" s="18">
        <f>SUM(C37:G37)</f>
        <v>1799511.0248810356</v>
      </c>
    </row>
    <row r="38" spans="2:8" x14ac:dyDescent="0.25">
      <c r="B38" s="15" t="s">
        <v>51</v>
      </c>
      <c r="C38" s="9">
        <f>'Fee Breakdown'!V61</f>
        <v>391406.36206932977</v>
      </c>
      <c r="D38" s="9">
        <f>'Fee Breakdown'!W61</f>
        <v>438612.09466729633</v>
      </c>
      <c r="E38" s="9">
        <f>'Fee Breakdown'!X61</f>
        <v>457435.20108912367</v>
      </c>
      <c r="F38" s="9">
        <f>'Fee Breakdown'!Y61</f>
        <v>483360.99350004003</v>
      </c>
      <c r="G38" s="9">
        <f>'Fee Breakdown'!Z61</f>
        <v>509726.87849347858</v>
      </c>
      <c r="H38" s="18">
        <f>SUM(C38:G38)</f>
        <v>2280541.5298192683</v>
      </c>
    </row>
    <row r="39" spans="2:8" ht="15.75" thickBot="1" x14ac:dyDescent="0.3">
      <c r="B39" s="156" t="s">
        <v>122</v>
      </c>
      <c r="C39" s="157">
        <f>SUM(C37:C38)</f>
        <v>724957.49511832045</v>
      </c>
      <c r="D39" s="157">
        <f t="shared" ref="D39:H39" si="0">SUM(D37:D38)</f>
        <v>786715.97022313473</v>
      </c>
      <c r="E39" s="157">
        <f t="shared" si="0"/>
        <v>817325.07300646417</v>
      </c>
      <c r="F39" s="157">
        <f t="shared" si="0"/>
        <v>855929.12267205026</v>
      </c>
      <c r="G39" s="157">
        <f t="shared" si="0"/>
        <v>895124.89368033432</v>
      </c>
      <c r="H39" s="157">
        <f t="shared" si="0"/>
        <v>4080052.5547003038</v>
      </c>
    </row>
    <row r="40" spans="2:8" x14ac:dyDescent="0.25">
      <c r="B40" s="15"/>
      <c r="C40" s="9"/>
      <c r="D40" s="9"/>
      <c r="E40" s="9"/>
      <c r="F40" s="9"/>
      <c r="G40" s="9"/>
      <c r="H40" s="18"/>
    </row>
    <row r="41" spans="2:8" x14ac:dyDescent="0.25">
      <c r="B41" t="s">
        <v>4</v>
      </c>
      <c r="C41" s="235">
        <f>'Fee Breakdown'!H61</f>
        <v>950</v>
      </c>
      <c r="D41" s="235">
        <f>'Fee Breakdown'!I61</f>
        <v>950</v>
      </c>
      <c r="E41" s="235">
        <f>'Fee Breakdown'!J61</f>
        <v>950</v>
      </c>
      <c r="F41" s="235">
        <f>'Fee Breakdown'!K61</f>
        <v>950</v>
      </c>
      <c r="G41" s="235">
        <f>'Fee Breakdown'!L61</f>
        <v>950</v>
      </c>
      <c r="H41" s="236">
        <f>SUM(C41:G41)</f>
        <v>4750</v>
      </c>
    </row>
    <row r="42" spans="2:8" x14ac:dyDescent="0.25">
      <c r="C42" s="3"/>
      <c r="D42" s="4"/>
      <c r="E42" s="3"/>
      <c r="F42" s="3"/>
      <c r="G42" s="3"/>
    </row>
    <row r="43" spans="2:8" x14ac:dyDescent="0.25">
      <c r="B43" s="158" t="s">
        <v>119</v>
      </c>
      <c r="C43" s="155"/>
      <c r="D43" s="155"/>
      <c r="E43" s="155"/>
      <c r="F43" s="155"/>
      <c r="G43" s="155"/>
      <c r="H43" s="155"/>
    </row>
    <row r="44" spans="2:8" ht="62.25" customHeight="1" x14ac:dyDescent="0.25">
      <c r="B44" s="403" t="s">
        <v>187</v>
      </c>
      <c r="C44" s="403"/>
      <c r="D44" s="403"/>
      <c r="E44" s="403"/>
      <c r="F44" s="403"/>
      <c r="G44" s="403"/>
      <c r="H44" s="403"/>
    </row>
    <row r="46" spans="2:8" x14ac:dyDescent="0.25">
      <c r="B46" s="12" t="s">
        <v>149</v>
      </c>
      <c r="C46" s="13" t="s">
        <v>42</v>
      </c>
      <c r="D46" s="13" t="s">
        <v>43</v>
      </c>
      <c r="E46" s="13" t="s">
        <v>44</v>
      </c>
      <c r="F46" s="13" t="s">
        <v>45</v>
      </c>
      <c r="G46" s="13" t="s">
        <v>46</v>
      </c>
      <c r="H46" s="237" t="s">
        <v>121</v>
      </c>
    </row>
    <row r="47" spans="2:8" x14ac:dyDescent="0.25">
      <c r="B47" t="s">
        <v>120</v>
      </c>
      <c r="C47" s="8">
        <f>+'Input Sheet'!G192</f>
        <v>2.1734523534412387</v>
      </c>
      <c r="D47" s="8">
        <f>+'Input Sheet'!H192</f>
        <v>2.2600034801880273</v>
      </c>
      <c r="E47" s="8">
        <f>+'Input Sheet'!I192</f>
        <v>2.2710421625707418</v>
      </c>
      <c r="F47" s="8">
        <f>+'Input Sheet'!J192</f>
        <v>2.2973761190315822</v>
      </c>
      <c r="G47" s="8">
        <f>+'Input Sheet'!K192</f>
        <v>2.3225986082111594</v>
      </c>
      <c r="H47" s="153">
        <f>AVERAGE(C47:G47)</f>
        <v>2.2648945446885498</v>
      </c>
    </row>
  </sheetData>
  <mergeCells count="19">
    <mergeCell ref="B44:H44"/>
    <mergeCell ref="B14:H14"/>
    <mergeCell ref="B11:H11"/>
    <mergeCell ref="B15:H15"/>
    <mergeCell ref="B16:H16"/>
    <mergeCell ref="B17:H17"/>
    <mergeCell ref="B24:H24"/>
    <mergeCell ref="B18:H18"/>
    <mergeCell ref="B20:H20"/>
    <mergeCell ref="B21:H21"/>
    <mergeCell ref="B19:H19"/>
    <mergeCell ref="B32:H32"/>
    <mergeCell ref="C26:D26"/>
    <mergeCell ref="C4:H4"/>
    <mergeCell ref="C5:H5"/>
    <mergeCell ref="C27:D27"/>
    <mergeCell ref="C28:D28"/>
    <mergeCell ref="C29:D29"/>
    <mergeCell ref="C6:H6"/>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28"/>
  <sheetViews>
    <sheetView showGridLines="0" zoomScaleNormal="10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160" t="s">
        <v>108</v>
      </c>
      <c r="C2" s="160"/>
      <c r="D2" s="159"/>
      <c r="E2" s="159"/>
      <c r="F2" s="159"/>
      <c r="G2" s="159"/>
      <c r="H2" s="159"/>
      <c r="I2" s="159"/>
      <c r="J2" s="159"/>
      <c r="K2" s="159"/>
    </row>
    <row r="3" spans="2:13" x14ac:dyDescent="0.25">
      <c r="B3" s="14" t="s">
        <v>0</v>
      </c>
      <c r="C3" s="12"/>
      <c r="D3" s="407" t="str">
        <f>'AER Summary'!C3</f>
        <v>Administration Services</v>
      </c>
      <c r="E3" s="408"/>
      <c r="F3" s="408"/>
      <c r="G3" s="408"/>
      <c r="H3" s="408"/>
      <c r="I3" s="408"/>
      <c r="J3" s="408"/>
      <c r="K3" s="408"/>
      <c r="M3" s="6"/>
    </row>
    <row r="4" spans="2:13" x14ac:dyDescent="0.25">
      <c r="M4" s="6"/>
    </row>
    <row r="5" spans="2:13" x14ac:dyDescent="0.25">
      <c r="B5" s="158" t="s">
        <v>155</v>
      </c>
      <c r="C5" s="158"/>
      <c r="D5" s="158"/>
      <c r="E5" s="158"/>
      <c r="F5" s="158"/>
      <c r="G5" s="158"/>
      <c r="H5" s="158"/>
      <c r="I5" s="158"/>
      <c r="J5" s="158"/>
      <c r="K5" s="158"/>
      <c r="M5" s="7"/>
    </row>
    <row r="6" spans="2:13" x14ac:dyDescent="0.25">
      <c r="B6" s="403" t="s">
        <v>107</v>
      </c>
      <c r="C6" s="403"/>
      <c r="D6" s="403"/>
      <c r="E6" s="403"/>
      <c r="F6" s="403"/>
      <c r="G6" s="403"/>
      <c r="H6" s="403"/>
      <c r="I6" s="403"/>
      <c r="J6" s="403"/>
      <c r="K6" s="403"/>
      <c r="M6" s="7"/>
    </row>
    <row r="7" spans="2:13" x14ac:dyDescent="0.25">
      <c r="B7" s="409"/>
      <c r="C7" s="409"/>
      <c r="D7" s="409"/>
      <c r="E7" s="409"/>
      <c r="F7" s="409"/>
      <c r="G7" s="409"/>
      <c r="H7" s="409"/>
      <c r="I7" s="409"/>
      <c r="J7" s="409"/>
      <c r="K7" s="409"/>
    </row>
    <row r="8" spans="2:13" x14ac:dyDescent="0.25">
      <c r="B8" s="409"/>
      <c r="C8" s="409"/>
      <c r="D8" s="409"/>
      <c r="E8" s="409"/>
      <c r="F8" s="409"/>
      <c r="G8" s="409"/>
      <c r="H8" s="409"/>
      <c r="I8" s="409"/>
      <c r="J8" s="409"/>
      <c r="K8" s="409"/>
    </row>
    <row r="9" spans="2:13" x14ac:dyDescent="0.25">
      <c r="B9" s="409"/>
      <c r="C9" s="409"/>
      <c r="D9" s="409"/>
      <c r="E9" s="409"/>
      <c r="F9" s="409"/>
      <c r="G9" s="409"/>
      <c r="H9" s="409"/>
      <c r="I9" s="409"/>
      <c r="J9" s="409"/>
      <c r="K9" s="409"/>
    </row>
    <row r="10" spans="2:13" x14ac:dyDescent="0.25">
      <c r="B10" s="409"/>
      <c r="C10" s="409"/>
      <c r="D10" s="409"/>
      <c r="E10" s="409"/>
      <c r="F10" s="409"/>
      <c r="G10" s="409"/>
      <c r="H10" s="409"/>
      <c r="I10" s="409"/>
      <c r="J10" s="409"/>
      <c r="K10" s="409"/>
    </row>
    <row r="11" spans="2:13" x14ac:dyDescent="0.25">
      <c r="B11" s="409"/>
      <c r="C11" s="409"/>
      <c r="D11" s="409"/>
      <c r="E11" s="409"/>
      <c r="F11" s="409"/>
      <c r="G11" s="409"/>
      <c r="H11" s="409"/>
      <c r="I11" s="409"/>
      <c r="J11" s="409"/>
      <c r="K11" s="409"/>
    </row>
    <row r="12" spans="2:13" x14ac:dyDescent="0.25">
      <c r="B12" s="409"/>
      <c r="C12" s="409"/>
      <c r="D12" s="409"/>
      <c r="E12" s="409"/>
      <c r="F12" s="409"/>
      <c r="G12" s="409"/>
      <c r="H12" s="409"/>
      <c r="I12" s="409"/>
      <c r="J12" s="409"/>
      <c r="K12" s="409"/>
    </row>
    <row r="13" spans="2:13" ht="136.5" customHeight="1" x14ac:dyDescent="0.25">
      <c r="B13" s="409"/>
      <c r="C13" s="409"/>
      <c r="D13" s="409"/>
      <c r="E13" s="409"/>
      <c r="F13" s="409"/>
      <c r="G13" s="409"/>
      <c r="H13" s="409"/>
      <c r="I13" s="409"/>
      <c r="J13" s="409"/>
      <c r="K13" s="409"/>
    </row>
    <row r="15" spans="2:13" x14ac:dyDescent="0.25">
      <c r="B15" s="158" t="s">
        <v>7</v>
      </c>
      <c r="C15" s="158"/>
      <c r="D15" s="158"/>
      <c r="E15" s="158"/>
      <c r="F15" s="158"/>
      <c r="G15" s="158"/>
      <c r="H15" s="158"/>
      <c r="I15" s="158"/>
      <c r="J15" s="158"/>
      <c r="K15" s="158"/>
    </row>
    <row r="16" spans="2:13" ht="15" customHeight="1" x14ac:dyDescent="0.25">
      <c r="B16" s="403" t="s">
        <v>32</v>
      </c>
      <c r="C16" s="403"/>
      <c r="D16" s="403"/>
      <c r="E16" s="403"/>
      <c r="F16" s="403"/>
      <c r="G16" s="403"/>
      <c r="H16" s="403"/>
      <c r="I16" s="403"/>
      <c r="J16" s="403"/>
      <c r="K16" s="403"/>
    </row>
    <row r="18" spans="2:11" x14ac:dyDescent="0.25">
      <c r="B18" s="158" t="s">
        <v>156</v>
      </c>
      <c r="C18" s="158"/>
      <c r="D18" s="158"/>
      <c r="E18" s="158"/>
      <c r="F18" s="158"/>
      <c r="G18" s="158"/>
      <c r="H18" s="158"/>
      <c r="I18" s="158"/>
      <c r="J18" s="158"/>
      <c r="K18" s="158"/>
    </row>
    <row r="19" spans="2:11" ht="30" customHeight="1" x14ac:dyDescent="0.25">
      <c r="B19" s="403" t="s">
        <v>167</v>
      </c>
      <c r="C19" s="403"/>
      <c r="D19" s="403"/>
      <c r="E19" s="403"/>
      <c r="F19" s="403"/>
      <c r="G19" s="403"/>
      <c r="H19" s="403"/>
      <c r="I19" s="403"/>
      <c r="J19" s="403"/>
      <c r="K19" s="403"/>
    </row>
    <row r="20" spans="2:11" ht="30" customHeight="1" x14ac:dyDescent="0.25">
      <c r="B20" s="409"/>
      <c r="C20" s="409"/>
      <c r="D20" s="409"/>
      <c r="E20" s="409"/>
      <c r="F20" s="409"/>
      <c r="G20" s="409"/>
      <c r="H20" s="409"/>
      <c r="I20" s="409"/>
      <c r="J20" s="409"/>
      <c r="K20" s="409"/>
    </row>
    <row r="21" spans="2:11" ht="30" customHeight="1" x14ac:dyDescent="0.25">
      <c r="B21" s="409"/>
      <c r="C21" s="409"/>
      <c r="D21" s="409"/>
      <c r="E21" s="409"/>
      <c r="F21" s="409"/>
      <c r="G21" s="409"/>
      <c r="H21" s="409"/>
      <c r="I21" s="409"/>
      <c r="J21" s="409"/>
      <c r="K21" s="409"/>
    </row>
    <row r="22" spans="2:11" ht="30" customHeight="1" x14ac:dyDescent="0.25">
      <c r="B22" s="409"/>
      <c r="C22" s="409"/>
      <c r="D22" s="409"/>
      <c r="E22" s="409"/>
      <c r="F22" s="409"/>
      <c r="G22" s="409"/>
      <c r="H22" s="409"/>
      <c r="I22" s="409"/>
      <c r="J22" s="409"/>
      <c r="K22" s="409"/>
    </row>
    <row r="23" spans="2:11" ht="30" customHeight="1" x14ac:dyDescent="0.25">
      <c r="B23" s="409"/>
      <c r="C23" s="409"/>
      <c r="D23" s="409"/>
      <c r="E23" s="409"/>
      <c r="F23" s="409"/>
      <c r="G23" s="409"/>
      <c r="H23" s="409"/>
      <c r="I23" s="409"/>
      <c r="J23" s="409"/>
      <c r="K23" s="409"/>
    </row>
    <row r="24" spans="2:11" ht="30" customHeight="1" x14ac:dyDescent="0.25">
      <c r="B24" s="409"/>
      <c r="C24" s="409"/>
      <c r="D24" s="409"/>
      <c r="E24" s="409"/>
      <c r="F24" s="409"/>
      <c r="G24" s="409"/>
      <c r="H24" s="409"/>
      <c r="I24" s="409"/>
      <c r="J24" s="409"/>
      <c r="K24" s="409"/>
    </row>
    <row r="25" spans="2:11" ht="30" customHeight="1" x14ac:dyDescent="0.25">
      <c r="B25" s="409"/>
      <c r="C25" s="409"/>
      <c r="D25" s="409"/>
      <c r="E25" s="409"/>
      <c r="F25" s="409"/>
      <c r="G25" s="409"/>
      <c r="H25" s="409"/>
      <c r="I25" s="409"/>
      <c r="J25" s="409"/>
      <c r="K25" s="409"/>
    </row>
    <row r="26" spans="2:11" ht="30" customHeight="1" x14ac:dyDescent="0.25">
      <c r="B26" s="409"/>
      <c r="C26" s="409"/>
      <c r="D26" s="409"/>
      <c r="E26" s="409"/>
      <c r="F26" s="409"/>
      <c r="G26" s="409"/>
      <c r="H26" s="409"/>
      <c r="I26" s="409"/>
      <c r="J26" s="409"/>
      <c r="K26" s="409"/>
    </row>
    <row r="27" spans="2:11" ht="30" customHeight="1" x14ac:dyDescent="0.25">
      <c r="B27" s="409"/>
      <c r="C27" s="409"/>
      <c r="D27" s="409"/>
      <c r="E27" s="409"/>
      <c r="F27" s="409"/>
      <c r="G27" s="409"/>
      <c r="H27" s="409"/>
      <c r="I27" s="409"/>
      <c r="J27" s="409"/>
      <c r="K27" s="409"/>
    </row>
    <row r="28" spans="2:11" x14ac:dyDescent="0.25">
      <c r="B28" s="10"/>
    </row>
  </sheetData>
  <mergeCells count="4">
    <mergeCell ref="D3:K3"/>
    <mergeCell ref="B19:K27"/>
    <mergeCell ref="B6:K13"/>
    <mergeCell ref="B16:K16"/>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AG89"/>
  <sheetViews>
    <sheetView showGridLines="0" zoomScaleNormal="100" workbookViewId="0"/>
  </sheetViews>
  <sheetFormatPr defaultColWidth="9.140625" defaultRowHeight="12.75" x14ac:dyDescent="0.25"/>
  <cols>
    <col min="1" max="1" width="2.5703125" style="27" customWidth="1"/>
    <col min="2" max="2" width="57.28515625" style="27" bestFit="1" customWidth="1"/>
    <col min="3" max="6" width="10" style="27" customWidth="1"/>
    <col min="7" max="7" width="2.85546875" style="27" customWidth="1"/>
    <col min="8" max="9" width="10" style="27" customWidth="1"/>
    <col min="10" max="12" width="10" style="78" customWidth="1"/>
    <col min="13" max="13" width="2.85546875" style="78" customWidth="1"/>
    <col min="14" max="14" width="12" style="78" customWidth="1"/>
    <col min="15" max="15" width="2.85546875" style="78" customWidth="1"/>
    <col min="16" max="20" width="10" style="78" customWidth="1"/>
    <col min="21" max="21" width="3.7109375" style="103" customWidth="1"/>
    <col min="22" max="26" width="10" style="104" customWidth="1"/>
    <col min="27" max="27" width="3.7109375" style="27" customWidth="1"/>
    <col min="28" max="32" width="10" style="27" customWidth="1"/>
    <col min="33" max="33" width="2.85546875" style="27" customWidth="1"/>
    <col min="34" max="63" width="9.140625" style="27" customWidth="1"/>
    <col min="64" max="16384" width="9.140625" style="27"/>
  </cols>
  <sheetData>
    <row r="2" spans="2:33" ht="21" x14ac:dyDescent="0.25">
      <c r="B2" s="175" t="s">
        <v>110</v>
      </c>
      <c r="C2" s="176"/>
      <c r="D2" s="176"/>
      <c r="E2" s="176"/>
      <c r="F2" s="176"/>
      <c r="G2" s="176"/>
      <c r="H2" s="176"/>
      <c r="I2" s="176"/>
      <c r="J2" s="177"/>
      <c r="K2" s="177"/>
      <c r="L2" s="177"/>
      <c r="M2" s="177"/>
      <c r="N2" s="177"/>
      <c r="O2" s="177"/>
      <c r="P2" s="177"/>
      <c r="Q2" s="177"/>
      <c r="R2" s="177"/>
      <c r="S2" s="177"/>
      <c r="T2" s="177"/>
      <c r="U2" s="177"/>
      <c r="V2" s="177"/>
      <c r="W2" s="177"/>
      <c r="X2" s="177"/>
      <c r="Y2" s="177"/>
      <c r="Z2" s="177"/>
      <c r="AA2" s="177"/>
      <c r="AB2" s="177"/>
      <c r="AC2" s="177"/>
      <c r="AD2" s="177"/>
      <c r="AE2" s="177"/>
      <c r="AF2" s="177"/>
    </row>
    <row r="3" spans="2:33" ht="15" x14ac:dyDescent="0.25">
      <c r="B3" s="101" t="s">
        <v>0</v>
      </c>
      <c r="C3" s="102" t="str">
        <f>+'AER Summary'!C3</f>
        <v>Administration Services</v>
      </c>
      <c r="D3" s="102"/>
      <c r="E3" s="102"/>
      <c r="F3" s="102"/>
      <c r="G3" s="102"/>
      <c r="H3" s="102"/>
      <c r="I3" s="102"/>
      <c r="J3" s="102"/>
      <c r="K3" s="102"/>
      <c r="L3" s="102"/>
      <c r="M3" s="102"/>
      <c r="N3" s="102"/>
      <c r="O3" s="102"/>
      <c r="P3" s="102"/>
      <c r="Q3" s="102"/>
      <c r="R3" s="102"/>
      <c r="S3" s="102"/>
      <c r="T3" s="102"/>
      <c r="U3" s="102"/>
      <c r="V3" s="102"/>
      <c r="W3" s="102"/>
      <c r="X3" s="102"/>
      <c r="Y3" s="102"/>
      <c r="Z3" s="102"/>
      <c r="AA3" s="102"/>
      <c r="AB3" s="102"/>
      <c r="AC3" s="102"/>
      <c r="AD3" s="102"/>
      <c r="AE3" s="102"/>
      <c r="AF3" s="102"/>
    </row>
    <row r="5" spans="2:33" ht="15" x14ac:dyDescent="0.25">
      <c r="B5" s="158" t="str">
        <f>"Proposed "&amp;'AER Summary'!C3&amp;" Fees &amp; Revenue"</f>
        <v>Proposed Administration Services Fees &amp; Revenue</v>
      </c>
      <c r="C5" s="15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c r="AD5" s="158"/>
      <c r="AE5" s="158"/>
      <c r="AF5" s="158"/>
    </row>
    <row r="6" spans="2:33" x14ac:dyDescent="0.25">
      <c r="M6" s="125"/>
      <c r="N6" s="125"/>
      <c r="O6" s="125"/>
      <c r="V6" s="95"/>
      <c r="W6" s="95"/>
      <c r="X6" s="95"/>
      <c r="Y6" s="95"/>
      <c r="Z6" s="95"/>
    </row>
    <row r="7" spans="2:33" x14ac:dyDescent="0.25">
      <c r="C7" s="416" t="s">
        <v>6</v>
      </c>
      <c r="D7" s="417"/>
      <c r="E7" s="417"/>
      <c r="F7" s="418"/>
      <c r="H7" s="419" t="s">
        <v>123</v>
      </c>
      <c r="I7" s="420"/>
      <c r="J7" s="420"/>
      <c r="K7" s="420"/>
      <c r="L7" s="421"/>
      <c r="M7" s="105"/>
      <c r="N7" s="105"/>
      <c r="O7" s="105"/>
      <c r="P7" s="419" t="s">
        <v>142</v>
      </c>
      <c r="Q7" s="420"/>
      <c r="R7" s="420"/>
      <c r="S7" s="420"/>
      <c r="T7" s="421"/>
      <c r="AA7" s="174"/>
      <c r="AB7" s="419" t="s">
        <v>164</v>
      </c>
      <c r="AC7" s="420"/>
      <c r="AD7" s="420"/>
      <c r="AE7" s="420"/>
      <c r="AF7" s="421"/>
      <c r="AG7" s="174"/>
    </row>
    <row r="8" spans="2:33" ht="51" x14ac:dyDescent="0.25">
      <c r="B8" s="106" t="s">
        <v>31</v>
      </c>
      <c r="C8" s="126" t="s">
        <v>112</v>
      </c>
      <c r="D8" s="127" t="s">
        <v>8</v>
      </c>
      <c r="E8" s="127" t="s">
        <v>124</v>
      </c>
      <c r="F8" s="128" t="s">
        <v>111</v>
      </c>
      <c r="H8" s="170" t="s">
        <v>42</v>
      </c>
      <c r="I8" s="171" t="s">
        <v>43</v>
      </c>
      <c r="J8" s="171" t="s">
        <v>44</v>
      </c>
      <c r="K8" s="171" t="s">
        <v>45</v>
      </c>
      <c r="L8" s="172" t="s">
        <v>46</v>
      </c>
      <c r="M8" s="107"/>
      <c r="N8" s="167" t="s">
        <v>140</v>
      </c>
      <c r="O8" s="107"/>
      <c r="P8" s="108" t="s">
        <v>42</v>
      </c>
      <c r="Q8" s="109" t="s">
        <v>43</v>
      </c>
      <c r="R8" s="109" t="s">
        <v>44</v>
      </c>
      <c r="S8" s="109" t="s">
        <v>45</v>
      </c>
      <c r="T8" s="110" t="s">
        <v>46</v>
      </c>
      <c r="U8" s="95"/>
      <c r="AA8" s="245"/>
      <c r="AB8" s="170" t="s">
        <v>42</v>
      </c>
      <c r="AC8" s="171" t="s">
        <v>43</v>
      </c>
      <c r="AD8" s="171" t="s">
        <v>44</v>
      </c>
      <c r="AE8" s="171" t="s">
        <v>45</v>
      </c>
      <c r="AF8" s="172" t="s">
        <v>46</v>
      </c>
      <c r="AG8" s="174"/>
    </row>
    <row r="9" spans="2:33" x14ac:dyDescent="0.25">
      <c r="B9" s="111" t="s">
        <v>14</v>
      </c>
      <c r="C9" s="115">
        <f>'Input Sheet'!G9</f>
        <v>63.636363636363633</v>
      </c>
      <c r="D9" s="116">
        <f>'Input Sheet'!H9</f>
        <v>3.0285714285714289</v>
      </c>
      <c r="E9" s="133">
        <f>'Input Sheet'!J9</f>
        <v>212</v>
      </c>
      <c r="F9" s="130">
        <f>'Input Sheet'!K9</f>
        <v>192.72727272727275</v>
      </c>
      <c r="G9" s="117"/>
      <c r="H9" s="168">
        <f>+'Input Sheet'!G$183</f>
        <v>172.59724505765215</v>
      </c>
      <c r="I9" s="162">
        <f>+'Input Sheet'!H$183</f>
        <v>180.12761451481842</v>
      </c>
      <c r="J9" s="162">
        <f>+'Input Sheet'!I$183</f>
        <v>186.22632113188152</v>
      </c>
      <c r="K9" s="162">
        <f>+'Input Sheet'!J$183</f>
        <v>192.7867313882808</v>
      </c>
      <c r="L9" s="163">
        <f>+'Input Sheet'!K$183</f>
        <v>199.42560249725935</v>
      </c>
      <c r="M9" s="112"/>
      <c r="N9" s="114">
        <f>+'Standard Hour Calcs'!Z10</f>
        <v>4</v>
      </c>
      <c r="O9" s="112"/>
      <c r="P9" s="226">
        <f>IF($N9="Hourly",H9,H9*$N9)</f>
        <v>690.38898023060858</v>
      </c>
      <c r="Q9" s="227">
        <f t="shared" ref="Q9:Q20" si="0">IF($N9="Hourly",I9,I9*$N9)</f>
        <v>720.51045805927367</v>
      </c>
      <c r="R9" s="227">
        <f t="shared" ref="R9:R20" si="1">IF($N9="Hourly",J9,J9*$N9)</f>
        <v>744.90528452752608</v>
      </c>
      <c r="S9" s="227">
        <f t="shared" ref="S9:S20" si="2">IF($N9="Hourly",K9,K9*$N9)</f>
        <v>771.1469255531232</v>
      </c>
      <c r="T9" s="228">
        <f t="shared" ref="T9:T20" si="3">IF($N9="Hourly",L9,L9*$N9)</f>
        <v>797.70240998903739</v>
      </c>
      <c r="U9" s="113"/>
      <c r="V9" s="95"/>
      <c r="W9" s="95"/>
      <c r="X9" s="95"/>
      <c r="Y9" s="95"/>
      <c r="Z9" s="95"/>
      <c r="AA9" s="174"/>
      <c r="AB9" s="278">
        <f t="shared" ref="AB9:AB27" si="4">IF($N9="hourly",$N38*P9*H38,P9*H38)</f>
        <v>42804.116774297734</v>
      </c>
      <c r="AC9" s="279">
        <f t="shared" ref="AC9:AC27" si="5">IF($N9="hourly",$N38*Q9*I38,Q9*I38)</f>
        <v>44671.648399674967</v>
      </c>
      <c r="AD9" s="279">
        <f t="shared" ref="AD9:AD27" si="6">IF($N9="hourly",$N38*R9*J38,R9*J38)</f>
        <v>46184.127640706618</v>
      </c>
      <c r="AE9" s="279">
        <f t="shared" ref="AE9:AE27" si="7">IF($N9="hourly",$N38*S9*K38,S9*K38)</f>
        <v>47811.109384293639</v>
      </c>
      <c r="AF9" s="280">
        <f t="shared" ref="AF9:AF27" si="8">IF($N9="hourly",$N38*T9*L38,T9*L38)</f>
        <v>49457.549419320319</v>
      </c>
      <c r="AG9" s="174"/>
    </row>
    <row r="10" spans="2:33" x14ac:dyDescent="0.25">
      <c r="B10" s="97" t="s">
        <v>15</v>
      </c>
      <c r="C10" s="115">
        <f>'Input Sheet'!G10</f>
        <v>63.636363636363633</v>
      </c>
      <c r="D10" s="116">
        <f>'Input Sheet'!H10</f>
        <v>4.0571428571428578</v>
      </c>
      <c r="E10" s="133">
        <f>'Input Sheet'!J10</f>
        <v>284</v>
      </c>
      <c r="F10" s="131">
        <f>'Input Sheet'!K10</f>
        <v>258.18181818181819</v>
      </c>
      <c r="G10" s="117"/>
      <c r="H10" s="168">
        <f>+'Input Sheet'!G$183</f>
        <v>172.59724505765215</v>
      </c>
      <c r="I10" s="162">
        <f>+'Input Sheet'!H$183</f>
        <v>180.12761451481842</v>
      </c>
      <c r="J10" s="162">
        <f>+'Input Sheet'!I$183</f>
        <v>186.22632113188152</v>
      </c>
      <c r="K10" s="162">
        <f>+'Input Sheet'!J$183</f>
        <v>192.7867313882808</v>
      </c>
      <c r="L10" s="163">
        <f>+'Input Sheet'!K$183</f>
        <v>199.42560249725935</v>
      </c>
      <c r="M10" s="112"/>
      <c r="N10" s="120">
        <f>+'Standard Hour Calcs'!Z11</f>
        <v>5</v>
      </c>
      <c r="O10" s="112"/>
      <c r="P10" s="229">
        <f t="shared" ref="P10:P20" si="9">IF($N10="Hourly",H10,H10*$N10)</f>
        <v>862.9862252882607</v>
      </c>
      <c r="Q10" s="230">
        <f t="shared" si="0"/>
        <v>900.63807257409212</v>
      </c>
      <c r="R10" s="230">
        <f t="shared" si="1"/>
        <v>931.13160565940757</v>
      </c>
      <c r="S10" s="230">
        <f t="shared" si="2"/>
        <v>963.93365694140402</v>
      </c>
      <c r="T10" s="231">
        <f t="shared" si="3"/>
        <v>997.12801248629671</v>
      </c>
      <c r="U10" s="113"/>
      <c r="V10" s="95"/>
      <c r="W10" s="95"/>
      <c r="X10" s="95"/>
      <c r="Y10" s="95"/>
      <c r="Z10" s="95"/>
      <c r="AA10" s="174"/>
      <c r="AB10" s="278">
        <f t="shared" si="4"/>
        <v>38834.380137971733</v>
      </c>
      <c r="AC10" s="279">
        <f t="shared" si="5"/>
        <v>40528.713265834143</v>
      </c>
      <c r="AD10" s="279">
        <f t="shared" si="6"/>
        <v>41900.922254673344</v>
      </c>
      <c r="AE10" s="279">
        <f t="shared" si="7"/>
        <v>43377.014562363183</v>
      </c>
      <c r="AF10" s="280">
        <f t="shared" si="8"/>
        <v>44870.760561883355</v>
      </c>
      <c r="AG10" s="174"/>
    </row>
    <row r="11" spans="2:33" x14ac:dyDescent="0.25">
      <c r="B11" s="97" t="s">
        <v>16</v>
      </c>
      <c r="C11" s="115">
        <f>'Input Sheet'!G11</f>
        <v>63.636363636363633</v>
      </c>
      <c r="D11" s="116">
        <f>'Input Sheet'!H11</f>
        <v>5.0571428571428569</v>
      </c>
      <c r="E11" s="133">
        <f>'Input Sheet'!J11</f>
        <v>354</v>
      </c>
      <c r="F11" s="131">
        <f>'Input Sheet'!K11</f>
        <v>321.81818181818181</v>
      </c>
      <c r="G11" s="117"/>
      <c r="H11" s="168">
        <f>+'Input Sheet'!G$183</f>
        <v>172.59724505765215</v>
      </c>
      <c r="I11" s="162">
        <f>+'Input Sheet'!H$183</f>
        <v>180.12761451481842</v>
      </c>
      <c r="J11" s="162">
        <f>+'Input Sheet'!I$183</f>
        <v>186.22632113188152</v>
      </c>
      <c r="K11" s="162">
        <f>+'Input Sheet'!J$183</f>
        <v>192.7867313882808</v>
      </c>
      <c r="L11" s="163">
        <f>+'Input Sheet'!K$183</f>
        <v>199.42560249725935</v>
      </c>
      <c r="M11" s="112"/>
      <c r="N11" s="120">
        <f>+'Standard Hour Calcs'!Z12</f>
        <v>7</v>
      </c>
      <c r="O11" s="112"/>
      <c r="P11" s="229">
        <f t="shared" si="9"/>
        <v>1208.180715403565</v>
      </c>
      <c r="Q11" s="230">
        <f t="shared" si="0"/>
        <v>1260.893301603729</v>
      </c>
      <c r="R11" s="230">
        <f t="shared" si="1"/>
        <v>1303.5842479231706</v>
      </c>
      <c r="S11" s="230">
        <f t="shared" si="2"/>
        <v>1349.5071197179657</v>
      </c>
      <c r="T11" s="231">
        <f t="shared" si="3"/>
        <v>1395.9792174808154</v>
      </c>
      <c r="U11" s="113"/>
      <c r="V11" s="95"/>
      <c r="W11" s="95"/>
      <c r="X11" s="95"/>
      <c r="Y11" s="95"/>
      <c r="Z11" s="95"/>
      <c r="AA11" s="174"/>
      <c r="AB11" s="278">
        <f t="shared" si="4"/>
        <v>112360.80653253155</v>
      </c>
      <c r="AC11" s="279">
        <f t="shared" si="5"/>
        <v>117263.0770491468</v>
      </c>
      <c r="AD11" s="279">
        <f t="shared" si="6"/>
        <v>121233.33505685486</v>
      </c>
      <c r="AE11" s="279">
        <f t="shared" si="7"/>
        <v>125504.16213377081</v>
      </c>
      <c r="AF11" s="280">
        <f t="shared" si="8"/>
        <v>129826.06722571583</v>
      </c>
      <c r="AG11" s="174"/>
    </row>
    <row r="12" spans="2:33" x14ac:dyDescent="0.25">
      <c r="B12" s="97" t="s">
        <v>28</v>
      </c>
      <c r="C12" s="115">
        <f>'Input Sheet'!G12</f>
        <v>63.636363636363633</v>
      </c>
      <c r="D12" s="116">
        <f>'Input Sheet'!H12</f>
        <v>6.0857142857142854</v>
      </c>
      <c r="E12" s="133">
        <f>'Input Sheet'!J12</f>
        <v>426</v>
      </c>
      <c r="F12" s="131">
        <f>'Input Sheet'!K12</f>
        <v>387.27272727272725</v>
      </c>
      <c r="G12" s="117"/>
      <c r="H12" s="168">
        <f>+'Input Sheet'!G$183</f>
        <v>172.59724505765215</v>
      </c>
      <c r="I12" s="162">
        <f>+'Input Sheet'!H$183</f>
        <v>180.12761451481842</v>
      </c>
      <c r="J12" s="162">
        <f>+'Input Sheet'!I$183</f>
        <v>186.22632113188152</v>
      </c>
      <c r="K12" s="162">
        <f>+'Input Sheet'!J$183</f>
        <v>192.7867313882808</v>
      </c>
      <c r="L12" s="163">
        <f>+'Input Sheet'!K$183</f>
        <v>199.42560249725935</v>
      </c>
      <c r="M12" s="112"/>
      <c r="N12" s="120">
        <f>+'Standard Hour Calcs'!Z13</f>
        <v>8</v>
      </c>
      <c r="O12" s="112"/>
      <c r="P12" s="229">
        <f t="shared" si="9"/>
        <v>1380.7779604612172</v>
      </c>
      <c r="Q12" s="230">
        <f t="shared" si="0"/>
        <v>1441.0209161185473</v>
      </c>
      <c r="R12" s="230">
        <f t="shared" si="1"/>
        <v>1489.8105690550522</v>
      </c>
      <c r="S12" s="230">
        <f t="shared" si="2"/>
        <v>1542.2938511062464</v>
      </c>
      <c r="T12" s="231">
        <f t="shared" si="3"/>
        <v>1595.4048199780748</v>
      </c>
      <c r="U12" s="113"/>
      <c r="V12" s="95"/>
      <c r="W12" s="95"/>
      <c r="X12" s="95"/>
      <c r="Y12" s="95"/>
      <c r="Z12" s="95"/>
      <c r="AA12" s="174"/>
      <c r="AB12" s="278">
        <f t="shared" si="4"/>
        <v>81465.899667211808</v>
      </c>
      <c r="AC12" s="279">
        <f t="shared" si="5"/>
        <v>85020.234050994288</v>
      </c>
      <c r="AD12" s="279">
        <f t="shared" si="6"/>
        <v>87898.823574248076</v>
      </c>
      <c r="AE12" s="279">
        <f t="shared" si="7"/>
        <v>90995.337215268533</v>
      </c>
      <c r="AF12" s="280">
        <f t="shared" si="8"/>
        <v>94128.884378706411</v>
      </c>
      <c r="AG12" s="174"/>
    </row>
    <row r="13" spans="2:33" x14ac:dyDescent="0.25">
      <c r="B13" s="97" t="s">
        <v>17</v>
      </c>
      <c r="C13" s="115">
        <f>'Input Sheet'!G13</f>
        <v>63.636363636363633</v>
      </c>
      <c r="D13" s="116">
        <f>'Input Sheet'!H13</f>
        <v>3.0285714285714289</v>
      </c>
      <c r="E13" s="133">
        <f>'Input Sheet'!J13</f>
        <v>212</v>
      </c>
      <c r="F13" s="131">
        <f>'Input Sheet'!K13</f>
        <v>192.72727272727275</v>
      </c>
      <c r="G13" s="117"/>
      <c r="H13" s="168">
        <f>+'Input Sheet'!G$183</f>
        <v>172.59724505765215</v>
      </c>
      <c r="I13" s="162">
        <f>+'Input Sheet'!H$183</f>
        <v>180.12761451481842</v>
      </c>
      <c r="J13" s="162">
        <f>+'Input Sheet'!I$183</f>
        <v>186.22632113188152</v>
      </c>
      <c r="K13" s="162">
        <f>+'Input Sheet'!J$183</f>
        <v>192.7867313882808</v>
      </c>
      <c r="L13" s="163">
        <f>+'Input Sheet'!K$183</f>
        <v>199.42560249725935</v>
      </c>
      <c r="M13" s="112"/>
      <c r="N13" s="120">
        <f>+'Standard Hour Calcs'!Z14</f>
        <v>3</v>
      </c>
      <c r="O13" s="112"/>
      <c r="P13" s="229">
        <f t="shared" si="9"/>
        <v>517.79173517295646</v>
      </c>
      <c r="Q13" s="230">
        <f t="shared" si="0"/>
        <v>540.38284354445523</v>
      </c>
      <c r="R13" s="230">
        <f t="shared" si="1"/>
        <v>558.67896339564459</v>
      </c>
      <c r="S13" s="230">
        <f t="shared" si="2"/>
        <v>578.36019416484237</v>
      </c>
      <c r="T13" s="231">
        <f t="shared" si="3"/>
        <v>598.27680749177807</v>
      </c>
      <c r="U13" s="113"/>
      <c r="V13" s="95"/>
      <c r="W13" s="95"/>
      <c r="X13" s="95"/>
      <c r="Y13" s="95"/>
      <c r="Z13" s="95"/>
      <c r="AA13" s="174"/>
      <c r="AB13" s="278">
        <f t="shared" si="4"/>
        <v>5695.7090869025214</v>
      </c>
      <c r="AC13" s="279">
        <f t="shared" si="5"/>
        <v>5944.211278989007</v>
      </c>
      <c r="AD13" s="279">
        <f t="shared" si="6"/>
        <v>6145.46859735209</v>
      </c>
      <c r="AE13" s="279">
        <f t="shared" si="7"/>
        <v>6361.9621358132663</v>
      </c>
      <c r="AF13" s="280">
        <f t="shared" si="8"/>
        <v>6581.0448824095583</v>
      </c>
      <c r="AG13" s="174"/>
    </row>
    <row r="14" spans="2:33" x14ac:dyDescent="0.25">
      <c r="B14" s="97" t="s">
        <v>18</v>
      </c>
      <c r="C14" s="115">
        <f>'Input Sheet'!G14</f>
        <v>63.636363636363633</v>
      </c>
      <c r="D14" s="116">
        <f>'Input Sheet'!H14</f>
        <v>4.0571428571428578</v>
      </c>
      <c r="E14" s="133">
        <f>'Input Sheet'!J14</f>
        <v>284</v>
      </c>
      <c r="F14" s="131">
        <f>'Input Sheet'!K14</f>
        <v>258.18181818181819</v>
      </c>
      <c r="G14" s="117"/>
      <c r="H14" s="168">
        <f>+'Input Sheet'!G$183</f>
        <v>172.59724505765215</v>
      </c>
      <c r="I14" s="162">
        <f>+'Input Sheet'!H$183</f>
        <v>180.12761451481842</v>
      </c>
      <c r="J14" s="162">
        <f>+'Input Sheet'!I$183</f>
        <v>186.22632113188152</v>
      </c>
      <c r="K14" s="162">
        <f>+'Input Sheet'!J$183</f>
        <v>192.7867313882808</v>
      </c>
      <c r="L14" s="163">
        <f>+'Input Sheet'!K$183</f>
        <v>199.42560249725935</v>
      </c>
      <c r="M14" s="112"/>
      <c r="N14" s="120">
        <f>+'Standard Hour Calcs'!Z15</f>
        <v>4</v>
      </c>
      <c r="O14" s="112"/>
      <c r="P14" s="229">
        <f t="shared" si="9"/>
        <v>690.38898023060858</v>
      </c>
      <c r="Q14" s="230">
        <f t="shared" si="0"/>
        <v>720.51045805927367</v>
      </c>
      <c r="R14" s="230">
        <f t="shared" si="1"/>
        <v>744.90528452752608</v>
      </c>
      <c r="S14" s="230">
        <f t="shared" si="2"/>
        <v>771.1469255531232</v>
      </c>
      <c r="T14" s="231">
        <f t="shared" si="3"/>
        <v>797.70240998903739</v>
      </c>
      <c r="U14" s="113"/>
      <c r="V14" s="95"/>
      <c r="W14" s="95"/>
      <c r="X14" s="95"/>
      <c r="Y14" s="95"/>
      <c r="Z14" s="95"/>
      <c r="AA14" s="174"/>
      <c r="AB14" s="278">
        <f t="shared" si="4"/>
        <v>1380.7779604612172</v>
      </c>
      <c r="AC14" s="279">
        <f t="shared" si="5"/>
        <v>1441.0209161185473</v>
      </c>
      <c r="AD14" s="279">
        <f t="shared" si="6"/>
        <v>1489.8105690550522</v>
      </c>
      <c r="AE14" s="279">
        <f t="shared" si="7"/>
        <v>1542.2938511062464</v>
      </c>
      <c r="AF14" s="280">
        <f t="shared" si="8"/>
        <v>1595.4048199780748</v>
      </c>
      <c r="AG14" s="174"/>
    </row>
    <row r="15" spans="2:33" x14ac:dyDescent="0.25">
      <c r="B15" s="97" t="s">
        <v>19</v>
      </c>
      <c r="C15" s="115">
        <f>'Input Sheet'!G15</f>
        <v>63.636363636363633</v>
      </c>
      <c r="D15" s="116">
        <f>'Input Sheet'!H15</f>
        <v>5.0571428571428569</v>
      </c>
      <c r="E15" s="133">
        <f>'Input Sheet'!J15</f>
        <v>354</v>
      </c>
      <c r="F15" s="131">
        <f>'Input Sheet'!K15</f>
        <v>321.81818181818181</v>
      </c>
      <c r="G15" s="117"/>
      <c r="H15" s="168">
        <f>+'Input Sheet'!G$183</f>
        <v>172.59724505765215</v>
      </c>
      <c r="I15" s="162">
        <f>+'Input Sheet'!H$183</f>
        <v>180.12761451481842</v>
      </c>
      <c r="J15" s="162">
        <f>+'Input Sheet'!I$183</f>
        <v>186.22632113188152</v>
      </c>
      <c r="K15" s="162">
        <f>+'Input Sheet'!J$183</f>
        <v>192.7867313882808</v>
      </c>
      <c r="L15" s="163">
        <f>+'Input Sheet'!K$183</f>
        <v>199.42560249725935</v>
      </c>
      <c r="M15" s="112"/>
      <c r="N15" s="120">
        <f>+'Standard Hour Calcs'!Z16</f>
        <v>5</v>
      </c>
      <c r="O15" s="112"/>
      <c r="P15" s="229">
        <f t="shared" si="9"/>
        <v>862.9862252882607</v>
      </c>
      <c r="Q15" s="230">
        <f t="shared" si="0"/>
        <v>900.63807257409212</v>
      </c>
      <c r="R15" s="230">
        <f t="shared" si="1"/>
        <v>931.13160565940757</v>
      </c>
      <c r="S15" s="230">
        <f t="shared" si="2"/>
        <v>963.93365694140402</v>
      </c>
      <c r="T15" s="231">
        <f t="shared" si="3"/>
        <v>997.12801248629671</v>
      </c>
      <c r="U15" s="113"/>
      <c r="V15" s="95"/>
      <c r="W15" s="95"/>
      <c r="X15" s="95"/>
      <c r="Y15" s="95"/>
      <c r="Z15" s="95"/>
      <c r="AA15" s="174"/>
      <c r="AB15" s="278">
        <f t="shared" si="4"/>
        <v>2588.958675864782</v>
      </c>
      <c r="AC15" s="279">
        <f t="shared" si="5"/>
        <v>2701.9142177222766</v>
      </c>
      <c r="AD15" s="279">
        <f t="shared" si="6"/>
        <v>2793.3948169782225</v>
      </c>
      <c r="AE15" s="279">
        <f t="shared" si="7"/>
        <v>2891.8009708242121</v>
      </c>
      <c r="AF15" s="280">
        <f t="shared" si="8"/>
        <v>2991.3840374588899</v>
      </c>
      <c r="AG15" s="174"/>
    </row>
    <row r="16" spans="2:33" x14ac:dyDescent="0.25">
      <c r="B16" s="97" t="s">
        <v>29</v>
      </c>
      <c r="C16" s="115">
        <f>'Input Sheet'!G16</f>
        <v>63.636363636363633</v>
      </c>
      <c r="D16" s="116">
        <f>'Input Sheet'!H16</f>
        <v>6.0857142857142854</v>
      </c>
      <c r="E16" s="133">
        <f>'Input Sheet'!J16</f>
        <v>426</v>
      </c>
      <c r="F16" s="131">
        <f>'Input Sheet'!K16</f>
        <v>387.27272727272725</v>
      </c>
      <c r="G16" s="117"/>
      <c r="H16" s="168">
        <f>+'Input Sheet'!G$183</f>
        <v>172.59724505765215</v>
      </c>
      <c r="I16" s="162">
        <f>+'Input Sheet'!H$183</f>
        <v>180.12761451481842</v>
      </c>
      <c r="J16" s="162">
        <f>+'Input Sheet'!I$183</f>
        <v>186.22632113188152</v>
      </c>
      <c r="K16" s="162">
        <f>+'Input Sheet'!J$183</f>
        <v>192.7867313882808</v>
      </c>
      <c r="L16" s="163">
        <f>+'Input Sheet'!K$183</f>
        <v>199.42560249725935</v>
      </c>
      <c r="M16" s="112"/>
      <c r="N16" s="120">
        <f>+'Standard Hour Calcs'!Z17</f>
        <v>6</v>
      </c>
      <c r="O16" s="112"/>
      <c r="P16" s="229">
        <f t="shared" si="9"/>
        <v>1035.5834703459129</v>
      </c>
      <c r="Q16" s="230">
        <f t="shared" si="0"/>
        <v>1080.7656870889105</v>
      </c>
      <c r="R16" s="230">
        <f t="shared" si="1"/>
        <v>1117.3579267912892</v>
      </c>
      <c r="S16" s="230">
        <f t="shared" si="2"/>
        <v>1156.7203883296847</v>
      </c>
      <c r="T16" s="231">
        <f t="shared" si="3"/>
        <v>1196.5536149835561</v>
      </c>
      <c r="U16" s="113"/>
      <c r="V16" s="95"/>
      <c r="W16" s="95"/>
      <c r="X16" s="95"/>
      <c r="Y16" s="95"/>
      <c r="Z16" s="95"/>
      <c r="AA16" s="174"/>
      <c r="AB16" s="278">
        <f t="shared" si="4"/>
        <v>0</v>
      </c>
      <c r="AC16" s="279">
        <f t="shared" si="5"/>
        <v>0</v>
      </c>
      <c r="AD16" s="279">
        <f t="shared" si="6"/>
        <v>0</v>
      </c>
      <c r="AE16" s="279">
        <f t="shared" si="7"/>
        <v>0</v>
      </c>
      <c r="AF16" s="280">
        <f t="shared" si="8"/>
        <v>0</v>
      </c>
      <c r="AG16" s="174"/>
    </row>
    <row r="17" spans="2:33" x14ac:dyDescent="0.25">
      <c r="B17" s="97" t="s">
        <v>20</v>
      </c>
      <c r="C17" s="115">
        <f>'Input Sheet'!G17</f>
        <v>63.636363636363633</v>
      </c>
      <c r="D17" s="116">
        <f>'Input Sheet'!H17</f>
        <v>3.0285714285714289</v>
      </c>
      <c r="E17" s="133">
        <f>'Input Sheet'!J17</f>
        <v>212</v>
      </c>
      <c r="F17" s="131">
        <f>'Input Sheet'!K17</f>
        <v>192.72727272727275</v>
      </c>
      <c r="G17" s="117"/>
      <c r="H17" s="168">
        <f>+'Input Sheet'!G$183</f>
        <v>172.59724505765215</v>
      </c>
      <c r="I17" s="162">
        <f>+'Input Sheet'!H$183</f>
        <v>180.12761451481842</v>
      </c>
      <c r="J17" s="162">
        <f>+'Input Sheet'!I$183</f>
        <v>186.22632113188152</v>
      </c>
      <c r="K17" s="162">
        <f>+'Input Sheet'!J$183</f>
        <v>192.7867313882808</v>
      </c>
      <c r="L17" s="163">
        <f>+'Input Sheet'!K$183</f>
        <v>199.42560249725935</v>
      </c>
      <c r="M17" s="112"/>
      <c r="N17" s="120">
        <f>+'Standard Hour Calcs'!Z18</f>
        <v>4</v>
      </c>
      <c r="O17" s="112"/>
      <c r="P17" s="229">
        <f t="shared" si="9"/>
        <v>690.38898023060858</v>
      </c>
      <c r="Q17" s="230">
        <f t="shared" si="0"/>
        <v>720.51045805927367</v>
      </c>
      <c r="R17" s="230">
        <f t="shared" si="1"/>
        <v>744.90528452752608</v>
      </c>
      <c r="S17" s="230">
        <f t="shared" si="2"/>
        <v>771.1469255531232</v>
      </c>
      <c r="T17" s="231">
        <f t="shared" si="3"/>
        <v>797.70240998903739</v>
      </c>
      <c r="U17" s="113"/>
      <c r="V17" s="95"/>
      <c r="W17" s="95"/>
      <c r="X17" s="95"/>
      <c r="Y17" s="95"/>
      <c r="Z17" s="95"/>
      <c r="AA17" s="174"/>
      <c r="AB17" s="278">
        <f t="shared" si="4"/>
        <v>12427.001644150954</v>
      </c>
      <c r="AC17" s="279">
        <f t="shared" si="5"/>
        <v>12969.188245066925</v>
      </c>
      <c r="AD17" s="279">
        <f t="shared" si="6"/>
        <v>13408.29512149547</v>
      </c>
      <c r="AE17" s="279">
        <f t="shared" si="7"/>
        <v>13880.644659956217</v>
      </c>
      <c r="AF17" s="280">
        <f t="shared" si="8"/>
        <v>14358.643379802674</v>
      </c>
      <c r="AG17" s="174"/>
    </row>
    <row r="18" spans="2:33" x14ac:dyDescent="0.25">
      <c r="B18" s="97" t="s">
        <v>21</v>
      </c>
      <c r="C18" s="115">
        <f>'Input Sheet'!G18</f>
        <v>63.636363636363633</v>
      </c>
      <c r="D18" s="116">
        <f>'Input Sheet'!H18</f>
        <v>4.0571428571428578</v>
      </c>
      <c r="E18" s="133">
        <f>'Input Sheet'!J18</f>
        <v>284</v>
      </c>
      <c r="F18" s="131">
        <f>'Input Sheet'!K18</f>
        <v>258.18181818181819</v>
      </c>
      <c r="G18" s="117"/>
      <c r="H18" s="168">
        <f>+'Input Sheet'!G$183</f>
        <v>172.59724505765215</v>
      </c>
      <c r="I18" s="162">
        <f>+'Input Sheet'!H$183</f>
        <v>180.12761451481842</v>
      </c>
      <c r="J18" s="162">
        <f>+'Input Sheet'!I$183</f>
        <v>186.22632113188152</v>
      </c>
      <c r="K18" s="162">
        <f>+'Input Sheet'!J$183</f>
        <v>192.7867313882808</v>
      </c>
      <c r="L18" s="163">
        <f>+'Input Sheet'!K$183</f>
        <v>199.42560249725935</v>
      </c>
      <c r="M18" s="119"/>
      <c r="N18" s="120">
        <f>+'Standard Hour Calcs'!Z19</f>
        <v>5</v>
      </c>
      <c r="O18" s="119"/>
      <c r="P18" s="229">
        <f t="shared" si="9"/>
        <v>862.9862252882607</v>
      </c>
      <c r="Q18" s="230">
        <f t="shared" si="0"/>
        <v>900.63807257409212</v>
      </c>
      <c r="R18" s="230">
        <f t="shared" si="1"/>
        <v>931.13160565940757</v>
      </c>
      <c r="S18" s="230">
        <f t="shared" si="2"/>
        <v>963.93365694140402</v>
      </c>
      <c r="T18" s="231">
        <f t="shared" si="3"/>
        <v>997.12801248629671</v>
      </c>
      <c r="U18" s="113"/>
      <c r="V18" s="95"/>
      <c r="W18" s="95"/>
      <c r="X18" s="95"/>
      <c r="Y18" s="95"/>
      <c r="Z18" s="95"/>
      <c r="AA18" s="174"/>
      <c r="AB18" s="278">
        <f t="shared" si="4"/>
        <v>3451.9449011530428</v>
      </c>
      <c r="AC18" s="279">
        <f t="shared" si="5"/>
        <v>3602.5522902963685</v>
      </c>
      <c r="AD18" s="279">
        <f t="shared" si="6"/>
        <v>3724.5264226376303</v>
      </c>
      <c r="AE18" s="279">
        <f t="shared" si="7"/>
        <v>3855.7346277656161</v>
      </c>
      <c r="AF18" s="280">
        <f t="shared" si="8"/>
        <v>3988.5120499451868</v>
      </c>
      <c r="AG18" s="174"/>
    </row>
    <row r="19" spans="2:33" x14ac:dyDescent="0.25">
      <c r="B19" s="97" t="s">
        <v>22</v>
      </c>
      <c r="C19" s="115">
        <f>'Input Sheet'!G19</f>
        <v>63.636363636363633</v>
      </c>
      <c r="D19" s="116">
        <f>'Input Sheet'!H19</f>
        <v>6.0857142857142854</v>
      </c>
      <c r="E19" s="133">
        <f>'Input Sheet'!J19</f>
        <v>426</v>
      </c>
      <c r="F19" s="131">
        <f>'Input Sheet'!K19</f>
        <v>387.27272727272725</v>
      </c>
      <c r="G19" s="117"/>
      <c r="H19" s="168">
        <f>+'Input Sheet'!G$183</f>
        <v>172.59724505765215</v>
      </c>
      <c r="I19" s="162">
        <f>+'Input Sheet'!H$183</f>
        <v>180.12761451481842</v>
      </c>
      <c r="J19" s="162">
        <f>+'Input Sheet'!I$183</f>
        <v>186.22632113188152</v>
      </c>
      <c r="K19" s="162">
        <f>+'Input Sheet'!J$183</f>
        <v>192.7867313882808</v>
      </c>
      <c r="L19" s="163">
        <f>+'Input Sheet'!K$183</f>
        <v>199.42560249725935</v>
      </c>
      <c r="M19" s="119"/>
      <c r="N19" s="120">
        <f>+'Standard Hour Calcs'!Z20</f>
        <v>9</v>
      </c>
      <c r="O19" s="119"/>
      <c r="P19" s="229">
        <f t="shared" si="9"/>
        <v>1553.3752055188693</v>
      </c>
      <c r="Q19" s="230">
        <f t="shared" si="0"/>
        <v>1621.1485306333657</v>
      </c>
      <c r="R19" s="230">
        <f t="shared" si="1"/>
        <v>1676.0368901869338</v>
      </c>
      <c r="S19" s="230">
        <f t="shared" si="2"/>
        <v>1735.0805824945271</v>
      </c>
      <c r="T19" s="231">
        <f t="shared" si="3"/>
        <v>1794.8304224753342</v>
      </c>
      <c r="U19" s="113"/>
      <c r="V19" s="95"/>
      <c r="W19" s="95"/>
      <c r="X19" s="95"/>
      <c r="Y19" s="95"/>
      <c r="Z19" s="95"/>
      <c r="AA19" s="174"/>
      <c r="AB19" s="278">
        <f t="shared" si="4"/>
        <v>1553.3752055188693</v>
      </c>
      <c r="AC19" s="279">
        <f t="shared" si="5"/>
        <v>1621.1485306333657</v>
      </c>
      <c r="AD19" s="279">
        <f t="shared" si="6"/>
        <v>1676.0368901869338</v>
      </c>
      <c r="AE19" s="279">
        <f t="shared" si="7"/>
        <v>1735.0805824945271</v>
      </c>
      <c r="AF19" s="280">
        <f t="shared" si="8"/>
        <v>1794.8304224753342</v>
      </c>
      <c r="AG19" s="174"/>
    </row>
    <row r="20" spans="2:33" x14ac:dyDescent="0.25">
      <c r="B20" s="97" t="s">
        <v>23</v>
      </c>
      <c r="C20" s="115">
        <f>'Input Sheet'!G20</f>
        <v>63.636363636363633</v>
      </c>
      <c r="D20" s="116" t="str">
        <f>'Input Sheet'!H20</f>
        <v>Hourly</v>
      </c>
      <c r="E20" s="133">
        <f>'Input Sheet'!J20</f>
        <v>70</v>
      </c>
      <c r="F20" s="131">
        <f>'Input Sheet'!K20</f>
        <v>63.636363636363633</v>
      </c>
      <c r="G20" s="118"/>
      <c r="H20" s="168">
        <f>+'Input Sheet'!G$183</f>
        <v>172.59724505765215</v>
      </c>
      <c r="I20" s="162">
        <f>+'Input Sheet'!H$183</f>
        <v>180.12761451481842</v>
      </c>
      <c r="J20" s="162">
        <f>+'Input Sheet'!I$183</f>
        <v>186.22632113188152</v>
      </c>
      <c r="K20" s="162">
        <f>+'Input Sheet'!J$183</f>
        <v>192.7867313882808</v>
      </c>
      <c r="L20" s="163">
        <f>+'Input Sheet'!K$183</f>
        <v>199.42560249725935</v>
      </c>
      <c r="M20" s="119"/>
      <c r="N20" s="120" t="str">
        <f>+'Standard Hour Calcs'!Z21</f>
        <v>Hourly</v>
      </c>
      <c r="O20" s="119"/>
      <c r="P20" s="229">
        <f t="shared" si="9"/>
        <v>172.59724505765215</v>
      </c>
      <c r="Q20" s="230">
        <f t="shared" si="0"/>
        <v>180.12761451481842</v>
      </c>
      <c r="R20" s="230">
        <f t="shared" si="1"/>
        <v>186.22632113188152</v>
      </c>
      <c r="S20" s="230">
        <f t="shared" si="2"/>
        <v>192.7867313882808</v>
      </c>
      <c r="T20" s="231">
        <f t="shared" si="3"/>
        <v>199.42560249725935</v>
      </c>
      <c r="U20" s="113"/>
      <c r="V20" s="95"/>
      <c r="W20" s="95"/>
      <c r="X20" s="95"/>
      <c r="Y20" s="95"/>
      <c r="Z20" s="95"/>
      <c r="AA20" s="174"/>
      <c r="AB20" s="278">
        <f t="shared" si="4"/>
        <v>11736.612663920347</v>
      </c>
      <c r="AC20" s="279">
        <f t="shared" si="5"/>
        <v>12248.677787007653</v>
      </c>
      <c r="AD20" s="279">
        <f t="shared" si="6"/>
        <v>12663.389836967943</v>
      </c>
      <c r="AE20" s="279">
        <f t="shared" si="7"/>
        <v>13109.497734403094</v>
      </c>
      <c r="AF20" s="280">
        <f t="shared" si="8"/>
        <v>13560.940969813635</v>
      </c>
      <c r="AG20" s="174"/>
    </row>
    <row r="21" spans="2:33" x14ac:dyDescent="0.25">
      <c r="B21" s="97" t="s">
        <v>9</v>
      </c>
      <c r="C21" s="115"/>
      <c r="D21" s="118"/>
      <c r="E21" s="133"/>
      <c r="F21" s="131"/>
      <c r="G21" s="118"/>
      <c r="H21" s="168"/>
      <c r="I21" s="162"/>
      <c r="J21" s="162"/>
      <c r="K21" s="162"/>
      <c r="L21" s="163"/>
      <c r="M21" s="119"/>
      <c r="N21" s="120"/>
      <c r="O21" s="119"/>
      <c r="P21" s="229"/>
      <c r="Q21" s="230"/>
      <c r="R21" s="230"/>
      <c r="S21" s="230"/>
      <c r="T21" s="231"/>
      <c r="U21" s="113"/>
      <c r="V21" s="95"/>
      <c r="W21" s="95"/>
      <c r="X21" s="95"/>
      <c r="Y21" s="95"/>
      <c r="Z21" s="95"/>
      <c r="AA21" s="174"/>
      <c r="AB21" s="278">
        <f t="shared" si="4"/>
        <v>0</v>
      </c>
      <c r="AC21" s="279">
        <f t="shared" si="5"/>
        <v>0</v>
      </c>
      <c r="AD21" s="279">
        <f t="shared" si="6"/>
        <v>0</v>
      </c>
      <c r="AE21" s="279">
        <f t="shared" si="7"/>
        <v>0</v>
      </c>
      <c r="AF21" s="280">
        <f t="shared" si="8"/>
        <v>0</v>
      </c>
      <c r="AG21" s="174"/>
    </row>
    <row r="22" spans="2:33" x14ac:dyDescent="0.25">
      <c r="B22" s="132" t="s">
        <v>10</v>
      </c>
      <c r="C22" s="115">
        <f>'Input Sheet'!G22</f>
        <v>63.636363636363633</v>
      </c>
      <c r="D22" s="116" t="str">
        <f>'Input Sheet'!H22</f>
        <v>Hourly</v>
      </c>
      <c r="E22" s="133">
        <f>'Input Sheet'!J22</f>
        <v>70</v>
      </c>
      <c r="F22" s="131">
        <f>'Input Sheet'!K22</f>
        <v>63.636363636363633</v>
      </c>
      <c r="G22" s="118"/>
      <c r="H22" s="168">
        <f>+'Input Sheet'!G$183</f>
        <v>172.59724505765215</v>
      </c>
      <c r="I22" s="162">
        <f>+'Input Sheet'!H$183</f>
        <v>180.12761451481842</v>
      </c>
      <c r="J22" s="162">
        <f>+'Input Sheet'!I$183</f>
        <v>186.22632113188152</v>
      </c>
      <c r="K22" s="162">
        <f>+'Input Sheet'!J$183</f>
        <v>192.7867313882808</v>
      </c>
      <c r="L22" s="163">
        <f>+'Input Sheet'!K$183</f>
        <v>199.42560249725935</v>
      </c>
      <c r="M22" s="119"/>
      <c r="N22" s="120" t="str">
        <f>+'Standard Hour Calcs'!Z23</f>
        <v>Hourly</v>
      </c>
      <c r="O22" s="119"/>
      <c r="P22" s="229">
        <f t="shared" ref="P22:P27" si="10">IF($N22="Hourly",H22,H22*$N22)</f>
        <v>172.59724505765215</v>
      </c>
      <c r="Q22" s="230">
        <f t="shared" ref="Q22:Q27" si="11">IF($N22="Hourly",I22,I22*$N22)</f>
        <v>180.12761451481842</v>
      </c>
      <c r="R22" s="230">
        <f t="shared" ref="R22:R27" si="12">IF($N22="Hourly",J22,J22*$N22)</f>
        <v>186.22632113188152</v>
      </c>
      <c r="S22" s="230">
        <f t="shared" ref="S22:S27" si="13">IF($N22="Hourly",K22,K22*$N22)</f>
        <v>192.7867313882808</v>
      </c>
      <c r="T22" s="231">
        <f t="shared" ref="T22:T27" si="14">IF($N22="Hourly",L22,L22*$N22)</f>
        <v>199.42560249725935</v>
      </c>
      <c r="U22" s="113"/>
      <c r="V22" s="95"/>
      <c r="W22" s="95"/>
      <c r="X22" s="95"/>
      <c r="Y22" s="95"/>
      <c r="Z22" s="95"/>
      <c r="AA22" s="174"/>
      <c r="AB22" s="278">
        <f t="shared" si="4"/>
        <v>69729.287003291465</v>
      </c>
      <c r="AC22" s="279">
        <f t="shared" si="5"/>
        <v>72771.55626398664</v>
      </c>
      <c r="AD22" s="279">
        <f t="shared" si="6"/>
        <v>75235.433737280138</v>
      </c>
      <c r="AE22" s="279">
        <f t="shared" si="7"/>
        <v>77885.839480865441</v>
      </c>
      <c r="AF22" s="280">
        <f t="shared" si="8"/>
        <v>80567.943408892781</v>
      </c>
      <c r="AG22" s="174"/>
    </row>
    <row r="23" spans="2:33" x14ac:dyDescent="0.25">
      <c r="B23" s="132" t="s">
        <v>24</v>
      </c>
      <c r="C23" s="115">
        <f>'Input Sheet'!G23</f>
        <v>63.636363636363633</v>
      </c>
      <c r="D23" s="116" t="str">
        <f>'Input Sheet'!H23</f>
        <v>Hourly</v>
      </c>
      <c r="E23" s="133">
        <f>'Input Sheet'!J23</f>
        <v>70</v>
      </c>
      <c r="F23" s="131">
        <f>'Input Sheet'!K23</f>
        <v>63.636363636363633</v>
      </c>
      <c r="G23" s="118"/>
      <c r="H23" s="168">
        <f>+'Input Sheet'!G$183</f>
        <v>172.59724505765215</v>
      </c>
      <c r="I23" s="162">
        <f>+'Input Sheet'!H$183</f>
        <v>180.12761451481842</v>
      </c>
      <c r="J23" s="162">
        <f>+'Input Sheet'!I$183</f>
        <v>186.22632113188152</v>
      </c>
      <c r="K23" s="162">
        <f>+'Input Sheet'!J$183</f>
        <v>192.7867313882808</v>
      </c>
      <c r="L23" s="163">
        <f>+'Input Sheet'!K$183</f>
        <v>199.42560249725935</v>
      </c>
      <c r="M23" s="119"/>
      <c r="N23" s="120" t="str">
        <f>+'Standard Hour Calcs'!Z24</f>
        <v>Hourly</v>
      </c>
      <c r="O23" s="119"/>
      <c r="P23" s="229">
        <f t="shared" si="10"/>
        <v>172.59724505765215</v>
      </c>
      <c r="Q23" s="230">
        <f t="shared" si="11"/>
        <v>180.12761451481842</v>
      </c>
      <c r="R23" s="230">
        <f t="shared" si="12"/>
        <v>186.22632113188152</v>
      </c>
      <c r="S23" s="230">
        <f t="shared" si="13"/>
        <v>192.7867313882808</v>
      </c>
      <c r="T23" s="231">
        <f t="shared" si="14"/>
        <v>199.42560249725935</v>
      </c>
      <c r="U23" s="113"/>
      <c r="V23" s="95"/>
      <c r="W23" s="95"/>
      <c r="X23" s="95"/>
      <c r="Y23" s="95"/>
      <c r="Z23" s="95"/>
      <c r="AA23" s="174"/>
      <c r="AB23" s="278">
        <f t="shared" si="4"/>
        <v>172597.24505765215</v>
      </c>
      <c r="AC23" s="279">
        <f t="shared" si="5"/>
        <v>180127.61451481842</v>
      </c>
      <c r="AD23" s="279">
        <f t="shared" si="6"/>
        <v>186226.32113188153</v>
      </c>
      <c r="AE23" s="279">
        <f t="shared" si="7"/>
        <v>192786.73138828081</v>
      </c>
      <c r="AF23" s="280">
        <f t="shared" si="8"/>
        <v>199425.60249725936</v>
      </c>
      <c r="AG23" s="174"/>
    </row>
    <row r="24" spans="2:33" x14ac:dyDescent="0.25">
      <c r="B24" s="132" t="s">
        <v>11</v>
      </c>
      <c r="C24" s="115">
        <f>'Input Sheet'!G24</f>
        <v>63.636363636363633</v>
      </c>
      <c r="D24" s="116" t="str">
        <f>'Input Sheet'!H24</f>
        <v>Hourly</v>
      </c>
      <c r="E24" s="133">
        <f>'Input Sheet'!J24</f>
        <v>70</v>
      </c>
      <c r="F24" s="131">
        <f>'Input Sheet'!K24</f>
        <v>63.636363636363633</v>
      </c>
      <c r="G24" s="118"/>
      <c r="H24" s="168">
        <f>+'Input Sheet'!G$183</f>
        <v>172.59724505765215</v>
      </c>
      <c r="I24" s="162">
        <f>+'Input Sheet'!H$183</f>
        <v>180.12761451481842</v>
      </c>
      <c r="J24" s="162">
        <f>+'Input Sheet'!I$183</f>
        <v>186.22632113188152</v>
      </c>
      <c r="K24" s="162">
        <f>+'Input Sheet'!J$183</f>
        <v>192.7867313882808</v>
      </c>
      <c r="L24" s="163">
        <f>+'Input Sheet'!K$183</f>
        <v>199.42560249725935</v>
      </c>
      <c r="M24" s="119"/>
      <c r="N24" s="120" t="str">
        <f>+'Standard Hour Calcs'!Z25</f>
        <v>Hourly</v>
      </c>
      <c r="O24" s="119"/>
      <c r="P24" s="229">
        <f t="shared" si="10"/>
        <v>172.59724505765215</v>
      </c>
      <c r="Q24" s="230">
        <f t="shared" si="11"/>
        <v>180.12761451481842</v>
      </c>
      <c r="R24" s="230">
        <f t="shared" si="12"/>
        <v>186.22632113188152</v>
      </c>
      <c r="S24" s="230">
        <f t="shared" si="13"/>
        <v>192.7867313882808</v>
      </c>
      <c r="T24" s="231">
        <f t="shared" si="14"/>
        <v>199.42560249725935</v>
      </c>
      <c r="U24" s="113"/>
      <c r="V24" s="95"/>
      <c r="W24" s="95"/>
      <c r="X24" s="95"/>
      <c r="Y24" s="95"/>
      <c r="Z24" s="95"/>
      <c r="AA24" s="174"/>
      <c r="AB24" s="278">
        <f t="shared" si="4"/>
        <v>22092.447367379475</v>
      </c>
      <c r="AC24" s="279">
        <f t="shared" si="5"/>
        <v>23056.334657896758</v>
      </c>
      <c r="AD24" s="279">
        <f t="shared" si="6"/>
        <v>23836.969104880834</v>
      </c>
      <c r="AE24" s="279">
        <f t="shared" si="7"/>
        <v>24676.701617699942</v>
      </c>
      <c r="AF24" s="280">
        <f t="shared" si="8"/>
        <v>25526.477119649197</v>
      </c>
      <c r="AG24" s="174"/>
    </row>
    <row r="25" spans="2:33" x14ac:dyDescent="0.25">
      <c r="B25" s="132" t="s">
        <v>25</v>
      </c>
      <c r="C25" s="115">
        <f>'Input Sheet'!G25</f>
        <v>63.636363636363633</v>
      </c>
      <c r="D25" s="116">
        <f>'Input Sheet'!H25</f>
        <v>3.0285714285714289</v>
      </c>
      <c r="E25" s="133">
        <f>'Input Sheet'!J25</f>
        <v>212</v>
      </c>
      <c r="F25" s="131">
        <f>'Input Sheet'!K25</f>
        <v>192.72727272727275</v>
      </c>
      <c r="G25" s="117"/>
      <c r="H25" s="168">
        <f>+'Input Sheet'!G$183</f>
        <v>172.59724505765215</v>
      </c>
      <c r="I25" s="162">
        <f>+'Input Sheet'!H$183</f>
        <v>180.12761451481842</v>
      </c>
      <c r="J25" s="162">
        <f>+'Input Sheet'!I$183</f>
        <v>186.22632113188152</v>
      </c>
      <c r="K25" s="162">
        <f>+'Input Sheet'!J$183</f>
        <v>192.7867313882808</v>
      </c>
      <c r="L25" s="163">
        <f>+'Input Sheet'!K$183</f>
        <v>199.42560249725935</v>
      </c>
      <c r="M25" s="119"/>
      <c r="N25" s="120">
        <f>+'Standard Hour Calcs'!Z26</f>
        <v>4</v>
      </c>
      <c r="O25" s="119"/>
      <c r="P25" s="229">
        <f t="shared" si="10"/>
        <v>690.38898023060858</v>
      </c>
      <c r="Q25" s="230">
        <f t="shared" si="11"/>
        <v>720.51045805927367</v>
      </c>
      <c r="R25" s="230">
        <f t="shared" si="12"/>
        <v>744.90528452752608</v>
      </c>
      <c r="S25" s="230">
        <f t="shared" si="13"/>
        <v>771.1469255531232</v>
      </c>
      <c r="T25" s="231">
        <f t="shared" si="14"/>
        <v>797.70240998903739</v>
      </c>
      <c r="U25" s="113"/>
      <c r="V25" s="95"/>
      <c r="W25" s="95"/>
      <c r="X25" s="95"/>
      <c r="Y25" s="95"/>
      <c r="Z25" s="95"/>
      <c r="AA25" s="174"/>
      <c r="AB25" s="278">
        <f t="shared" si="4"/>
        <v>31757.893090607995</v>
      </c>
      <c r="AC25" s="279">
        <f t="shared" si="5"/>
        <v>33143.481070726586</v>
      </c>
      <c r="AD25" s="279">
        <f t="shared" si="6"/>
        <v>34265.643088266203</v>
      </c>
      <c r="AE25" s="279">
        <f t="shared" si="7"/>
        <v>35472.758575443666</v>
      </c>
      <c r="AF25" s="280">
        <f t="shared" si="8"/>
        <v>36694.310859495723</v>
      </c>
      <c r="AG25" s="174"/>
    </row>
    <row r="26" spans="2:33" x14ac:dyDescent="0.25">
      <c r="B26" s="132" t="s">
        <v>26</v>
      </c>
      <c r="C26" s="115">
        <f>'Input Sheet'!G26</f>
        <v>63.636363636363633</v>
      </c>
      <c r="D26" s="116">
        <f>'Input Sheet'!H26</f>
        <v>4.0571428571428578</v>
      </c>
      <c r="E26" s="133">
        <f>'Input Sheet'!J26</f>
        <v>284</v>
      </c>
      <c r="F26" s="131">
        <f>'Input Sheet'!K26</f>
        <v>258.18181818181819</v>
      </c>
      <c r="G26" s="117"/>
      <c r="H26" s="168">
        <f>+'Input Sheet'!G$183</f>
        <v>172.59724505765215</v>
      </c>
      <c r="I26" s="162">
        <f>+'Input Sheet'!H$183</f>
        <v>180.12761451481842</v>
      </c>
      <c r="J26" s="162">
        <f>+'Input Sheet'!I$183</f>
        <v>186.22632113188152</v>
      </c>
      <c r="K26" s="162">
        <f>+'Input Sheet'!J$183</f>
        <v>192.7867313882808</v>
      </c>
      <c r="L26" s="163">
        <f>+'Input Sheet'!K$183</f>
        <v>199.42560249725935</v>
      </c>
      <c r="M26" s="119"/>
      <c r="N26" s="120">
        <f>+'Standard Hour Calcs'!Z27</f>
        <v>6</v>
      </c>
      <c r="O26" s="119"/>
      <c r="P26" s="229">
        <f t="shared" si="10"/>
        <v>1035.5834703459129</v>
      </c>
      <c r="Q26" s="230">
        <f t="shared" si="11"/>
        <v>1080.7656870889105</v>
      </c>
      <c r="R26" s="230">
        <f t="shared" si="12"/>
        <v>1117.3579267912892</v>
      </c>
      <c r="S26" s="230">
        <f t="shared" si="13"/>
        <v>1156.7203883296847</v>
      </c>
      <c r="T26" s="231">
        <f t="shared" si="14"/>
        <v>1196.5536149835561</v>
      </c>
      <c r="U26" s="113"/>
      <c r="V26" s="95"/>
      <c r="W26" s="95"/>
      <c r="X26" s="95"/>
      <c r="Y26" s="95"/>
      <c r="Z26" s="95"/>
      <c r="AA26" s="174"/>
      <c r="AB26" s="278">
        <f t="shared" si="4"/>
        <v>6213.5008220754771</v>
      </c>
      <c r="AC26" s="279">
        <f t="shared" si="5"/>
        <v>6484.5941225334627</v>
      </c>
      <c r="AD26" s="279">
        <f t="shared" si="6"/>
        <v>6704.147560747735</v>
      </c>
      <c r="AE26" s="279">
        <f t="shared" si="7"/>
        <v>6940.3223299781084</v>
      </c>
      <c r="AF26" s="280">
        <f t="shared" si="8"/>
        <v>7179.3216899013369</v>
      </c>
      <c r="AG26" s="174"/>
    </row>
    <row r="27" spans="2:33" x14ac:dyDescent="0.25">
      <c r="B27" s="132" t="s">
        <v>27</v>
      </c>
      <c r="C27" s="115">
        <f>'Input Sheet'!G27</f>
        <v>63.636363636363633</v>
      </c>
      <c r="D27" s="116">
        <f>'Input Sheet'!H27</f>
        <v>6.0857142857142854</v>
      </c>
      <c r="E27" s="133">
        <f>'Input Sheet'!J27</f>
        <v>426</v>
      </c>
      <c r="F27" s="131">
        <f>'Input Sheet'!K27</f>
        <v>387.27272727272725</v>
      </c>
      <c r="G27" s="117"/>
      <c r="H27" s="168">
        <f>+'Input Sheet'!G$183</f>
        <v>172.59724505765215</v>
      </c>
      <c r="I27" s="162">
        <f>+'Input Sheet'!H$183</f>
        <v>180.12761451481842</v>
      </c>
      <c r="J27" s="162">
        <f>+'Input Sheet'!I$183</f>
        <v>186.22632113188152</v>
      </c>
      <c r="K27" s="162">
        <f>+'Input Sheet'!J$183</f>
        <v>192.7867313882808</v>
      </c>
      <c r="L27" s="163">
        <f>+'Input Sheet'!K$183</f>
        <v>199.42560249725935</v>
      </c>
      <c r="M27" s="119"/>
      <c r="N27" s="120">
        <f>+'Standard Hour Calcs'!Z28</f>
        <v>8</v>
      </c>
      <c r="O27" s="119"/>
      <c r="P27" s="229">
        <f t="shared" si="10"/>
        <v>1380.7779604612172</v>
      </c>
      <c r="Q27" s="230">
        <f t="shared" si="11"/>
        <v>1441.0209161185473</v>
      </c>
      <c r="R27" s="230">
        <f t="shared" si="12"/>
        <v>1489.8105690550522</v>
      </c>
      <c r="S27" s="230">
        <f t="shared" si="13"/>
        <v>1542.2938511062464</v>
      </c>
      <c r="T27" s="231">
        <f t="shared" si="14"/>
        <v>1595.4048199780748</v>
      </c>
      <c r="U27" s="113"/>
      <c r="V27" s="95"/>
      <c r="W27" s="95"/>
      <c r="X27" s="95"/>
      <c r="Y27" s="95"/>
      <c r="Z27" s="95"/>
      <c r="AA27" s="174"/>
      <c r="AB27" s="278">
        <f t="shared" si="4"/>
        <v>1380.7779604612172</v>
      </c>
      <c r="AC27" s="279">
        <f t="shared" si="5"/>
        <v>1441.0209161185473</v>
      </c>
      <c r="AD27" s="279">
        <f t="shared" si="6"/>
        <v>1489.8105690550522</v>
      </c>
      <c r="AE27" s="279">
        <f t="shared" si="7"/>
        <v>1542.2938511062464</v>
      </c>
      <c r="AF27" s="280">
        <f t="shared" si="8"/>
        <v>1595.4048199780748</v>
      </c>
      <c r="AG27" s="174"/>
    </row>
    <row r="28" spans="2:33" x14ac:dyDescent="0.25">
      <c r="B28" s="132" t="s">
        <v>9</v>
      </c>
      <c r="C28" s="133"/>
      <c r="D28" s="118"/>
      <c r="E28" s="133"/>
      <c r="F28" s="131"/>
      <c r="G28" s="118"/>
      <c r="H28" s="168"/>
      <c r="I28" s="162"/>
      <c r="J28" s="162"/>
      <c r="K28" s="162"/>
      <c r="L28" s="163"/>
      <c r="M28" s="119"/>
      <c r="N28" s="120"/>
      <c r="O28" s="119"/>
      <c r="P28" s="229"/>
      <c r="Q28" s="230"/>
      <c r="R28" s="230"/>
      <c r="S28" s="230"/>
      <c r="T28" s="231"/>
      <c r="U28" s="113"/>
      <c r="V28" s="95"/>
      <c r="W28" s="95"/>
      <c r="X28" s="95"/>
      <c r="Y28" s="95"/>
      <c r="Z28" s="95"/>
      <c r="AA28" s="174"/>
      <c r="AB28" s="278"/>
      <c r="AC28" s="279"/>
      <c r="AD28" s="279"/>
      <c r="AE28" s="279"/>
      <c r="AF28" s="280"/>
      <c r="AG28" s="174"/>
    </row>
    <row r="29" spans="2:33" x14ac:dyDescent="0.25">
      <c r="B29" s="132" t="s">
        <v>12</v>
      </c>
      <c r="C29" s="115">
        <f>'Input Sheet'!G29</f>
        <v>63.636363636363633</v>
      </c>
      <c r="D29" s="116" t="str">
        <f>'Input Sheet'!H29</f>
        <v>Hourly</v>
      </c>
      <c r="E29" s="133">
        <f>'Input Sheet'!J29</f>
        <v>70</v>
      </c>
      <c r="F29" s="131">
        <f>'Input Sheet'!K29</f>
        <v>63.636363636363633</v>
      </c>
      <c r="G29" s="118"/>
      <c r="H29" s="168">
        <f>+'Input Sheet'!G$183</f>
        <v>172.59724505765215</v>
      </c>
      <c r="I29" s="162">
        <f>+'Input Sheet'!H$183</f>
        <v>180.12761451481842</v>
      </c>
      <c r="J29" s="162">
        <f>+'Input Sheet'!I$183</f>
        <v>186.22632113188152</v>
      </c>
      <c r="K29" s="162">
        <f>+'Input Sheet'!J$183</f>
        <v>192.7867313882808</v>
      </c>
      <c r="L29" s="163">
        <f>+'Input Sheet'!K$183</f>
        <v>199.42560249725935</v>
      </c>
      <c r="M29" s="119"/>
      <c r="N29" s="120" t="str">
        <f>+'Standard Hour Calcs'!Z30</f>
        <v>Hourly</v>
      </c>
      <c r="O29" s="119"/>
      <c r="P29" s="229">
        <f t="shared" ref="P29:P30" si="15">IF($N29="Hourly",H29,H29*$N29)</f>
        <v>172.59724505765215</v>
      </c>
      <c r="Q29" s="230">
        <f t="shared" ref="Q29:Q30" si="16">IF($N29="Hourly",I29,I29*$N29)</f>
        <v>180.12761451481842</v>
      </c>
      <c r="R29" s="230">
        <f t="shared" ref="R29:R30" si="17">IF($N29="Hourly",J29,J29*$N29)</f>
        <v>186.22632113188152</v>
      </c>
      <c r="S29" s="230">
        <f t="shared" ref="S29:S30" si="18">IF($N29="Hourly",K29,K29*$N29)</f>
        <v>192.7867313882808</v>
      </c>
      <c r="T29" s="231">
        <f t="shared" ref="T29:T30" si="19">IF($N29="Hourly",L29,L29*$N29)</f>
        <v>199.42560249725935</v>
      </c>
      <c r="U29" s="113"/>
      <c r="V29" s="95"/>
      <c r="W29" s="95"/>
      <c r="X29" s="95"/>
      <c r="Y29" s="95"/>
      <c r="Z29" s="95"/>
      <c r="AA29" s="174"/>
      <c r="AB29" s="278">
        <f t="shared" ref="AB29:AF30" si="20">IF($N29="hourly",$N58*P29*H58,P29*H58)</f>
        <v>100106.40213343824</v>
      </c>
      <c r="AC29" s="279">
        <f t="shared" si="20"/>
        <v>104474.01641859468</v>
      </c>
      <c r="AD29" s="279">
        <f t="shared" si="20"/>
        <v>108011.26625649128</v>
      </c>
      <c r="AE29" s="279">
        <f t="shared" si="20"/>
        <v>111816.30420520286</v>
      </c>
      <c r="AF29" s="280">
        <f t="shared" si="20"/>
        <v>115666.84944841042</v>
      </c>
      <c r="AG29" s="174"/>
    </row>
    <row r="30" spans="2:33" x14ac:dyDescent="0.25">
      <c r="B30" s="132" t="s">
        <v>13</v>
      </c>
      <c r="C30" s="115">
        <f>'Input Sheet'!G30</f>
        <v>63.636363636363633</v>
      </c>
      <c r="D30" s="116" t="str">
        <f>'Input Sheet'!H30</f>
        <v>Hourly</v>
      </c>
      <c r="E30" s="133">
        <f>'Input Sheet'!J30</f>
        <v>70</v>
      </c>
      <c r="F30" s="131">
        <f>'Input Sheet'!K30</f>
        <v>63.636363636363633</v>
      </c>
      <c r="G30" s="118"/>
      <c r="H30" s="168">
        <f>+'Input Sheet'!G$183</f>
        <v>172.59724505765215</v>
      </c>
      <c r="I30" s="162">
        <f>+'Input Sheet'!H$183</f>
        <v>180.12761451481842</v>
      </c>
      <c r="J30" s="162">
        <f>+'Input Sheet'!I$183</f>
        <v>186.22632113188152</v>
      </c>
      <c r="K30" s="162">
        <f>+'Input Sheet'!J$183</f>
        <v>192.7867313882808</v>
      </c>
      <c r="L30" s="163">
        <f>+'Input Sheet'!K$183</f>
        <v>199.42560249725935</v>
      </c>
      <c r="M30" s="119"/>
      <c r="N30" s="120" t="str">
        <f>+'Standard Hour Calcs'!Z31</f>
        <v>Hourly</v>
      </c>
      <c r="O30" s="119"/>
      <c r="P30" s="229">
        <f t="shared" si="15"/>
        <v>172.59724505765215</v>
      </c>
      <c r="Q30" s="230">
        <f t="shared" si="16"/>
        <v>180.12761451481842</v>
      </c>
      <c r="R30" s="230">
        <f t="shared" si="17"/>
        <v>186.22632113188152</v>
      </c>
      <c r="S30" s="230">
        <f t="shared" si="18"/>
        <v>192.7867313882808</v>
      </c>
      <c r="T30" s="231">
        <f t="shared" si="19"/>
        <v>199.42560249725935</v>
      </c>
      <c r="U30" s="113"/>
      <c r="V30" s="95"/>
      <c r="W30" s="95"/>
      <c r="X30" s="95"/>
      <c r="Y30" s="95"/>
      <c r="Z30" s="95"/>
      <c r="AA30" s="174"/>
      <c r="AB30" s="278">
        <f t="shared" si="20"/>
        <v>37281.004932452866</v>
      </c>
      <c r="AC30" s="279">
        <f t="shared" si="20"/>
        <v>38907.56473520078</v>
      </c>
      <c r="AD30" s="279">
        <f t="shared" si="20"/>
        <v>40224.885364486407</v>
      </c>
      <c r="AE30" s="279">
        <f t="shared" si="20"/>
        <v>41641.933979868656</v>
      </c>
      <c r="AF30" s="280">
        <f t="shared" si="20"/>
        <v>43075.930139408018</v>
      </c>
      <c r="AG30" s="174"/>
    </row>
    <row r="31" spans="2:33" x14ac:dyDescent="0.25">
      <c r="B31" s="134"/>
      <c r="C31" s="135"/>
      <c r="D31" s="90"/>
      <c r="E31" s="90"/>
      <c r="F31" s="122"/>
      <c r="G31" s="118"/>
      <c r="H31" s="169"/>
      <c r="I31" s="164"/>
      <c r="J31" s="164"/>
      <c r="K31" s="164"/>
      <c r="L31" s="165"/>
      <c r="M31" s="119"/>
      <c r="N31" s="123"/>
      <c r="O31" s="119"/>
      <c r="P31" s="232"/>
      <c r="Q31" s="233"/>
      <c r="R31" s="233"/>
      <c r="S31" s="233"/>
      <c r="T31" s="234"/>
      <c r="U31" s="113"/>
      <c r="V31" s="95"/>
      <c r="W31" s="95"/>
      <c r="X31" s="95"/>
      <c r="Y31" s="95"/>
      <c r="Z31" s="95"/>
      <c r="AA31" s="174"/>
      <c r="AB31" s="281"/>
      <c r="AC31" s="282"/>
      <c r="AD31" s="282"/>
      <c r="AE31" s="282"/>
      <c r="AF31" s="283"/>
      <c r="AG31" s="174"/>
    </row>
    <row r="32" spans="2:33" x14ac:dyDescent="0.25">
      <c r="C32" s="119"/>
      <c r="D32" s="87"/>
      <c r="E32" s="87"/>
      <c r="F32" s="87"/>
      <c r="G32" s="118"/>
      <c r="H32" s="118"/>
      <c r="I32" s="118"/>
      <c r="J32" s="124"/>
      <c r="K32" s="124"/>
      <c r="L32" s="124"/>
      <c r="M32" s="124"/>
      <c r="N32" s="124"/>
      <c r="O32" s="124"/>
      <c r="P32" s="124"/>
      <c r="Q32" s="124"/>
      <c r="R32" s="124"/>
      <c r="S32" s="124"/>
      <c r="T32" s="124"/>
      <c r="V32" s="27"/>
      <c r="W32" s="27"/>
      <c r="X32" s="27"/>
      <c r="Y32" s="27"/>
      <c r="Z32" s="27"/>
      <c r="AA32" s="174"/>
      <c r="AB32" s="284">
        <f t="shared" ref="AB32:AF32" si="21">SUM(AB9:AB31)</f>
        <v>755458.1416173433</v>
      </c>
      <c r="AC32" s="285">
        <f t="shared" si="21"/>
        <v>788418.5687313599</v>
      </c>
      <c r="AD32" s="285">
        <f t="shared" si="21"/>
        <v>815112.60759424535</v>
      </c>
      <c r="AE32" s="285">
        <f t="shared" si="21"/>
        <v>843827.52328650502</v>
      </c>
      <c r="AF32" s="286">
        <f t="shared" si="21"/>
        <v>872885.8621305041</v>
      </c>
      <c r="AG32" s="174"/>
    </row>
    <row r="33" spans="2:33" x14ac:dyDescent="0.25">
      <c r="C33" s="119"/>
      <c r="D33" s="87"/>
      <c r="E33" s="87"/>
      <c r="F33" s="87"/>
      <c r="G33" s="243"/>
      <c r="H33" s="243"/>
      <c r="I33" s="243"/>
      <c r="J33" s="124"/>
      <c r="K33" s="124"/>
      <c r="L33" s="124"/>
      <c r="M33" s="124"/>
      <c r="N33" s="124"/>
      <c r="O33" s="124"/>
      <c r="P33" s="124"/>
      <c r="Q33" s="124"/>
      <c r="R33" s="124"/>
      <c r="S33" s="124"/>
      <c r="T33" s="124"/>
      <c r="V33" s="244"/>
      <c r="W33" s="244"/>
      <c r="X33" s="244"/>
      <c r="Y33" s="244"/>
      <c r="Z33" s="244"/>
      <c r="AA33" s="174"/>
      <c r="AB33" s="244"/>
      <c r="AC33" s="244"/>
      <c r="AD33" s="244"/>
      <c r="AE33" s="244"/>
      <c r="AF33" s="244"/>
      <c r="AG33" s="174"/>
    </row>
    <row r="34" spans="2:33" ht="15" x14ac:dyDescent="0.25">
      <c r="B34" s="158" t="s">
        <v>163</v>
      </c>
      <c r="C34" s="158"/>
      <c r="D34" s="158"/>
      <c r="E34" s="158"/>
      <c r="F34" s="158"/>
      <c r="G34" s="158"/>
      <c r="H34" s="158"/>
      <c r="I34" s="158"/>
      <c r="J34" s="158"/>
      <c r="K34" s="158"/>
      <c r="L34" s="158"/>
      <c r="M34" s="158"/>
      <c r="N34" s="158"/>
      <c r="O34" s="158"/>
      <c r="P34" s="158"/>
      <c r="Q34" s="158"/>
      <c r="R34" s="158"/>
      <c r="S34" s="158"/>
      <c r="T34" s="158"/>
      <c r="U34" s="158"/>
      <c r="V34" s="158"/>
      <c r="W34" s="158"/>
      <c r="X34" s="158"/>
      <c r="Y34" s="158"/>
      <c r="Z34" s="158"/>
      <c r="AA34" s="158"/>
      <c r="AB34" s="158"/>
      <c r="AC34" s="158"/>
      <c r="AD34" s="158"/>
      <c r="AE34" s="158"/>
      <c r="AF34" s="158"/>
    </row>
    <row r="35" spans="2:33" x14ac:dyDescent="0.25">
      <c r="M35" s="125"/>
      <c r="N35" s="125"/>
      <c r="O35" s="125"/>
      <c r="V35" s="238"/>
      <c r="W35" s="238"/>
      <c r="X35" s="238"/>
      <c r="Y35" s="238"/>
      <c r="Z35" s="238"/>
    </row>
    <row r="36" spans="2:33" s="103" customFormat="1" x14ac:dyDescent="0.2">
      <c r="C36" s="410" t="s">
        <v>113</v>
      </c>
      <c r="D36" s="411"/>
      <c r="E36" s="411"/>
      <c r="F36" s="412"/>
      <c r="G36" s="27"/>
      <c r="H36" s="413" t="s">
        <v>143</v>
      </c>
      <c r="I36" s="414"/>
      <c r="J36" s="414"/>
      <c r="K36" s="414"/>
      <c r="L36" s="415"/>
      <c r="P36" s="422" t="s">
        <v>115</v>
      </c>
      <c r="Q36" s="423"/>
      <c r="R36" s="423"/>
      <c r="S36" s="423"/>
      <c r="T36" s="424"/>
      <c r="V36" s="410" t="s">
        <v>114</v>
      </c>
      <c r="W36" s="411"/>
      <c r="X36" s="411"/>
      <c r="Y36" s="411"/>
      <c r="Z36" s="412"/>
      <c r="AB36" s="410" t="s">
        <v>96</v>
      </c>
      <c r="AC36" s="411"/>
      <c r="AD36" s="411"/>
      <c r="AE36" s="411"/>
      <c r="AF36" s="412"/>
    </row>
    <row r="37" spans="2:33" s="103" customFormat="1" ht="38.25" x14ac:dyDescent="0.25">
      <c r="B37" s="106" t="s">
        <v>31</v>
      </c>
      <c r="C37" s="108" t="s">
        <v>37</v>
      </c>
      <c r="D37" s="109" t="s">
        <v>38</v>
      </c>
      <c r="E37" s="109" t="s">
        <v>39</v>
      </c>
      <c r="F37" s="110" t="s">
        <v>40</v>
      </c>
      <c r="G37" s="27"/>
      <c r="H37" s="170" t="s">
        <v>42</v>
      </c>
      <c r="I37" s="171" t="s">
        <v>43</v>
      </c>
      <c r="J37" s="171" t="s">
        <v>44</v>
      </c>
      <c r="K37" s="171" t="s">
        <v>45</v>
      </c>
      <c r="L37" s="172" t="s">
        <v>46</v>
      </c>
      <c r="N37" s="129" t="s">
        <v>182</v>
      </c>
      <c r="P37" s="170" t="s">
        <v>42</v>
      </c>
      <c r="Q37" s="171" t="s">
        <v>43</v>
      </c>
      <c r="R37" s="171" t="s">
        <v>44</v>
      </c>
      <c r="S37" s="171" t="s">
        <v>45</v>
      </c>
      <c r="T37" s="172" t="s">
        <v>46</v>
      </c>
      <c r="U37" s="95"/>
      <c r="V37" s="108" t="s">
        <v>42</v>
      </c>
      <c r="W37" s="109" t="s">
        <v>43</v>
      </c>
      <c r="X37" s="109" t="s">
        <v>44</v>
      </c>
      <c r="Y37" s="109" t="s">
        <v>45</v>
      </c>
      <c r="Z37" s="110" t="s">
        <v>46</v>
      </c>
      <c r="AA37" s="95"/>
      <c r="AB37" s="170" t="s">
        <v>42</v>
      </c>
      <c r="AC37" s="171" t="s">
        <v>43</v>
      </c>
      <c r="AD37" s="171" t="s">
        <v>44</v>
      </c>
      <c r="AE37" s="171" t="s">
        <v>45</v>
      </c>
      <c r="AF37" s="172" t="s">
        <v>46</v>
      </c>
    </row>
    <row r="38" spans="2:33" s="103" customFormat="1" x14ac:dyDescent="0.25">
      <c r="B38" s="111" t="s">
        <v>14</v>
      </c>
      <c r="C38" s="262">
        <f>+'Input Sheet'!G48</f>
        <v>61</v>
      </c>
      <c r="D38" s="263">
        <f>+'Input Sheet'!H48</f>
        <v>56</v>
      </c>
      <c r="E38" s="263">
        <f>+'Input Sheet'!I48</f>
        <v>63</v>
      </c>
      <c r="F38" s="264">
        <f>+'Input Sheet'!K48</f>
        <v>67</v>
      </c>
      <c r="G38" s="266">
        <f>+H38-[1]SUMMARY!AS4</f>
        <v>0</v>
      </c>
      <c r="H38" s="265">
        <f>ROUND(AVERAGE($C38:$F38),0)</f>
        <v>62</v>
      </c>
      <c r="I38" s="266">
        <f t="shared" ref="I38:L49" si="22">ROUND(AVERAGE($C38:$F38),0)</f>
        <v>62</v>
      </c>
      <c r="J38" s="266">
        <f t="shared" si="22"/>
        <v>62</v>
      </c>
      <c r="K38" s="266">
        <f t="shared" si="22"/>
        <v>62</v>
      </c>
      <c r="L38" s="267">
        <f t="shared" si="22"/>
        <v>62</v>
      </c>
      <c r="N38" s="114"/>
      <c r="P38" s="278">
        <f>IF($N9="Hourly",'Input Sheet'!G$182*'Fee Breakdown'!$N38*'Fee Breakdown'!H38,'Input Sheet'!G$182*'Fee Breakdown'!$N9*'Fee Breakdown'!H38)</f>
        <v>18898.944710109594</v>
      </c>
      <c r="Q38" s="279">
        <f>IF($N9="Hourly",'Input Sheet'!H$182*'Fee Breakdown'!$N38*'Fee Breakdown'!I38,'Input Sheet'!H$182*'Fee Breakdown'!$N9*'Fee Breakdown'!I38)</f>
        <v>19723.50037419418</v>
      </c>
      <c r="R38" s="279">
        <f>IF($N9="Hourly",'Input Sheet'!I$182*'Fee Breakdown'!$N38*'Fee Breakdown'!J38,'Input Sheet'!I$182*'Fee Breakdown'!$N9*'Fee Breakdown'!J38)</f>
        <v>20391.292720013807</v>
      </c>
      <c r="S38" s="279">
        <f>IF($N9="Hourly",'Input Sheet'!J$182*'Fee Breakdown'!$N38*'Fee Breakdown'!K38,'Input Sheet'!J$182*'Fee Breakdown'!$N9*'Fee Breakdown'!K38)</f>
        <v>21109.640400881555</v>
      </c>
      <c r="T38" s="280">
        <f>IF($N9="Hourly",'Input Sheet'!K$182*'Fee Breakdown'!$N38*'Fee Breakdown'!L38,'Input Sheet'!K$182*'Fee Breakdown'!$N9*'Fee Breakdown'!L38)</f>
        <v>21836.579338894266</v>
      </c>
      <c r="U38" s="287"/>
      <c r="V38" s="288">
        <f>+P38*('Input Sheet'!G$192-1)</f>
        <v>22177.011147633952</v>
      </c>
      <c r="W38" s="289">
        <f>+Q38*('Input Sheet'!H$192-1)</f>
        <v>24851.679112974525</v>
      </c>
      <c r="X38" s="289">
        <f>+R38*('Input Sheet'!I$192-1)</f>
        <v>25918.192796459374</v>
      </c>
      <c r="Y38" s="289">
        <f>+S38*('Input Sheet'!J$192-1)</f>
        <v>27387.143337448008</v>
      </c>
      <c r="Z38" s="290">
        <f>+T38*('Input Sheet'!K$192-1)</f>
        <v>28881.029441714116</v>
      </c>
      <c r="AA38" s="287"/>
      <c r="AB38" s="288">
        <f>+P38+V38</f>
        <v>41075.955857743545</v>
      </c>
      <c r="AC38" s="289">
        <f t="shared" ref="AC38:AC49" si="23">+Q38+W38</f>
        <v>44575.179487168702</v>
      </c>
      <c r="AD38" s="289">
        <f t="shared" ref="AD38:AD49" si="24">+R38+X38</f>
        <v>46309.485516473185</v>
      </c>
      <c r="AE38" s="289">
        <f t="shared" ref="AE38:AE49" si="25">+S38+Y38</f>
        <v>48496.783738329563</v>
      </c>
      <c r="AF38" s="290">
        <f t="shared" ref="AF38:AF49" si="26">+T38+Z38</f>
        <v>50717.608780608381</v>
      </c>
    </row>
    <row r="39" spans="2:33" s="103" customFormat="1" x14ac:dyDescent="0.25">
      <c r="B39" s="97" t="s">
        <v>15</v>
      </c>
      <c r="C39" s="265">
        <f>+'Input Sheet'!G49</f>
        <v>47</v>
      </c>
      <c r="D39" s="266">
        <f>+'Input Sheet'!H49</f>
        <v>32</v>
      </c>
      <c r="E39" s="266">
        <f>+'Input Sheet'!I49</f>
        <v>55</v>
      </c>
      <c r="F39" s="267">
        <f>+'Input Sheet'!K49</f>
        <v>45</v>
      </c>
      <c r="G39" s="266">
        <f>+H39-[1]SUMMARY!AS5</f>
        <v>0</v>
      </c>
      <c r="H39" s="265">
        <f t="shared" ref="H39:H49" si="27">ROUND(AVERAGE($C39:$F39),0)</f>
        <v>45</v>
      </c>
      <c r="I39" s="266">
        <f t="shared" si="22"/>
        <v>45</v>
      </c>
      <c r="J39" s="266">
        <f t="shared" si="22"/>
        <v>45</v>
      </c>
      <c r="K39" s="266">
        <f t="shared" si="22"/>
        <v>45</v>
      </c>
      <c r="L39" s="267">
        <f t="shared" si="22"/>
        <v>45</v>
      </c>
      <c r="N39" s="120"/>
      <c r="P39" s="278">
        <f>IF($N10="Hourly",'Input Sheet'!G$182*'Fee Breakdown'!$N39*'Fee Breakdown'!H39,'Input Sheet'!G$182*'Fee Breakdown'!$N10*'Fee Breakdown'!H39)</f>
        <v>17146.219999091365</v>
      </c>
      <c r="Q39" s="279">
        <f>IF($N10="Hourly",'Input Sheet'!H$182*'Fee Breakdown'!$N39*'Fee Breakdown'!I39,'Input Sheet'!H$182*'Fee Breakdown'!$N10*'Fee Breakdown'!I39)</f>
        <v>17894.30477497456</v>
      </c>
      <c r="R39" s="279">
        <f>IF($N10="Hourly",'Input Sheet'!I$182*'Fee Breakdown'!$N39*'Fee Breakdown'!J39,'Input Sheet'!I$182*'Fee Breakdown'!$N10*'Fee Breakdown'!J39)</f>
        <v>18500.164766141559</v>
      </c>
      <c r="S39" s="279">
        <f>IF($N10="Hourly",'Input Sheet'!J$182*'Fee Breakdown'!$N39*'Fee Breakdown'!K39,'Input Sheet'!J$182*'Fee Breakdown'!$N10*'Fee Breakdown'!K39)</f>
        <v>19151.891492735282</v>
      </c>
      <c r="T39" s="280">
        <f>IF($N10="Hourly",'Input Sheet'!K$182*'Fee Breakdown'!$N39*'Fee Breakdown'!L39,'Input Sheet'!K$182*'Fee Breakdown'!$N10*'Fee Breakdown'!L39)</f>
        <v>19811.412706658106</v>
      </c>
      <c r="U39" s="287"/>
      <c r="V39" s="278">
        <f>+P39*('Input Sheet'!G$192-1)</f>
        <v>20120.272210554995</v>
      </c>
      <c r="W39" s="279">
        <f>+Q39*('Input Sheet'!H$192-1)</f>
        <v>22546.88629201318</v>
      </c>
      <c r="X39" s="279">
        <f>+R39*('Input Sheet'!I$192-1)</f>
        <v>23514.48943227161</v>
      </c>
      <c r="Y39" s="279">
        <f>+S39*('Input Sheet'!J$192-1)</f>
        <v>24847.206656958875</v>
      </c>
      <c r="Z39" s="280">
        <f>+T39*('Input Sheet'!K$192-1)</f>
        <v>26202.546872522889</v>
      </c>
      <c r="AA39" s="287"/>
      <c r="AB39" s="278">
        <f t="shared" ref="AB39:AB49" si="28">+P39+V39</f>
        <v>37266.492209646356</v>
      </c>
      <c r="AC39" s="279">
        <f t="shared" si="23"/>
        <v>40441.19106698774</v>
      </c>
      <c r="AD39" s="279">
        <f t="shared" si="24"/>
        <v>42014.654198413169</v>
      </c>
      <c r="AE39" s="279">
        <f t="shared" si="25"/>
        <v>43999.098149694153</v>
      </c>
      <c r="AF39" s="280">
        <f t="shared" si="26"/>
        <v>46013.959579180999</v>
      </c>
    </row>
    <row r="40" spans="2:33" s="103" customFormat="1" x14ac:dyDescent="0.25">
      <c r="B40" s="97" t="s">
        <v>16</v>
      </c>
      <c r="C40" s="265">
        <f>+'Input Sheet'!G50</f>
        <v>82</v>
      </c>
      <c r="D40" s="266">
        <f>+'Input Sheet'!H50</f>
        <v>87</v>
      </c>
      <c r="E40" s="266">
        <f>+'Input Sheet'!I50</f>
        <v>107</v>
      </c>
      <c r="F40" s="267">
        <f>+'Input Sheet'!K50</f>
        <v>94</v>
      </c>
      <c r="G40" s="266">
        <f>+H40-[1]SUMMARY!AS6</f>
        <v>0</v>
      </c>
      <c r="H40" s="265">
        <f t="shared" si="27"/>
        <v>93</v>
      </c>
      <c r="I40" s="266">
        <f t="shared" si="22"/>
        <v>93</v>
      </c>
      <c r="J40" s="266">
        <f t="shared" si="22"/>
        <v>93</v>
      </c>
      <c r="K40" s="266">
        <f t="shared" si="22"/>
        <v>93</v>
      </c>
      <c r="L40" s="267">
        <f t="shared" si="22"/>
        <v>93</v>
      </c>
      <c r="N40" s="120"/>
      <c r="P40" s="278">
        <f>IF($N11="Hourly",'Input Sheet'!G$182*'Fee Breakdown'!$N40*'Fee Breakdown'!H40,'Input Sheet'!G$182*'Fee Breakdown'!$N11*'Fee Breakdown'!H40)</f>
        <v>49609.729864037683</v>
      </c>
      <c r="Q40" s="279">
        <f>IF($N11="Hourly",'Input Sheet'!H$182*'Fee Breakdown'!$N40*'Fee Breakdown'!I40,'Input Sheet'!H$182*'Fee Breakdown'!$N11*'Fee Breakdown'!I40)</f>
        <v>51774.18848225972</v>
      </c>
      <c r="R40" s="279">
        <f>IF($N11="Hourly",'Input Sheet'!I$182*'Fee Breakdown'!$N40*'Fee Breakdown'!J40,'Input Sheet'!I$182*'Fee Breakdown'!$N11*'Fee Breakdown'!J40)</f>
        <v>53527.143390036254</v>
      </c>
      <c r="S40" s="279">
        <f>IF($N11="Hourly",'Input Sheet'!J$182*'Fee Breakdown'!$N40*'Fee Breakdown'!K40,'Input Sheet'!J$182*'Fee Breakdown'!$N11*'Fee Breakdown'!K40)</f>
        <v>55412.806052314081</v>
      </c>
      <c r="T40" s="280">
        <f>IF($N11="Hourly",'Input Sheet'!K$182*'Fee Breakdown'!$N40*'Fee Breakdown'!L40,'Input Sheet'!K$182*'Fee Breakdown'!$N11*'Fee Breakdown'!L40)</f>
        <v>57321.020764597451</v>
      </c>
      <c r="U40" s="287"/>
      <c r="V40" s="278">
        <f>+P40*('Input Sheet'!G$192-1)</f>
        <v>58214.654262539123</v>
      </c>
      <c r="W40" s="279">
        <f>+Q40*('Input Sheet'!H$192-1)</f>
        <v>65235.657671558125</v>
      </c>
      <c r="X40" s="279">
        <f>+R40*('Input Sheet'!I$192-1)</f>
        <v>68035.256090705865</v>
      </c>
      <c r="Y40" s="279">
        <f>+S40*('Input Sheet'!J$192-1)</f>
        <v>71891.251260801015</v>
      </c>
      <c r="Z40" s="280">
        <f>+T40*('Input Sheet'!K$192-1)</f>
        <v>75812.702284499552</v>
      </c>
      <c r="AA40" s="287"/>
      <c r="AB40" s="278">
        <f t="shared" si="28"/>
        <v>107824.3841265768</v>
      </c>
      <c r="AC40" s="279">
        <f t="shared" si="23"/>
        <v>117009.84615381784</v>
      </c>
      <c r="AD40" s="279">
        <f t="shared" si="24"/>
        <v>121562.39948074211</v>
      </c>
      <c r="AE40" s="279">
        <f t="shared" si="25"/>
        <v>127304.0573131151</v>
      </c>
      <c r="AF40" s="280">
        <f t="shared" si="26"/>
        <v>133133.723049097</v>
      </c>
    </row>
    <row r="41" spans="2:33" s="103" customFormat="1" x14ac:dyDescent="0.25">
      <c r="B41" s="97" t="s">
        <v>28</v>
      </c>
      <c r="C41" s="265">
        <f>+'Input Sheet'!G51</f>
        <v>36</v>
      </c>
      <c r="D41" s="266">
        <f>+'Input Sheet'!H51</f>
        <v>59</v>
      </c>
      <c r="E41" s="266">
        <f>+'Input Sheet'!I51</f>
        <v>78</v>
      </c>
      <c r="F41" s="267">
        <f>+'Input Sheet'!K51</f>
        <v>64</v>
      </c>
      <c r="G41" s="266">
        <f>+H41-[1]SUMMARY!AS7</f>
        <v>0</v>
      </c>
      <c r="H41" s="265">
        <f t="shared" si="27"/>
        <v>59</v>
      </c>
      <c r="I41" s="266">
        <f t="shared" si="22"/>
        <v>59</v>
      </c>
      <c r="J41" s="266">
        <f t="shared" si="22"/>
        <v>59</v>
      </c>
      <c r="K41" s="266">
        <f t="shared" si="22"/>
        <v>59</v>
      </c>
      <c r="L41" s="267">
        <f t="shared" si="22"/>
        <v>59</v>
      </c>
      <c r="N41" s="120"/>
      <c r="P41" s="278">
        <f>IF($N12="Hourly",'Input Sheet'!G$182*'Fee Breakdown'!$N41*'Fee Breakdown'!H41,'Input Sheet'!G$182*'Fee Breakdown'!$N12*'Fee Breakdown'!H41)</f>
        <v>35968.959286982776</v>
      </c>
      <c r="Q41" s="279">
        <f>IF($N12="Hourly",'Input Sheet'!H$182*'Fee Breakdown'!$N41*'Fee Breakdown'!I41,'Input Sheet'!H$182*'Fee Breakdown'!$N12*'Fee Breakdown'!I41)</f>
        <v>37538.274905724407</v>
      </c>
      <c r="R41" s="279">
        <f>IF($N12="Hourly",'Input Sheet'!I$182*'Fee Breakdown'!$N41*'Fee Breakdown'!J41,'Input Sheet'!I$182*'Fee Breakdown'!$N12*'Fee Breakdown'!J41)</f>
        <v>38809.234531639187</v>
      </c>
      <c r="S41" s="279">
        <f>IF($N12="Hourly",'Input Sheet'!J$182*'Fee Breakdown'!$N41*'Fee Breakdown'!K41,'Input Sheet'!J$182*'Fee Breakdown'!$N12*'Fee Breakdown'!K41)</f>
        <v>40176.412375871347</v>
      </c>
      <c r="T41" s="280">
        <f>IF($N12="Hourly",'Input Sheet'!K$182*'Fee Breakdown'!$N41*'Fee Breakdown'!L41,'Input Sheet'!K$182*'Fee Breakdown'!$N12*'Fee Breakdown'!L41)</f>
        <v>41559.941322411665</v>
      </c>
      <c r="U41" s="287"/>
      <c r="V41" s="278">
        <f>+P41*('Input Sheet'!G$192-1)</f>
        <v>42207.859926142039</v>
      </c>
      <c r="W41" s="279">
        <f>+Q41*('Input Sheet'!H$192-1)</f>
        <v>47298.357021467644</v>
      </c>
      <c r="X41" s="279">
        <f>+R41*('Input Sheet'!I$192-1)</f>
        <v>49328.17338680978</v>
      </c>
      <c r="Y41" s="279">
        <f>+S41*('Input Sheet'!J$192-1)</f>
        <v>52123.917964820401</v>
      </c>
      <c r="Z41" s="280">
        <f>+T41*('Input Sheet'!K$192-1)</f>
        <v>54967.120550359119</v>
      </c>
      <c r="AA41" s="287"/>
      <c r="AB41" s="278">
        <f t="shared" si="28"/>
        <v>78176.819213124807</v>
      </c>
      <c r="AC41" s="279">
        <f t="shared" si="23"/>
        <v>84836.631927192051</v>
      </c>
      <c r="AD41" s="279">
        <f t="shared" si="24"/>
        <v>88137.407918448967</v>
      </c>
      <c r="AE41" s="279">
        <f t="shared" si="25"/>
        <v>92300.330340691755</v>
      </c>
      <c r="AF41" s="280">
        <f t="shared" si="26"/>
        <v>96527.061872770777</v>
      </c>
    </row>
    <row r="42" spans="2:33" s="103" customFormat="1" x14ac:dyDescent="0.25">
      <c r="B42" s="97" t="s">
        <v>17</v>
      </c>
      <c r="C42" s="265">
        <f>+'Input Sheet'!G52</f>
        <v>4</v>
      </c>
      <c r="D42" s="293" t="s">
        <v>191</v>
      </c>
      <c r="E42" s="293" t="s">
        <v>191</v>
      </c>
      <c r="F42" s="267">
        <f>+'Input Sheet'!K52</f>
        <v>17</v>
      </c>
      <c r="G42" s="266">
        <f>+H42-[1]SUMMARY!AS8</f>
        <v>0</v>
      </c>
      <c r="H42" s="265">
        <f t="shared" si="27"/>
        <v>11</v>
      </c>
      <c r="I42" s="266">
        <f t="shared" si="22"/>
        <v>11</v>
      </c>
      <c r="J42" s="266">
        <f t="shared" si="22"/>
        <v>11</v>
      </c>
      <c r="K42" s="266">
        <f t="shared" si="22"/>
        <v>11</v>
      </c>
      <c r="L42" s="267">
        <f t="shared" si="22"/>
        <v>11</v>
      </c>
      <c r="N42" s="120"/>
      <c r="P42" s="278">
        <f>IF($N13="Hourly",'Input Sheet'!G$182*'Fee Breakdown'!$N42*'Fee Breakdown'!H42,'Input Sheet'!G$182*'Fee Breakdown'!$N13*'Fee Breakdown'!H42)</f>
        <v>2514.7789332000666</v>
      </c>
      <c r="Q42" s="279">
        <f>IF($N13="Hourly",'Input Sheet'!H$182*'Fee Breakdown'!$N42*'Fee Breakdown'!I42,'Input Sheet'!H$182*'Fee Breakdown'!$N13*'Fee Breakdown'!I42)</f>
        <v>2624.4980336629355</v>
      </c>
      <c r="R42" s="279">
        <f>IF($N13="Hourly",'Input Sheet'!I$182*'Fee Breakdown'!$N42*'Fee Breakdown'!J42,'Input Sheet'!I$182*'Fee Breakdown'!$N13*'Fee Breakdown'!J42)</f>
        <v>2713.3574990340958</v>
      </c>
      <c r="S42" s="279">
        <f>IF($N13="Hourly",'Input Sheet'!J$182*'Fee Breakdown'!$N42*'Fee Breakdown'!K42,'Input Sheet'!J$182*'Fee Breakdown'!$N13*'Fee Breakdown'!K42)</f>
        <v>2808.9440856011747</v>
      </c>
      <c r="T42" s="280">
        <f>IF($N13="Hourly",'Input Sheet'!K$182*'Fee Breakdown'!$N42*'Fee Breakdown'!L42,'Input Sheet'!K$182*'Fee Breakdown'!$N13*'Fee Breakdown'!L42)</f>
        <v>2905.6738636431883</v>
      </c>
      <c r="U42" s="287"/>
      <c r="V42" s="278">
        <f>+P42*('Input Sheet'!G$192-1)</f>
        <v>2950.9732575480657</v>
      </c>
      <c r="W42" s="279">
        <f>+Q42*('Input Sheet'!H$192-1)</f>
        <v>3306.8766561619332</v>
      </c>
      <c r="X42" s="279">
        <f>+R42*('Input Sheet'!I$192-1)</f>
        <v>3448.7917833998363</v>
      </c>
      <c r="Y42" s="279">
        <f>+S42*('Input Sheet'!J$192-1)</f>
        <v>3644.2569763539686</v>
      </c>
      <c r="Z42" s="280">
        <f>+T42*('Input Sheet'!K$192-1)</f>
        <v>3843.0402079700229</v>
      </c>
      <c r="AA42" s="287"/>
      <c r="AB42" s="278">
        <f t="shared" si="28"/>
        <v>5465.7521907481323</v>
      </c>
      <c r="AC42" s="279">
        <f t="shared" si="23"/>
        <v>5931.3746898248683</v>
      </c>
      <c r="AD42" s="279">
        <f t="shared" si="24"/>
        <v>6162.1492824339321</v>
      </c>
      <c r="AE42" s="279">
        <f t="shared" si="25"/>
        <v>6453.2010619551438</v>
      </c>
      <c r="AF42" s="280">
        <f t="shared" si="26"/>
        <v>6748.7140716132108</v>
      </c>
    </row>
    <row r="43" spans="2:33" s="103" customFormat="1" x14ac:dyDescent="0.25">
      <c r="B43" s="97" t="s">
        <v>18</v>
      </c>
      <c r="C43" s="265">
        <f>+'Input Sheet'!G53</f>
        <v>0</v>
      </c>
      <c r="D43" s="293" t="s">
        <v>191</v>
      </c>
      <c r="E43" s="293" t="s">
        <v>191</v>
      </c>
      <c r="F43" s="267">
        <f>+'Input Sheet'!K53</f>
        <v>3</v>
      </c>
      <c r="G43" s="266">
        <f>+H43-[1]SUMMARY!AS9</f>
        <v>0</v>
      </c>
      <c r="H43" s="265">
        <f t="shared" si="27"/>
        <v>2</v>
      </c>
      <c r="I43" s="266">
        <f t="shared" si="22"/>
        <v>2</v>
      </c>
      <c r="J43" s="266">
        <f t="shared" si="22"/>
        <v>2</v>
      </c>
      <c r="K43" s="266">
        <f t="shared" si="22"/>
        <v>2</v>
      </c>
      <c r="L43" s="267">
        <f t="shared" si="22"/>
        <v>2</v>
      </c>
      <c r="N43" s="120"/>
      <c r="P43" s="278">
        <f>IF($N14="Hourly",'Input Sheet'!G$182*'Fee Breakdown'!$N43*'Fee Breakdown'!H43,'Input Sheet'!G$182*'Fee Breakdown'!$N14*'Fee Breakdown'!H43)</f>
        <v>609.64337774547073</v>
      </c>
      <c r="Q43" s="279">
        <f>IF($N14="Hourly",'Input Sheet'!H$182*'Fee Breakdown'!$N43*'Fee Breakdown'!I43,'Input Sheet'!H$182*'Fee Breakdown'!$N14*'Fee Breakdown'!I43)</f>
        <v>636.24194755465101</v>
      </c>
      <c r="R43" s="279">
        <f>IF($N14="Hourly",'Input Sheet'!I$182*'Fee Breakdown'!$N43*'Fee Breakdown'!J43,'Input Sheet'!I$182*'Fee Breakdown'!$N14*'Fee Breakdown'!J43)</f>
        <v>657.78363612947771</v>
      </c>
      <c r="S43" s="279">
        <f>IF($N14="Hourly",'Input Sheet'!J$182*'Fee Breakdown'!$N43*'Fee Breakdown'!K43,'Input Sheet'!J$182*'Fee Breakdown'!$N14*'Fee Breakdown'!K43)</f>
        <v>680.95614196392114</v>
      </c>
      <c r="T43" s="280">
        <f>IF($N14="Hourly",'Input Sheet'!K$182*'Fee Breakdown'!$N43*'Fee Breakdown'!L43,'Input Sheet'!K$182*'Fee Breakdown'!$N14*'Fee Breakdown'!L43)</f>
        <v>704.40578512562149</v>
      </c>
      <c r="U43" s="287"/>
      <c r="V43" s="278">
        <f>+P43*('Input Sheet'!G$192-1)</f>
        <v>715.38745637528871</v>
      </c>
      <c r="W43" s="279">
        <f>+Q43*('Input Sheet'!H$192-1)</f>
        <v>801.6670681604686</v>
      </c>
      <c r="X43" s="279">
        <f>+R43*('Input Sheet'!I$192-1)</f>
        <v>836.0707353696572</v>
      </c>
      <c r="Y43" s="279">
        <f>+S43*('Input Sheet'!J$192-1)</f>
        <v>883.45623669187114</v>
      </c>
      <c r="Z43" s="280">
        <f>+T43*('Input Sheet'!K$192-1)</f>
        <v>931.64611102303593</v>
      </c>
      <c r="AA43" s="287"/>
      <c r="AB43" s="278">
        <f t="shared" si="28"/>
        <v>1325.0308341207594</v>
      </c>
      <c r="AC43" s="279">
        <f t="shared" si="23"/>
        <v>1437.9090157151195</v>
      </c>
      <c r="AD43" s="279">
        <f t="shared" si="24"/>
        <v>1493.8543714991349</v>
      </c>
      <c r="AE43" s="279">
        <f t="shared" si="25"/>
        <v>1564.4123786557923</v>
      </c>
      <c r="AF43" s="280">
        <f t="shared" si="26"/>
        <v>1636.0518961486573</v>
      </c>
    </row>
    <row r="44" spans="2:33" s="103" customFormat="1" x14ac:dyDescent="0.25">
      <c r="B44" s="97" t="s">
        <v>19</v>
      </c>
      <c r="C44" s="265">
        <f>+'Input Sheet'!G54</f>
        <v>4</v>
      </c>
      <c r="D44" s="293" t="s">
        <v>191</v>
      </c>
      <c r="E44" s="293" t="s">
        <v>191</v>
      </c>
      <c r="F44" s="267">
        <f>+'Input Sheet'!K54</f>
        <v>1</v>
      </c>
      <c r="G44" s="266">
        <f>+H44-[1]SUMMARY!AS10</f>
        <v>0</v>
      </c>
      <c r="H44" s="265">
        <f t="shared" si="27"/>
        <v>3</v>
      </c>
      <c r="I44" s="266">
        <f t="shared" si="22"/>
        <v>3</v>
      </c>
      <c r="J44" s="266">
        <f t="shared" si="22"/>
        <v>3</v>
      </c>
      <c r="K44" s="266">
        <f t="shared" si="22"/>
        <v>3</v>
      </c>
      <c r="L44" s="267">
        <f t="shared" si="22"/>
        <v>3</v>
      </c>
      <c r="N44" s="120"/>
      <c r="P44" s="278">
        <f>IF($N15="Hourly",'Input Sheet'!G$182*'Fee Breakdown'!$N44*'Fee Breakdown'!H44,'Input Sheet'!G$182*'Fee Breakdown'!$N15*'Fee Breakdown'!H44)</f>
        <v>1143.0813332727575</v>
      </c>
      <c r="Q44" s="279">
        <f>IF($N15="Hourly",'Input Sheet'!H$182*'Fee Breakdown'!$N44*'Fee Breakdown'!I44,'Input Sheet'!H$182*'Fee Breakdown'!$N15*'Fee Breakdown'!I44)</f>
        <v>1192.9536516649707</v>
      </c>
      <c r="R44" s="279">
        <f>IF($N15="Hourly",'Input Sheet'!I$182*'Fee Breakdown'!$N44*'Fee Breakdown'!J44,'Input Sheet'!I$182*'Fee Breakdown'!$N15*'Fee Breakdown'!J44)</f>
        <v>1233.3443177427707</v>
      </c>
      <c r="S44" s="279">
        <f>IF($N15="Hourly",'Input Sheet'!J$182*'Fee Breakdown'!$N44*'Fee Breakdown'!K44,'Input Sheet'!J$182*'Fee Breakdown'!$N15*'Fee Breakdown'!K44)</f>
        <v>1276.7927661823521</v>
      </c>
      <c r="T44" s="280">
        <f>IF($N15="Hourly",'Input Sheet'!K$182*'Fee Breakdown'!$N44*'Fee Breakdown'!L44,'Input Sheet'!K$182*'Fee Breakdown'!$N15*'Fee Breakdown'!L44)</f>
        <v>1320.7608471105405</v>
      </c>
      <c r="U44" s="287"/>
      <c r="V44" s="278">
        <f>+P44*('Input Sheet'!G$192-1)</f>
        <v>1341.3514807036663</v>
      </c>
      <c r="W44" s="279">
        <f>+Q44*('Input Sheet'!H$192-1)</f>
        <v>1503.1257528008789</v>
      </c>
      <c r="X44" s="279">
        <f>+R44*('Input Sheet'!I$192-1)</f>
        <v>1567.6326288181074</v>
      </c>
      <c r="Y44" s="279">
        <f>+S44*('Input Sheet'!J$192-1)</f>
        <v>1656.4804437972584</v>
      </c>
      <c r="Z44" s="280">
        <f>+T44*('Input Sheet'!K$192-1)</f>
        <v>1746.8364581681926</v>
      </c>
      <c r="AA44" s="287"/>
      <c r="AB44" s="278">
        <f t="shared" si="28"/>
        <v>2484.4328139764239</v>
      </c>
      <c r="AC44" s="279">
        <f t="shared" si="23"/>
        <v>2696.0794044658496</v>
      </c>
      <c r="AD44" s="279">
        <f t="shared" si="24"/>
        <v>2800.9769465608779</v>
      </c>
      <c r="AE44" s="279">
        <f t="shared" si="25"/>
        <v>2933.2732099796103</v>
      </c>
      <c r="AF44" s="280">
        <f t="shared" si="26"/>
        <v>3067.5973052787331</v>
      </c>
    </row>
    <row r="45" spans="2:33" s="103" customFormat="1" x14ac:dyDescent="0.25">
      <c r="B45" s="97" t="s">
        <v>29</v>
      </c>
      <c r="C45" s="265">
        <f>+'Input Sheet'!G55</f>
        <v>0</v>
      </c>
      <c r="D45" s="266">
        <v>0</v>
      </c>
      <c r="E45" s="266">
        <v>0</v>
      </c>
      <c r="F45" s="267">
        <f>+'Input Sheet'!K55</f>
        <v>0</v>
      </c>
      <c r="G45" s="266">
        <f>+H45-[1]SUMMARY!AS11</f>
        <v>0</v>
      </c>
      <c r="H45" s="265">
        <f t="shared" si="27"/>
        <v>0</v>
      </c>
      <c r="I45" s="266">
        <f t="shared" si="22"/>
        <v>0</v>
      </c>
      <c r="J45" s="266">
        <f t="shared" si="22"/>
        <v>0</v>
      </c>
      <c r="K45" s="266">
        <f t="shared" si="22"/>
        <v>0</v>
      </c>
      <c r="L45" s="267">
        <f t="shared" si="22"/>
        <v>0</v>
      </c>
      <c r="N45" s="120"/>
      <c r="P45" s="278">
        <f>IF($N16="Hourly",'Input Sheet'!G$182*'Fee Breakdown'!$N45*'Fee Breakdown'!H45,'Input Sheet'!G$182*'Fee Breakdown'!$N16*'Fee Breakdown'!H45)</f>
        <v>0</v>
      </c>
      <c r="Q45" s="279">
        <f>IF($N16="Hourly",'Input Sheet'!H$182*'Fee Breakdown'!$N45*'Fee Breakdown'!I45,'Input Sheet'!H$182*'Fee Breakdown'!$N16*'Fee Breakdown'!I45)</f>
        <v>0</v>
      </c>
      <c r="R45" s="279">
        <f>IF($N16="Hourly",'Input Sheet'!I$182*'Fee Breakdown'!$N45*'Fee Breakdown'!J45,'Input Sheet'!I$182*'Fee Breakdown'!$N16*'Fee Breakdown'!J45)</f>
        <v>0</v>
      </c>
      <c r="S45" s="279">
        <f>IF($N16="Hourly",'Input Sheet'!J$182*'Fee Breakdown'!$N45*'Fee Breakdown'!K45,'Input Sheet'!J$182*'Fee Breakdown'!$N16*'Fee Breakdown'!K45)</f>
        <v>0</v>
      </c>
      <c r="T45" s="280">
        <f>IF($N16="Hourly",'Input Sheet'!K$182*'Fee Breakdown'!$N45*'Fee Breakdown'!L45,'Input Sheet'!K$182*'Fee Breakdown'!$N16*'Fee Breakdown'!L45)</f>
        <v>0</v>
      </c>
      <c r="U45" s="287"/>
      <c r="V45" s="278">
        <f>+P45*('Input Sheet'!G$192-1)</f>
        <v>0</v>
      </c>
      <c r="W45" s="279">
        <f>+Q45*('Input Sheet'!H$192-1)</f>
        <v>0</v>
      </c>
      <c r="X45" s="279">
        <f>+R45*('Input Sheet'!I$192-1)</f>
        <v>0</v>
      </c>
      <c r="Y45" s="279">
        <f>+S45*('Input Sheet'!J$192-1)</f>
        <v>0</v>
      </c>
      <c r="Z45" s="280">
        <f>+T45*('Input Sheet'!K$192-1)</f>
        <v>0</v>
      </c>
      <c r="AA45" s="287"/>
      <c r="AB45" s="278">
        <f t="shared" si="28"/>
        <v>0</v>
      </c>
      <c r="AC45" s="279">
        <f t="shared" si="23"/>
        <v>0</v>
      </c>
      <c r="AD45" s="279">
        <f t="shared" si="24"/>
        <v>0</v>
      </c>
      <c r="AE45" s="279">
        <f t="shared" si="25"/>
        <v>0</v>
      </c>
      <c r="AF45" s="280">
        <f t="shared" si="26"/>
        <v>0</v>
      </c>
    </row>
    <row r="46" spans="2:33" s="103" customFormat="1" x14ac:dyDescent="0.25">
      <c r="B46" s="97" t="s">
        <v>20</v>
      </c>
      <c r="C46" s="265">
        <f>+'Input Sheet'!G56</f>
        <v>11</v>
      </c>
      <c r="D46" s="266">
        <f>+'Input Sheet'!H56</f>
        <v>21</v>
      </c>
      <c r="E46" s="266">
        <f>+'Input Sheet'!I56</f>
        <v>31</v>
      </c>
      <c r="F46" s="267">
        <f>+'Input Sheet'!K56</f>
        <v>8</v>
      </c>
      <c r="G46" s="266">
        <f>+H46-[1]SUMMARY!AS12</f>
        <v>0</v>
      </c>
      <c r="H46" s="265">
        <f t="shared" si="27"/>
        <v>18</v>
      </c>
      <c r="I46" s="266">
        <f t="shared" si="22"/>
        <v>18</v>
      </c>
      <c r="J46" s="266">
        <f t="shared" si="22"/>
        <v>18</v>
      </c>
      <c r="K46" s="266">
        <f t="shared" si="22"/>
        <v>18</v>
      </c>
      <c r="L46" s="267">
        <f t="shared" si="22"/>
        <v>18</v>
      </c>
      <c r="N46" s="120"/>
      <c r="P46" s="278">
        <f>IF($N17="Hourly",'Input Sheet'!G$182*'Fee Breakdown'!$N46*'Fee Breakdown'!H46,'Input Sheet'!G$182*'Fee Breakdown'!$N17*'Fee Breakdown'!H46)</f>
        <v>5486.7903997092362</v>
      </c>
      <c r="Q46" s="279">
        <f>IF($N17="Hourly",'Input Sheet'!H$182*'Fee Breakdown'!$N46*'Fee Breakdown'!I46,'Input Sheet'!H$182*'Fee Breakdown'!$N17*'Fee Breakdown'!I46)</f>
        <v>5726.1775279918593</v>
      </c>
      <c r="R46" s="279">
        <f>IF($N17="Hourly",'Input Sheet'!I$182*'Fee Breakdown'!$N46*'Fee Breakdown'!J46,'Input Sheet'!I$182*'Fee Breakdown'!$N17*'Fee Breakdown'!J46)</f>
        <v>5920.0527251652993</v>
      </c>
      <c r="S46" s="279">
        <f>IF($N17="Hourly",'Input Sheet'!J$182*'Fee Breakdown'!$N46*'Fee Breakdown'!K46,'Input Sheet'!J$182*'Fee Breakdown'!$N17*'Fee Breakdown'!K46)</f>
        <v>6128.6052776752904</v>
      </c>
      <c r="T46" s="280">
        <f>IF($N17="Hourly",'Input Sheet'!K$182*'Fee Breakdown'!$N46*'Fee Breakdown'!L46,'Input Sheet'!K$182*'Fee Breakdown'!$N17*'Fee Breakdown'!L46)</f>
        <v>6339.6520661305931</v>
      </c>
      <c r="U46" s="287"/>
      <c r="V46" s="278">
        <f>+P46*('Input Sheet'!G$192-1)</f>
        <v>6438.4871073775976</v>
      </c>
      <c r="W46" s="279">
        <f>+Q46*('Input Sheet'!H$192-1)</f>
        <v>7215.003613444218</v>
      </c>
      <c r="X46" s="279">
        <f>+R46*('Input Sheet'!I$192-1)</f>
        <v>7524.6366183269156</v>
      </c>
      <c r="Y46" s="279">
        <f>+S46*('Input Sheet'!J$192-1)</f>
        <v>7951.1061302268408</v>
      </c>
      <c r="Z46" s="280">
        <f>+T46*('Input Sheet'!K$192-1)</f>
        <v>8384.8149992073231</v>
      </c>
      <c r="AA46" s="287"/>
      <c r="AB46" s="278">
        <f t="shared" si="28"/>
        <v>11925.277507086834</v>
      </c>
      <c r="AC46" s="279">
        <f t="shared" si="23"/>
        <v>12941.181141436078</v>
      </c>
      <c r="AD46" s="279">
        <f t="shared" si="24"/>
        <v>13444.689343492215</v>
      </c>
      <c r="AE46" s="279">
        <f t="shared" si="25"/>
        <v>14079.71140790213</v>
      </c>
      <c r="AF46" s="280">
        <f t="shared" si="26"/>
        <v>14724.467065337916</v>
      </c>
    </row>
    <row r="47" spans="2:33" s="103" customFormat="1" x14ac:dyDescent="0.25">
      <c r="B47" s="97" t="s">
        <v>21</v>
      </c>
      <c r="C47" s="265">
        <f>+'Input Sheet'!G57</f>
        <v>3</v>
      </c>
      <c r="D47" s="266">
        <f>+'Input Sheet'!H57</f>
        <v>3</v>
      </c>
      <c r="E47" s="266">
        <f>+'Input Sheet'!I57</f>
        <v>6</v>
      </c>
      <c r="F47" s="267">
        <f>+'Input Sheet'!K57</f>
        <v>3</v>
      </c>
      <c r="G47" s="266">
        <f>+H47-[1]SUMMARY!AS13</f>
        <v>0</v>
      </c>
      <c r="H47" s="265">
        <f t="shared" si="27"/>
        <v>4</v>
      </c>
      <c r="I47" s="266">
        <f t="shared" si="22"/>
        <v>4</v>
      </c>
      <c r="J47" s="266">
        <f t="shared" si="22"/>
        <v>4</v>
      </c>
      <c r="K47" s="266">
        <f t="shared" si="22"/>
        <v>4</v>
      </c>
      <c r="L47" s="267">
        <f t="shared" si="22"/>
        <v>4</v>
      </c>
      <c r="N47" s="120"/>
      <c r="P47" s="278">
        <f>IF($N18="Hourly",'Input Sheet'!G$182*'Fee Breakdown'!$N47*'Fee Breakdown'!H47,'Input Sheet'!G$182*'Fee Breakdown'!$N18*'Fee Breakdown'!H47)</f>
        <v>1524.1084443636769</v>
      </c>
      <c r="Q47" s="279">
        <f>IF($N18="Hourly",'Input Sheet'!H$182*'Fee Breakdown'!$N47*'Fee Breakdown'!I47,'Input Sheet'!H$182*'Fee Breakdown'!$N18*'Fee Breakdown'!I47)</f>
        <v>1590.6048688866276</v>
      </c>
      <c r="R47" s="279">
        <f>IF($N18="Hourly",'Input Sheet'!I$182*'Fee Breakdown'!$N47*'Fee Breakdown'!J47,'Input Sheet'!I$182*'Fee Breakdown'!$N18*'Fee Breakdown'!J47)</f>
        <v>1644.4590903236942</v>
      </c>
      <c r="S47" s="279">
        <f>IF($N18="Hourly",'Input Sheet'!J$182*'Fee Breakdown'!$N47*'Fee Breakdown'!K47,'Input Sheet'!J$182*'Fee Breakdown'!$N18*'Fee Breakdown'!K47)</f>
        <v>1702.3903549098029</v>
      </c>
      <c r="T47" s="280">
        <f>IF($N18="Hourly",'Input Sheet'!K$182*'Fee Breakdown'!$N47*'Fee Breakdown'!L47,'Input Sheet'!K$182*'Fee Breakdown'!$N18*'Fee Breakdown'!L47)</f>
        <v>1761.0144628140538</v>
      </c>
      <c r="U47" s="287"/>
      <c r="V47" s="278">
        <f>+P47*('Input Sheet'!G$192-1)</f>
        <v>1788.4686409382218</v>
      </c>
      <c r="W47" s="279">
        <f>+Q47*('Input Sheet'!H$192-1)</f>
        <v>2004.1676704011718</v>
      </c>
      <c r="X47" s="279">
        <f>+R47*('Input Sheet'!I$192-1)</f>
        <v>2090.1768384241432</v>
      </c>
      <c r="Y47" s="279">
        <f>+S47*('Input Sheet'!J$192-1)</f>
        <v>2208.6405917296779</v>
      </c>
      <c r="Z47" s="280">
        <f>+T47*('Input Sheet'!K$192-1)</f>
        <v>2329.1152775575902</v>
      </c>
      <c r="AA47" s="287"/>
      <c r="AB47" s="278">
        <f t="shared" si="28"/>
        <v>3312.5770853018985</v>
      </c>
      <c r="AC47" s="279">
        <f t="shared" si="23"/>
        <v>3594.7725392877992</v>
      </c>
      <c r="AD47" s="279">
        <f t="shared" si="24"/>
        <v>3734.6359287478372</v>
      </c>
      <c r="AE47" s="279">
        <f t="shared" si="25"/>
        <v>3911.030946639481</v>
      </c>
      <c r="AF47" s="280">
        <f t="shared" si="26"/>
        <v>4090.1297403716439</v>
      </c>
    </row>
    <row r="48" spans="2:33" s="103" customFormat="1" x14ac:dyDescent="0.25">
      <c r="B48" s="97" t="s">
        <v>22</v>
      </c>
      <c r="C48" s="265">
        <f>+'Input Sheet'!G58</f>
        <v>1</v>
      </c>
      <c r="D48" s="266">
        <f>+'Input Sheet'!H58</f>
        <v>2</v>
      </c>
      <c r="E48" s="266">
        <f>+'Input Sheet'!I58</f>
        <v>2</v>
      </c>
      <c r="F48" s="267">
        <f>+'Input Sheet'!K58</f>
        <v>0</v>
      </c>
      <c r="G48" s="266">
        <f>+H48-[1]SUMMARY!AS14</f>
        <v>0</v>
      </c>
      <c r="H48" s="265">
        <f t="shared" si="27"/>
        <v>1</v>
      </c>
      <c r="I48" s="266">
        <f t="shared" si="22"/>
        <v>1</v>
      </c>
      <c r="J48" s="266">
        <f t="shared" si="22"/>
        <v>1</v>
      </c>
      <c r="K48" s="266">
        <f t="shared" si="22"/>
        <v>1</v>
      </c>
      <c r="L48" s="267">
        <f t="shared" si="22"/>
        <v>1</v>
      </c>
      <c r="N48" s="120"/>
      <c r="P48" s="278">
        <f>IF($N19="Hourly",'Input Sheet'!G$182*'Fee Breakdown'!$N48*'Fee Breakdown'!H48,'Input Sheet'!G$182*'Fee Breakdown'!$N19*'Fee Breakdown'!H48)</f>
        <v>685.84879996365453</v>
      </c>
      <c r="Q48" s="279">
        <f>IF($N19="Hourly",'Input Sheet'!H$182*'Fee Breakdown'!$N48*'Fee Breakdown'!I48,'Input Sheet'!H$182*'Fee Breakdown'!$N19*'Fee Breakdown'!I48)</f>
        <v>715.77219099898241</v>
      </c>
      <c r="R48" s="279">
        <f>IF($N19="Hourly",'Input Sheet'!I$182*'Fee Breakdown'!$N48*'Fee Breakdown'!J48,'Input Sheet'!I$182*'Fee Breakdown'!$N19*'Fee Breakdown'!J48)</f>
        <v>740.00659064566241</v>
      </c>
      <c r="S48" s="279">
        <f>IF($N19="Hourly",'Input Sheet'!J$182*'Fee Breakdown'!$N48*'Fee Breakdown'!K48,'Input Sheet'!J$182*'Fee Breakdown'!$N19*'Fee Breakdown'!K48)</f>
        <v>766.0756597094113</v>
      </c>
      <c r="T48" s="280">
        <f>IF($N19="Hourly",'Input Sheet'!K$182*'Fee Breakdown'!$N48*'Fee Breakdown'!L48,'Input Sheet'!K$182*'Fee Breakdown'!$N19*'Fee Breakdown'!L48)</f>
        <v>792.45650826632414</v>
      </c>
      <c r="U48" s="287"/>
      <c r="V48" s="278">
        <f>+P48*('Input Sheet'!G$192-1)</f>
        <v>804.8108884221997</v>
      </c>
      <c r="W48" s="279">
        <f>+Q48*('Input Sheet'!H$192-1)</f>
        <v>901.87545168052725</v>
      </c>
      <c r="X48" s="279">
        <f>+R48*('Input Sheet'!I$192-1)</f>
        <v>940.57957729086445</v>
      </c>
      <c r="Y48" s="279">
        <f>+S48*('Input Sheet'!J$192-1)</f>
        <v>993.8882662783551</v>
      </c>
      <c r="Z48" s="280">
        <f>+T48*('Input Sheet'!K$192-1)</f>
        <v>1048.1018749009154</v>
      </c>
      <c r="AA48" s="287"/>
      <c r="AB48" s="278">
        <f t="shared" si="28"/>
        <v>1490.6596883858542</v>
      </c>
      <c r="AC48" s="279">
        <f t="shared" si="23"/>
        <v>1617.6476426795098</v>
      </c>
      <c r="AD48" s="279">
        <f t="shared" si="24"/>
        <v>1680.5861679365269</v>
      </c>
      <c r="AE48" s="279">
        <f t="shared" si="25"/>
        <v>1759.9639259877663</v>
      </c>
      <c r="AF48" s="280">
        <f t="shared" si="26"/>
        <v>1840.5583831672395</v>
      </c>
    </row>
    <row r="49" spans="2:32" s="103" customFormat="1" x14ac:dyDescent="0.25">
      <c r="B49" s="97" t="s">
        <v>23</v>
      </c>
      <c r="C49" s="265">
        <f>+'Input Sheet'!G59</f>
        <v>19</v>
      </c>
      <c r="D49" s="266">
        <f>+'Input Sheet'!H59</f>
        <v>11</v>
      </c>
      <c r="E49" s="266">
        <f>+'Input Sheet'!I59</f>
        <v>11</v>
      </c>
      <c r="F49" s="267">
        <f>+'Input Sheet'!K59</f>
        <v>28</v>
      </c>
      <c r="G49" s="266">
        <f>+H49-[1]SUMMARY!AS15</f>
        <v>0</v>
      </c>
      <c r="H49" s="265">
        <f t="shared" si="27"/>
        <v>17</v>
      </c>
      <c r="I49" s="266">
        <f t="shared" si="22"/>
        <v>17</v>
      </c>
      <c r="J49" s="266">
        <f t="shared" si="22"/>
        <v>17</v>
      </c>
      <c r="K49" s="266">
        <f t="shared" si="22"/>
        <v>17</v>
      </c>
      <c r="L49" s="267">
        <f t="shared" si="22"/>
        <v>17</v>
      </c>
      <c r="N49" s="120">
        <f>+'Standard Hour Calcs'!Y21</f>
        <v>4</v>
      </c>
      <c r="P49" s="278">
        <f>IF($N20="Hourly",'Input Sheet'!G$182*'Fee Breakdown'!$N49*'Fee Breakdown'!H49,'Input Sheet'!G$182*'Fee Breakdown'!$N20*'Fee Breakdown'!H49)</f>
        <v>5181.9687108365015</v>
      </c>
      <c r="Q49" s="279">
        <f>IF($N20="Hourly",'Input Sheet'!H$182*'Fee Breakdown'!$N49*'Fee Breakdown'!I49,'Input Sheet'!H$182*'Fee Breakdown'!$N20*'Fee Breakdown'!I49)</f>
        <v>5408.0565542145332</v>
      </c>
      <c r="R49" s="279">
        <f>IF($N20="Hourly",'Input Sheet'!I$182*'Fee Breakdown'!$N49*'Fee Breakdown'!J49,'Input Sheet'!I$182*'Fee Breakdown'!$N20*'Fee Breakdown'!J49)</f>
        <v>5591.1609071005605</v>
      </c>
      <c r="S49" s="279">
        <f>IF($N20="Hourly",'Input Sheet'!J$182*'Fee Breakdown'!$N49*'Fee Breakdown'!K49,'Input Sheet'!J$182*'Fee Breakdown'!$N20*'Fee Breakdown'!K49)</f>
        <v>5788.1272066933298</v>
      </c>
      <c r="T49" s="280">
        <f>IF($N20="Hourly",'Input Sheet'!K$182*'Fee Breakdown'!$N49*'Fee Breakdown'!L49,'Input Sheet'!K$182*'Fee Breakdown'!$N20*'Fee Breakdown'!L49)</f>
        <v>5987.449173567783</v>
      </c>
      <c r="U49" s="287"/>
      <c r="V49" s="278">
        <f>+P49*('Input Sheet'!G$192-1)</f>
        <v>6080.7933791899541</v>
      </c>
      <c r="W49" s="279">
        <f>+Q49*('Input Sheet'!H$192-1)</f>
        <v>6814.1700793639829</v>
      </c>
      <c r="X49" s="279">
        <f>+R49*('Input Sheet'!I$192-1)</f>
        <v>7106.6012506420866</v>
      </c>
      <c r="Y49" s="279">
        <f>+S49*('Input Sheet'!J$192-1)</f>
        <v>7509.3780118809045</v>
      </c>
      <c r="Z49" s="280">
        <f>+T49*('Input Sheet'!K$192-1)</f>
        <v>7918.9919436958062</v>
      </c>
      <c r="AA49" s="287"/>
      <c r="AB49" s="278">
        <f t="shared" si="28"/>
        <v>11262.762090026456</v>
      </c>
      <c r="AC49" s="279">
        <f t="shared" si="23"/>
        <v>12222.226633578517</v>
      </c>
      <c r="AD49" s="279">
        <f t="shared" si="24"/>
        <v>12697.762157742647</v>
      </c>
      <c r="AE49" s="279">
        <f t="shared" si="25"/>
        <v>13297.505218574235</v>
      </c>
      <c r="AF49" s="280">
        <f t="shared" si="26"/>
        <v>13906.441117263588</v>
      </c>
    </row>
    <row r="50" spans="2:32" s="103" customFormat="1" x14ac:dyDescent="0.25">
      <c r="B50" s="97" t="s">
        <v>9</v>
      </c>
      <c r="C50" s="265"/>
      <c r="D50" s="266"/>
      <c r="E50" s="266"/>
      <c r="F50" s="267"/>
      <c r="G50" s="266">
        <f>+H50-[1]SUMMARY!AS16</f>
        <v>0</v>
      </c>
      <c r="H50" s="265"/>
      <c r="I50" s="266"/>
      <c r="J50" s="266"/>
      <c r="K50" s="266"/>
      <c r="L50" s="267"/>
      <c r="N50" s="120"/>
      <c r="P50" s="278"/>
      <c r="Q50" s="279"/>
      <c r="R50" s="279"/>
      <c r="S50" s="279"/>
      <c r="T50" s="280"/>
      <c r="U50" s="287"/>
      <c r="V50" s="278"/>
      <c r="W50" s="279"/>
      <c r="X50" s="279"/>
      <c r="Y50" s="279"/>
      <c r="Z50" s="280"/>
      <c r="AA50" s="287"/>
      <c r="AB50" s="278"/>
      <c r="AC50" s="279"/>
      <c r="AD50" s="279"/>
      <c r="AE50" s="279"/>
      <c r="AF50" s="280"/>
    </row>
    <row r="51" spans="2:32" s="103" customFormat="1" x14ac:dyDescent="0.25">
      <c r="B51" s="97" t="s">
        <v>10</v>
      </c>
      <c r="C51" s="265">
        <f>+'Input Sheet'!G61</f>
        <v>140</v>
      </c>
      <c r="D51" s="266">
        <f>+'Input Sheet'!H61</f>
        <v>88</v>
      </c>
      <c r="E51" s="266">
        <f>+'Input Sheet'!I61</f>
        <v>88</v>
      </c>
      <c r="F51" s="267">
        <f>+'Input Sheet'!K61</f>
        <v>86</v>
      </c>
      <c r="G51" s="266">
        <f>+H51-[1]SUMMARY!AS17</f>
        <v>0</v>
      </c>
      <c r="H51" s="265">
        <f t="shared" ref="H51:L56" si="29">ROUND(AVERAGE($C51:$F51),0)</f>
        <v>101</v>
      </c>
      <c r="I51" s="266">
        <f t="shared" si="29"/>
        <v>101</v>
      </c>
      <c r="J51" s="266">
        <f t="shared" si="29"/>
        <v>101</v>
      </c>
      <c r="K51" s="266">
        <f t="shared" si="29"/>
        <v>101</v>
      </c>
      <c r="L51" s="267">
        <f t="shared" si="29"/>
        <v>101</v>
      </c>
      <c r="N51" s="120">
        <f>+'Standard Hour Calcs'!Y23</f>
        <v>4</v>
      </c>
      <c r="P51" s="278">
        <f>IF($N22="Hourly",'Input Sheet'!G$182*'Fee Breakdown'!$N51*'Fee Breakdown'!H51,'Input Sheet'!G$182*'Fee Breakdown'!$N22*'Fee Breakdown'!H51)</f>
        <v>30786.990576146272</v>
      </c>
      <c r="Q51" s="279">
        <f>IF($N22="Hourly",'Input Sheet'!H$182*'Fee Breakdown'!$N51*'Fee Breakdown'!I51,'Input Sheet'!H$182*'Fee Breakdown'!$N22*'Fee Breakdown'!I51)</f>
        <v>32130.218351509877</v>
      </c>
      <c r="R51" s="279">
        <f>IF($N22="Hourly",'Input Sheet'!I$182*'Fee Breakdown'!$N51*'Fee Breakdown'!J51,'Input Sheet'!I$182*'Fee Breakdown'!$N22*'Fee Breakdown'!J51)</f>
        <v>33218.073624538622</v>
      </c>
      <c r="S51" s="279">
        <f>IF($N22="Hourly",'Input Sheet'!J$182*'Fee Breakdown'!$N51*'Fee Breakdown'!K51,'Input Sheet'!J$182*'Fee Breakdown'!$N22*'Fee Breakdown'!K51)</f>
        <v>34388.285169178016</v>
      </c>
      <c r="T51" s="280">
        <f>IF($N22="Hourly",'Input Sheet'!K$182*'Fee Breakdown'!$N51*'Fee Breakdown'!L51,'Input Sheet'!K$182*'Fee Breakdown'!$N22*'Fee Breakdown'!L51)</f>
        <v>35572.492148843885</v>
      </c>
      <c r="U51" s="287"/>
      <c r="V51" s="278">
        <f>+P51*('Input Sheet'!G$192-1)</f>
        <v>36127.066546952083</v>
      </c>
      <c r="W51" s="279">
        <f>+Q51*('Input Sheet'!H$192-1)</f>
        <v>40484.186942103668</v>
      </c>
      <c r="X51" s="279">
        <f>+R51*('Input Sheet'!I$192-1)</f>
        <v>42221.572136167684</v>
      </c>
      <c r="Y51" s="279">
        <f>+S51*('Input Sheet'!J$192-1)</f>
        <v>44614.539952939493</v>
      </c>
      <c r="Z51" s="280">
        <f>+T51*('Input Sheet'!K$192-1)</f>
        <v>47048.128606663318</v>
      </c>
      <c r="AA51" s="287"/>
      <c r="AB51" s="278">
        <f t="shared" ref="AB51:AB56" si="30">+P51+V51</f>
        <v>66914.057123098348</v>
      </c>
      <c r="AC51" s="279">
        <f t="shared" ref="AC51:AC56" si="31">+Q51+W51</f>
        <v>72614.405293613541</v>
      </c>
      <c r="AD51" s="279">
        <f t="shared" ref="AD51:AD56" si="32">+R51+X51</f>
        <v>75439.645760706306</v>
      </c>
      <c r="AE51" s="279">
        <f t="shared" ref="AE51:AE56" si="33">+S51+Y51</f>
        <v>79002.825122117501</v>
      </c>
      <c r="AF51" s="280">
        <f t="shared" ref="AF51:AF56" si="34">+T51+Z51</f>
        <v>82620.620755507203</v>
      </c>
    </row>
    <row r="52" spans="2:32" s="103" customFormat="1" x14ac:dyDescent="0.25">
      <c r="B52" s="97" t="s">
        <v>24</v>
      </c>
      <c r="C52" s="265">
        <f>+'Input Sheet'!G62</f>
        <v>344</v>
      </c>
      <c r="D52" s="266">
        <f>+'Input Sheet'!H62</f>
        <v>251</v>
      </c>
      <c r="E52" s="266">
        <f>+'Input Sheet'!I62</f>
        <v>208</v>
      </c>
      <c r="F52" s="267">
        <f>+'Input Sheet'!K62</f>
        <v>196</v>
      </c>
      <c r="G52" s="266">
        <f>+H52-[1]SUMMARY!AS18</f>
        <v>0</v>
      </c>
      <c r="H52" s="265">
        <f t="shared" si="29"/>
        <v>250</v>
      </c>
      <c r="I52" s="266">
        <f t="shared" si="29"/>
        <v>250</v>
      </c>
      <c r="J52" s="266">
        <f t="shared" si="29"/>
        <v>250</v>
      </c>
      <c r="K52" s="266">
        <f t="shared" si="29"/>
        <v>250</v>
      </c>
      <c r="L52" s="267">
        <f t="shared" si="29"/>
        <v>250</v>
      </c>
      <c r="N52" s="120">
        <f>+'Standard Hour Calcs'!Y24</f>
        <v>4</v>
      </c>
      <c r="P52" s="278">
        <f>IF($N23="Hourly",'Input Sheet'!G$182*'Fee Breakdown'!$N52*'Fee Breakdown'!H52,'Input Sheet'!G$182*'Fee Breakdown'!$N23*'Fee Breakdown'!H52)</f>
        <v>76205.422218183841</v>
      </c>
      <c r="Q52" s="279">
        <f>IF($N23="Hourly",'Input Sheet'!H$182*'Fee Breakdown'!$N52*'Fee Breakdown'!I52,'Input Sheet'!H$182*'Fee Breakdown'!$N23*'Fee Breakdown'!I52)</f>
        <v>79530.243444331369</v>
      </c>
      <c r="R52" s="279">
        <f>IF($N23="Hourly",'Input Sheet'!I$182*'Fee Breakdown'!$N52*'Fee Breakdown'!J52,'Input Sheet'!I$182*'Fee Breakdown'!$N23*'Fee Breakdown'!J52)</f>
        <v>82222.95451618472</v>
      </c>
      <c r="S52" s="279">
        <f>IF($N23="Hourly",'Input Sheet'!J$182*'Fee Breakdown'!$N52*'Fee Breakdown'!K52,'Input Sheet'!J$182*'Fee Breakdown'!$N23*'Fee Breakdown'!K52)</f>
        <v>85119.517745490142</v>
      </c>
      <c r="T52" s="280">
        <f>IF($N23="Hourly",'Input Sheet'!K$182*'Fee Breakdown'!$N52*'Fee Breakdown'!L52,'Input Sheet'!K$182*'Fee Breakdown'!$N23*'Fee Breakdown'!L52)</f>
        <v>88050.723140702685</v>
      </c>
      <c r="U52" s="287"/>
      <c r="V52" s="278">
        <f>+P52*('Input Sheet'!G$192-1)</f>
        <v>89423.432046911083</v>
      </c>
      <c r="W52" s="279">
        <f>+Q52*('Input Sheet'!H$192-1)</f>
        <v>100208.38352005857</v>
      </c>
      <c r="X52" s="279">
        <f>+R52*('Input Sheet'!I$192-1)</f>
        <v>104508.84192120716</v>
      </c>
      <c r="Y52" s="279">
        <f>+S52*('Input Sheet'!J$192-1)</f>
        <v>110432.0295864839</v>
      </c>
      <c r="Z52" s="280">
        <f>+T52*('Input Sheet'!K$192-1)</f>
        <v>116455.76387787949</v>
      </c>
      <c r="AA52" s="287"/>
      <c r="AB52" s="278">
        <f t="shared" si="30"/>
        <v>165628.85426509491</v>
      </c>
      <c r="AC52" s="279">
        <f t="shared" si="31"/>
        <v>179738.62696438993</v>
      </c>
      <c r="AD52" s="279">
        <f t="shared" si="32"/>
        <v>186731.79643739189</v>
      </c>
      <c r="AE52" s="279">
        <f t="shared" si="33"/>
        <v>195551.54733197403</v>
      </c>
      <c r="AF52" s="280">
        <f t="shared" si="34"/>
        <v>204506.48701858218</v>
      </c>
    </row>
    <row r="53" spans="2:32" s="103" customFormat="1" x14ac:dyDescent="0.25">
      <c r="B53" s="97" t="s">
        <v>11</v>
      </c>
      <c r="C53" s="265">
        <f>+'Input Sheet'!G63</f>
        <v>53</v>
      </c>
      <c r="D53" s="266">
        <f>+'Input Sheet'!H63</f>
        <v>31</v>
      </c>
      <c r="E53" s="266">
        <f>+'Input Sheet'!I63</f>
        <v>33</v>
      </c>
      <c r="F53" s="267">
        <f>+'Input Sheet'!K63</f>
        <v>12</v>
      </c>
      <c r="G53" s="266">
        <f>+H53-[1]SUMMARY!AS19</f>
        <v>0</v>
      </c>
      <c r="H53" s="265">
        <f t="shared" si="29"/>
        <v>32</v>
      </c>
      <c r="I53" s="266">
        <f t="shared" si="29"/>
        <v>32</v>
      </c>
      <c r="J53" s="266">
        <f t="shared" si="29"/>
        <v>32</v>
      </c>
      <c r="K53" s="266">
        <f t="shared" si="29"/>
        <v>32</v>
      </c>
      <c r="L53" s="267">
        <f t="shared" si="29"/>
        <v>32</v>
      </c>
      <c r="N53" s="120">
        <f>+'Standard Hour Calcs'!Y25</f>
        <v>4</v>
      </c>
      <c r="P53" s="278">
        <f>IF($N24="Hourly",'Input Sheet'!G$182*'Fee Breakdown'!$N53*'Fee Breakdown'!H53,'Input Sheet'!G$182*'Fee Breakdown'!$N24*'Fee Breakdown'!H53)</f>
        <v>9754.2940439275317</v>
      </c>
      <c r="Q53" s="279">
        <f>IF($N24="Hourly",'Input Sheet'!H$182*'Fee Breakdown'!$N53*'Fee Breakdown'!I53,'Input Sheet'!H$182*'Fee Breakdown'!$N24*'Fee Breakdown'!I53)</f>
        <v>10179.871160874416</v>
      </c>
      <c r="R53" s="279">
        <f>IF($N24="Hourly",'Input Sheet'!I$182*'Fee Breakdown'!$N53*'Fee Breakdown'!J53,'Input Sheet'!I$182*'Fee Breakdown'!$N24*'Fee Breakdown'!J53)</f>
        <v>10524.538178071643</v>
      </c>
      <c r="S53" s="279">
        <f>IF($N24="Hourly",'Input Sheet'!J$182*'Fee Breakdown'!$N53*'Fee Breakdown'!K53,'Input Sheet'!J$182*'Fee Breakdown'!$N24*'Fee Breakdown'!K53)</f>
        <v>10895.298271422738</v>
      </c>
      <c r="T53" s="280">
        <f>IF($N24="Hourly",'Input Sheet'!K$182*'Fee Breakdown'!$N53*'Fee Breakdown'!L53,'Input Sheet'!K$182*'Fee Breakdown'!$N24*'Fee Breakdown'!L53)</f>
        <v>11270.492562009944</v>
      </c>
      <c r="U53" s="287"/>
      <c r="V53" s="278">
        <f>+P53*('Input Sheet'!G$192-1)</f>
        <v>11446.199302004619</v>
      </c>
      <c r="W53" s="279">
        <f>+Q53*('Input Sheet'!H$192-1)</f>
        <v>12826.673090567498</v>
      </c>
      <c r="X53" s="279">
        <f>+R53*('Input Sheet'!I$192-1)</f>
        <v>13377.131765914515</v>
      </c>
      <c r="Y53" s="279">
        <f>+S53*('Input Sheet'!J$192-1)</f>
        <v>14135.299787069938</v>
      </c>
      <c r="Z53" s="280">
        <f>+T53*('Input Sheet'!K$192-1)</f>
        <v>14906.337776368575</v>
      </c>
      <c r="AA53" s="287"/>
      <c r="AB53" s="278">
        <f t="shared" si="30"/>
        <v>21200.493345932151</v>
      </c>
      <c r="AC53" s="279">
        <f t="shared" si="31"/>
        <v>23006.544251441912</v>
      </c>
      <c r="AD53" s="279">
        <f t="shared" si="32"/>
        <v>23901.669943986159</v>
      </c>
      <c r="AE53" s="279">
        <f t="shared" si="33"/>
        <v>25030.598058492677</v>
      </c>
      <c r="AF53" s="280">
        <f t="shared" si="34"/>
        <v>26176.830338378517</v>
      </c>
    </row>
    <row r="54" spans="2:32" s="103" customFormat="1" x14ac:dyDescent="0.25">
      <c r="B54" s="97" t="s">
        <v>25</v>
      </c>
      <c r="C54" s="265">
        <f>+'Input Sheet'!G64</f>
        <v>37</v>
      </c>
      <c r="D54" s="266">
        <f>+'Input Sheet'!H64</f>
        <v>38</v>
      </c>
      <c r="E54" s="266">
        <f>+'Input Sheet'!I64</f>
        <v>51</v>
      </c>
      <c r="F54" s="267">
        <f>+'Input Sheet'!K64</f>
        <v>59</v>
      </c>
      <c r="G54" s="266">
        <f>+H54-[1]SUMMARY!AS20</f>
        <v>0</v>
      </c>
      <c r="H54" s="265">
        <f t="shared" si="29"/>
        <v>46</v>
      </c>
      <c r="I54" s="266">
        <f t="shared" si="29"/>
        <v>46</v>
      </c>
      <c r="J54" s="266">
        <f t="shared" si="29"/>
        <v>46</v>
      </c>
      <c r="K54" s="266">
        <f t="shared" si="29"/>
        <v>46</v>
      </c>
      <c r="L54" s="267">
        <f t="shared" si="29"/>
        <v>46</v>
      </c>
      <c r="N54" s="120"/>
      <c r="P54" s="278">
        <f>IF($N25="Hourly",'Input Sheet'!G$182*'Fee Breakdown'!$N54*'Fee Breakdown'!H54,'Input Sheet'!G$182*'Fee Breakdown'!$N25*'Fee Breakdown'!H54)</f>
        <v>14021.797688145827</v>
      </c>
      <c r="Q54" s="279">
        <f>IF($N25="Hourly",'Input Sheet'!H$182*'Fee Breakdown'!$N54*'Fee Breakdown'!I54,'Input Sheet'!H$182*'Fee Breakdown'!$N25*'Fee Breakdown'!I54)</f>
        <v>14633.564793756974</v>
      </c>
      <c r="R54" s="279">
        <f>IF($N25="Hourly",'Input Sheet'!I$182*'Fee Breakdown'!$N54*'Fee Breakdown'!J54,'Input Sheet'!I$182*'Fee Breakdown'!$N25*'Fee Breakdown'!J54)</f>
        <v>15129.023630977987</v>
      </c>
      <c r="S54" s="279">
        <f>IF($N25="Hourly",'Input Sheet'!J$182*'Fee Breakdown'!$N54*'Fee Breakdown'!K54,'Input Sheet'!J$182*'Fee Breakdown'!$N25*'Fee Breakdown'!K54)</f>
        <v>15661.991265170187</v>
      </c>
      <c r="T54" s="280">
        <f>IF($N25="Hourly",'Input Sheet'!K$182*'Fee Breakdown'!$N54*'Fee Breakdown'!L54,'Input Sheet'!K$182*'Fee Breakdown'!$N25*'Fee Breakdown'!L54)</f>
        <v>16201.333057889295</v>
      </c>
      <c r="U54" s="287"/>
      <c r="V54" s="278">
        <f>+P54*('Input Sheet'!G$192-1)</f>
        <v>16453.911496631641</v>
      </c>
      <c r="W54" s="279">
        <f>+Q54*('Input Sheet'!H$192-1)</f>
        <v>18438.342567690779</v>
      </c>
      <c r="X54" s="279">
        <f>+R54*('Input Sheet'!I$192-1)</f>
        <v>19229.626913502118</v>
      </c>
      <c r="Y54" s="279">
        <f>+S54*('Input Sheet'!J$192-1)</f>
        <v>20319.493443913037</v>
      </c>
      <c r="Z54" s="280">
        <f>+T54*('Input Sheet'!K$192-1)</f>
        <v>21427.860553529827</v>
      </c>
      <c r="AA54" s="287"/>
      <c r="AB54" s="278">
        <f t="shared" si="30"/>
        <v>30475.709184777468</v>
      </c>
      <c r="AC54" s="279">
        <f t="shared" si="31"/>
        <v>33071.907361447753</v>
      </c>
      <c r="AD54" s="279">
        <f t="shared" si="32"/>
        <v>34358.650544480101</v>
      </c>
      <c r="AE54" s="279">
        <f t="shared" si="33"/>
        <v>35981.484709083226</v>
      </c>
      <c r="AF54" s="280">
        <f t="shared" si="34"/>
        <v>37629.193611419119</v>
      </c>
    </row>
    <row r="55" spans="2:32" s="103" customFormat="1" x14ac:dyDescent="0.25">
      <c r="B55" s="97" t="s">
        <v>26</v>
      </c>
      <c r="C55" s="265">
        <f>+'Input Sheet'!G65</f>
        <v>2</v>
      </c>
      <c r="D55" s="266">
        <f>+'Input Sheet'!H65</f>
        <v>3</v>
      </c>
      <c r="E55" s="266">
        <f>+'Input Sheet'!I65</f>
        <v>15</v>
      </c>
      <c r="F55" s="267">
        <f>+'Input Sheet'!K65</f>
        <v>4</v>
      </c>
      <c r="G55" s="266">
        <f>+H55-[1]SUMMARY!AS21</f>
        <v>0</v>
      </c>
      <c r="H55" s="265">
        <f t="shared" si="29"/>
        <v>6</v>
      </c>
      <c r="I55" s="266">
        <f t="shared" si="29"/>
        <v>6</v>
      </c>
      <c r="J55" s="266">
        <f t="shared" si="29"/>
        <v>6</v>
      </c>
      <c r="K55" s="266">
        <f t="shared" si="29"/>
        <v>6</v>
      </c>
      <c r="L55" s="267">
        <f t="shared" si="29"/>
        <v>6</v>
      </c>
      <c r="N55" s="120"/>
      <c r="P55" s="278">
        <f>IF($N26="Hourly",'Input Sheet'!G$182*'Fee Breakdown'!$N55*'Fee Breakdown'!H55,'Input Sheet'!G$182*'Fee Breakdown'!$N26*'Fee Breakdown'!H55)</f>
        <v>2743.3951998546181</v>
      </c>
      <c r="Q55" s="279">
        <f>IF($N26="Hourly",'Input Sheet'!H$182*'Fee Breakdown'!$N55*'Fee Breakdown'!I55,'Input Sheet'!H$182*'Fee Breakdown'!$N26*'Fee Breakdown'!I55)</f>
        <v>2863.0887639959296</v>
      </c>
      <c r="R55" s="279">
        <f>IF($N26="Hourly",'Input Sheet'!I$182*'Fee Breakdown'!$N55*'Fee Breakdown'!J55,'Input Sheet'!I$182*'Fee Breakdown'!$N26*'Fee Breakdown'!J55)</f>
        <v>2960.0263625826501</v>
      </c>
      <c r="S55" s="279">
        <f>IF($N26="Hourly",'Input Sheet'!J$182*'Fee Breakdown'!$N55*'Fee Breakdown'!K55,'Input Sheet'!J$182*'Fee Breakdown'!$N26*'Fee Breakdown'!K55)</f>
        <v>3064.3026388376447</v>
      </c>
      <c r="T55" s="280">
        <f>IF($N26="Hourly",'Input Sheet'!K$182*'Fee Breakdown'!$N55*'Fee Breakdown'!L55,'Input Sheet'!K$182*'Fee Breakdown'!$N26*'Fee Breakdown'!L55)</f>
        <v>3169.8260330652965</v>
      </c>
      <c r="U55" s="287"/>
      <c r="V55" s="278">
        <f>+P55*('Input Sheet'!G$192-1)</f>
        <v>3219.2435536887988</v>
      </c>
      <c r="W55" s="279">
        <f>+Q55*('Input Sheet'!H$192-1)</f>
        <v>3607.501806722109</v>
      </c>
      <c r="X55" s="279">
        <f>+R55*('Input Sheet'!I$192-1)</f>
        <v>3762.3183091634583</v>
      </c>
      <c r="Y55" s="279">
        <f>+S55*('Input Sheet'!J$192-1)</f>
        <v>3975.5530651134195</v>
      </c>
      <c r="Z55" s="280">
        <f>+T55*('Input Sheet'!K$192-1)</f>
        <v>4192.4074996036616</v>
      </c>
      <c r="AA55" s="287"/>
      <c r="AB55" s="278">
        <f t="shared" si="30"/>
        <v>5962.6387535434169</v>
      </c>
      <c r="AC55" s="279">
        <f t="shared" si="31"/>
        <v>6470.5905707180391</v>
      </c>
      <c r="AD55" s="279">
        <f t="shared" si="32"/>
        <v>6722.3446717461084</v>
      </c>
      <c r="AE55" s="279">
        <f t="shared" si="33"/>
        <v>7039.8557039510642</v>
      </c>
      <c r="AF55" s="280">
        <f t="shared" si="34"/>
        <v>7362.2335326689581</v>
      </c>
    </row>
    <row r="56" spans="2:32" s="103" customFormat="1" x14ac:dyDescent="0.25">
      <c r="B56" s="97" t="s">
        <v>27</v>
      </c>
      <c r="C56" s="265">
        <f>+'Input Sheet'!G66</f>
        <v>0</v>
      </c>
      <c r="D56" s="266">
        <f>+'Input Sheet'!H66</f>
        <v>0</v>
      </c>
      <c r="E56" s="266">
        <f>+'Input Sheet'!I66</f>
        <v>2</v>
      </c>
      <c r="F56" s="267">
        <f>+'Input Sheet'!K66</f>
        <v>1</v>
      </c>
      <c r="G56" s="266">
        <f>+H56-[1]SUMMARY!AS22</f>
        <v>0</v>
      </c>
      <c r="H56" s="265">
        <f t="shared" si="29"/>
        <v>1</v>
      </c>
      <c r="I56" s="266">
        <f t="shared" si="29"/>
        <v>1</v>
      </c>
      <c r="J56" s="266">
        <f t="shared" si="29"/>
        <v>1</v>
      </c>
      <c r="K56" s="266">
        <f t="shared" si="29"/>
        <v>1</v>
      </c>
      <c r="L56" s="267">
        <f t="shared" si="29"/>
        <v>1</v>
      </c>
      <c r="N56" s="120"/>
      <c r="P56" s="278">
        <f>IF($N27="Hourly",'Input Sheet'!G$182*'Fee Breakdown'!$N56*'Fee Breakdown'!H56,'Input Sheet'!G$182*'Fee Breakdown'!$N27*'Fee Breakdown'!H56)</f>
        <v>609.64337774547073</v>
      </c>
      <c r="Q56" s="279">
        <f>IF($N27="Hourly",'Input Sheet'!H$182*'Fee Breakdown'!$N56*'Fee Breakdown'!I56,'Input Sheet'!H$182*'Fee Breakdown'!$N27*'Fee Breakdown'!I56)</f>
        <v>636.24194755465101</v>
      </c>
      <c r="R56" s="279">
        <f>IF($N27="Hourly",'Input Sheet'!I$182*'Fee Breakdown'!$N56*'Fee Breakdown'!J56,'Input Sheet'!I$182*'Fee Breakdown'!$N27*'Fee Breakdown'!J56)</f>
        <v>657.78363612947771</v>
      </c>
      <c r="S56" s="279">
        <f>IF($N27="Hourly",'Input Sheet'!J$182*'Fee Breakdown'!$N56*'Fee Breakdown'!K56,'Input Sheet'!J$182*'Fee Breakdown'!$N27*'Fee Breakdown'!K56)</f>
        <v>680.95614196392114</v>
      </c>
      <c r="T56" s="280">
        <f>IF($N27="Hourly",'Input Sheet'!K$182*'Fee Breakdown'!$N56*'Fee Breakdown'!L56,'Input Sheet'!K$182*'Fee Breakdown'!$N27*'Fee Breakdown'!L56)</f>
        <v>704.40578512562149</v>
      </c>
      <c r="U56" s="287"/>
      <c r="V56" s="278">
        <f>+P56*('Input Sheet'!G$192-1)</f>
        <v>715.38745637528871</v>
      </c>
      <c r="W56" s="279">
        <f>+Q56*('Input Sheet'!H$192-1)</f>
        <v>801.6670681604686</v>
      </c>
      <c r="X56" s="279">
        <f>+R56*('Input Sheet'!I$192-1)</f>
        <v>836.0707353696572</v>
      </c>
      <c r="Y56" s="279">
        <f>+S56*('Input Sheet'!J$192-1)</f>
        <v>883.45623669187114</v>
      </c>
      <c r="Z56" s="280">
        <f>+T56*('Input Sheet'!K$192-1)</f>
        <v>931.64611102303593</v>
      </c>
      <c r="AA56" s="287"/>
      <c r="AB56" s="278">
        <f t="shared" si="30"/>
        <v>1325.0308341207594</v>
      </c>
      <c r="AC56" s="279">
        <f t="shared" si="31"/>
        <v>1437.9090157151195</v>
      </c>
      <c r="AD56" s="279">
        <f t="shared" si="32"/>
        <v>1493.8543714991349</v>
      </c>
      <c r="AE56" s="279">
        <f t="shared" si="33"/>
        <v>1564.4123786557923</v>
      </c>
      <c r="AF56" s="280">
        <f t="shared" si="34"/>
        <v>1636.0518961486573</v>
      </c>
    </row>
    <row r="57" spans="2:32" s="103" customFormat="1" x14ac:dyDescent="0.25">
      <c r="B57" s="97" t="s">
        <v>9</v>
      </c>
      <c r="C57" s="265"/>
      <c r="D57" s="266"/>
      <c r="E57" s="266"/>
      <c r="F57" s="267"/>
      <c r="G57" s="266">
        <f>+H57-[1]SUMMARY!AS23</f>
        <v>0</v>
      </c>
      <c r="H57" s="265"/>
      <c r="I57" s="266"/>
      <c r="J57" s="266"/>
      <c r="K57" s="266"/>
      <c r="L57" s="267"/>
      <c r="N57" s="120"/>
      <c r="P57" s="278"/>
      <c r="Q57" s="279"/>
      <c r="R57" s="279"/>
      <c r="S57" s="279"/>
      <c r="T57" s="280"/>
      <c r="U57" s="287"/>
      <c r="V57" s="278"/>
      <c r="W57" s="279"/>
      <c r="X57" s="279"/>
      <c r="Y57" s="279"/>
      <c r="Z57" s="280"/>
      <c r="AA57" s="287"/>
      <c r="AB57" s="278"/>
      <c r="AC57" s="279"/>
      <c r="AD57" s="279"/>
      <c r="AE57" s="279"/>
      <c r="AF57" s="280"/>
    </row>
    <row r="58" spans="2:32" s="103" customFormat="1" x14ac:dyDescent="0.25">
      <c r="B58" s="97" t="s">
        <v>12</v>
      </c>
      <c r="C58" s="265">
        <f>+'Input Sheet'!G68</f>
        <v>131</v>
      </c>
      <c r="D58" s="266">
        <f>+'Input Sheet'!H68</f>
        <v>125</v>
      </c>
      <c r="E58" s="266">
        <f>+'Input Sheet'!I68</f>
        <v>136</v>
      </c>
      <c r="F58" s="267">
        <f>+'Input Sheet'!K68</f>
        <v>189</v>
      </c>
      <c r="G58" s="266">
        <f>+H58-[1]SUMMARY!AS24</f>
        <v>0</v>
      </c>
      <c r="H58" s="265">
        <f t="shared" ref="H58:L59" si="35">ROUND(AVERAGE($C58:$F58),0)</f>
        <v>145</v>
      </c>
      <c r="I58" s="266">
        <f t="shared" si="35"/>
        <v>145</v>
      </c>
      <c r="J58" s="266">
        <f t="shared" si="35"/>
        <v>145</v>
      </c>
      <c r="K58" s="266">
        <f t="shared" si="35"/>
        <v>145</v>
      </c>
      <c r="L58" s="267">
        <f t="shared" si="35"/>
        <v>145</v>
      </c>
      <c r="N58" s="120">
        <f>+'Standard Hour Calcs'!Y30</f>
        <v>4</v>
      </c>
      <c r="P58" s="278">
        <f>IF($N29="Hourly",'Input Sheet'!G$182*'Fee Breakdown'!$N58*'Fee Breakdown'!H58,'Input Sheet'!G$182*'Fee Breakdown'!$N29*'Fee Breakdown'!H58)</f>
        <v>44199.14488654663</v>
      </c>
      <c r="Q58" s="279">
        <f>IF($N29="Hourly",'Input Sheet'!H$182*'Fee Breakdown'!$N58*'Fee Breakdown'!I58,'Input Sheet'!H$182*'Fee Breakdown'!$N29*'Fee Breakdown'!I58)</f>
        <v>46127.541197712198</v>
      </c>
      <c r="R58" s="279">
        <f>IF($N29="Hourly",'Input Sheet'!I$182*'Fee Breakdown'!$N58*'Fee Breakdown'!J58,'Input Sheet'!I$182*'Fee Breakdown'!$N29*'Fee Breakdown'!J58)</f>
        <v>47689.313619387132</v>
      </c>
      <c r="S58" s="279">
        <f>IF($N29="Hourly",'Input Sheet'!J$182*'Fee Breakdown'!$N58*'Fee Breakdown'!K58,'Input Sheet'!J$182*'Fee Breakdown'!$N29*'Fee Breakdown'!K58)</f>
        <v>49369.320292384284</v>
      </c>
      <c r="T58" s="280">
        <f>IF($N29="Hourly",'Input Sheet'!K$182*'Fee Breakdown'!$N58*'Fee Breakdown'!L58,'Input Sheet'!K$182*'Fee Breakdown'!$N29*'Fee Breakdown'!L58)</f>
        <v>51069.419421607556</v>
      </c>
      <c r="U58" s="287"/>
      <c r="V58" s="278">
        <f>+P58*('Input Sheet'!G$192-1)</f>
        <v>51865.590587208433</v>
      </c>
      <c r="W58" s="279">
        <f>+Q58*('Input Sheet'!H$192-1)</f>
        <v>58120.862441633974</v>
      </c>
      <c r="X58" s="279">
        <f>+R58*('Input Sheet'!I$192-1)</f>
        <v>60615.128314300149</v>
      </c>
      <c r="Y58" s="279">
        <f>+S58*('Input Sheet'!J$192-1)</f>
        <v>64050.577160160661</v>
      </c>
      <c r="Z58" s="280">
        <f>+T58*('Input Sheet'!K$192-1)</f>
        <v>67544.3430491701</v>
      </c>
      <c r="AA58" s="287"/>
      <c r="AB58" s="278">
        <f t="shared" ref="AB58:AB59" si="36">+P58+V58</f>
        <v>96064.735473755063</v>
      </c>
      <c r="AC58" s="279">
        <f t="shared" ref="AC58:AC59" si="37">+Q58+W58</f>
        <v>104248.40363934617</v>
      </c>
      <c r="AD58" s="279">
        <f t="shared" ref="AD58:AD59" si="38">+R58+X58</f>
        <v>108304.44193368728</v>
      </c>
      <c r="AE58" s="279">
        <f t="shared" ref="AE58:AE59" si="39">+S58+Y58</f>
        <v>113419.89745254494</v>
      </c>
      <c r="AF58" s="280">
        <f t="shared" ref="AF58:AF59" si="40">+T58+Z58</f>
        <v>118613.76247077766</v>
      </c>
    </row>
    <row r="59" spans="2:32" s="103" customFormat="1" x14ac:dyDescent="0.25">
      <c r="B59" s="97" t="s">
        <v>13</v>
      </c>
      <c r="C59" s="265">
        <f>+'Input Sheet'!G69</f>
        <v>53</v>
      </c>
      <c r="D59" s="266">
        <f>+'Input Sheet'!H69</f>
        <v>39</v>
      </c>
      <c r="E59" s="266">
        <f>+'Input Sheet'!I69</f>
        <v>69</v>
      </c>
      <c r="F59" s="267">
        <f>+'Input Sheet'!K69</f>
        <v>55</v>
      </c>
      <c r="G59" s="266">
        <f>+H59-[1]SUMMARY!AS25</f>
        <v>0</v>
      </c>
      <c r="H59" s="265">
        <f t="shared" si="35"/>
        <v>54</v>
      </c>
      <c r="I59" s="266">
        <f t="shared" si="35"/>
        <v>54</v>
      </c>
      <c r="J59" s="266">
        <f t="shared" si="35"/>
        <v>54</v>
      </c>
      <c r="K59" s="266">
        <f t="shared" si="35"/>
        <v>54</v>
      </c>
      <c r="L59" s="267">
        <f t="shared" si="35"/>
        <v>54</v>
      </c>
      <c r="N59" s="120">
        <f>+'Standard Hour Calcs'!Y31</f>
        <v>4</v>
      </c>
      <c r="P59" s="278">
        <f>IF($N30="Hourly",'Input Sheet'!G$182*'Fee Breakdown'!$N59*'Fee Breakdown'!H59,'Input Sheet'!G$182*'Fee Breakdown'!$N30*'Fee Breakdown'!H59)</f>
        <v>16460.371199127709</v>
      </c>
      <c r="Q59" s="279">
        <f>IF($N30="Hourly",'Input Sheet'!H$182*'Fee Breakdown'!$N59*'Fee Breakdown'!I59,'Input Sheet'!H$182*'Fee Breakdown'!$N30*'Fee Breakdown'!I59)</f>
        <v>17178.532583975579</v>
      </c>
      <c r="R59" s="279">
        <f>IF($N30="Hourly",'Input Sheet'!I$182*'Fee Breakdown'!$N59*'Fee Breakdown'!J59,'Input Sheet'!I$182*'Fee Breakdown'!$N30*'Fee Breakdown'!J59)</f>
        <v>17760.158175495897</v>
      </c>
      <c r="S59" s="279">
        <f>IF($N30="Hourly",'Input Sheet'!J$182*'Fee Breakdown'!$N59*'Fee Breakdown'!K59,'Input Sheet'!J$182*'Fee Breakdown'!$N30*'Fee Breakdown'!K59)</f>
        <v>18385.81583302587</v>
      </c>
      <c r="T59" s="280">
        <f>IF($N30="Hourly",'Input Sheet'!K$182*'Fee Breakdown'!$N59*'Fee Breakdown'!L59,'Input Sheet'!K$182*'Fee Breakdown'!$N30*'Fee Breakdown'!L59)</f>
        <v>19018.956198391781</v>
      </c>
      <c r="U59" s="287"/>
      <c r="V59" s="278">
        <f>+P59*('Input Sheet'!G$192-1)</f>
        <v>19315.461322132793</v>
      </c>
      <c r="W59" s="279">
        <f>+Q59*('Input Sheet'!H$192-1)</f>
        <v>21645.010840332656</v>
      </c>
      <c r="X59" s="279">
        <f>+R59*('Input Sheet'!I$192-1)</f>
        <v>22573.909854980746</v>
      </c>
      <c r="Y59" s="279">
        <f>+S59*('Input Sheet'!J$192-1)</f>
        <v>23853.318390680521</v>
      </c>
      <c r="Z59" s="280">
        <f>+T59*('Input Sheet'!K$192-1)</f>
        <v>25154.444997621973</v>
      </c>
      <c r="AA59" s="287"/>
      <c r="AB59" s="278">
        <f t="shared" si="36"/>
        <v>35775.832521260498</v>
      </c>
      <c r="AC59" s="279">
        <f t="shared" si="37"/>
        <v>38823.543424308235</v>
      </c>
      <c r="AD59" s="279">
        <f t="shared" si="38"/>
        <v>40334.068030476643</v>
      </c>
      <c r="AE59" s="279">
        <f t="shared" si="39"/>
        <v>42239.134223706395</v>
      </c>
      <c r="AF59" s="280">
        <f t="shared" si="40"/>
        <v>44173.401196013758</v>
      </c>
    </row>
    <row r="60" spans="2:32" s="103" customFormat="1" x14ac:dyDescent="0.25">
      <c r="B60" s="121"/>
      <c r="C60" s="268"/>
      <c r="D60" s="269"/>
      <c r="E60" s="269"/>
      <c r="F60" s="270"/>
      <c r="G60" s="258"/>
      <c r="H60" s="268"/>
      <c r="I60" s="269"/>
      <c r="J60" s="269"/>
      <c r="K60" s="269"/>
      <c r="L60" s="270"/>
      <c r="N60" s="123"/>
      <c r="P60" s="281"/>
      <c r="Q60" s="282"/>
      <c r="R60" s="282"/>
      <c r="S60" s="282"/>
      <c r="T60" s="283"/>
      <c r="U60" s="287"/>
      <c r="V60" s="281"/>
      <c r="W60" s="282"/>
      <c r="X60" s="282"/>
      <c r="Y60" s="282"/>
      <c r="Z60" s="283"/>
      <c r="AA60" s="287"/>
      <c r="AB60" s="281"/>
      <c r="AC60" s="282"/>
      <c r="AD60" s="282"/>
      <c r="AE60" s="282"/>
      <c r="AF60" s="283"/>
    </row>
    <row r="61" spans="2:32" s="103" customFormat="1" x14ac:dyDescent="0.25">
      <c r="C61" s="271">
        <f>SUM(C38:C60)</f>
        <v>1028</v>
      </c>
      <c r="D61" s="272">
        <f t="shared" ref="D61:F61" si="41">SUM(D38:D60)</f>
        <v>846</v>
      </c>
      <c r="E61" s="272">
        <f t="shared" si="41"/>
        <v>955</v>
      </c>
      <c r="F61" s="273">
        <f t="shared" si="41"/>
        <v>932</v>
      </c>
      <c r="G61" s="274"/>
      <c r="H61" s="275">
        <f t="shared" ref="H61:L61" si="42">SUM(H38:H60)</f>
        <v>950</v>
      </c>
      <c r="I61" s="276">
        <f t="shared" si="42"/>
        <v>950</v>
      </c>
      <c r="J61" s="276">
        <f t="shared" si="42"/>
        <v>950</v>
      </c>
      <c r="K61" s="276">
        <f t="shared" si="42"/>
        <v>950</v>
      </c>
      <c r="L61" s="277">
        <f t="shared" si="42"/>
        <v>950</v>
      </c>
      <c r="P61" s="284">
        <f t="shared" ref="P61:T61" si="43">SUM(P38:P60)</f>
        <v>333551.13304899068</v>
      </c>
      <c r="Q61" s="285">
        <f t="shared" si="43"/>
        <v>348103.8755558384</v>
      </c>
      <c r="R61" s="285">
        <f t="shared" si="43"/>
        <v>359889.87191734056</v>
      </c>
      <c r="S61" s="285">
        <f t="shared" si="43"/>
        <v>372568.12917201029</v>
      </c>
      <c r="T61" s="286">
        <f t="shared" si="43"/>
        <v>385398.01518685569</v>
      </c>
      <c r="U61" s="287"/>
      <c r="V61" s="284">
        <f t="shared" ref="V61:Z61" si="44">SUM(V38:V60)</f>
        <v>391406.36206932977</v>
      </c>
      <c r="W61" s="285">
        <f t="shared" si="44"/>
        <v>438612.09466729633</v>
      </c>
      <c r="X61" s="285">
        <f t="shared" si="44"/>
        <v>457435.20108912367</v>
      </c>
      <c r="Y61" s="285">
        <f t="shared" si="44"/>
        <v>483360.99350004003</v>
      </c>
      <c r="Z61" s="286">
        <f t="shared" si="44"/>
        <v>509726.87849347858</v>
      </c>
      <c r="AA61" s="287"/>
      <c r="AB61" s="284">
        <f t="shared" ref="AB61:AF61" si="45">SUM(AB38:AB60)</f>
        <v>724957.49511832034</v>
      </c>
      <c r="AC61" s="285">
        <f t="shared" si="45"/>
        <v>786715.97022313473</v>
      </c>
      <c r="AD61" s="285">
        <f t="shared" si="45"/>
        <v>817325.07300646417</v>
      </c>
      <c r="AE61" s="285">
        <f t="shared" si="45"/>
        <v>855929.12267205038</v>
      </c>
      <c r="AF61" s="286">
        <f t="shared" si="45"/>
        <v>895124.89368033421</v>
      </c>
    </row>
    <row r="62" spans="2:32" s="103" customFormat="1" x14ac:dyDescent="0.25">
      <c r="P62" s="29"/>
      <c r="Q62" s="29"/>
      <c r="R62" s="29"/>
      <c r="S62" s="29"/>
      <c r="T62" s="29"/>
      <c r="U62" s="29"/>
      <c r="V62" s="29"/>
      <c r="W62" s="29"/>
      <c r="X62" s="29"/>
      <c r="Y62" s="29"/>
      <c r="Z62" s="29"/>
      <c r="AA62" s="29"/>
      <c r="AB62" s="29"/>
      <c r="AC62" s="29"/>
      <c r="AD62" s="29"/>
      <c r="AE62" s="29"/>
      <c r="AF62" s="29"/>
    </row>
    <row r="63" spans="2:32" s="103" customFormat="1" x14ac:dyDescent="0.25">
      <c r="V63" s="95"/>
      <c r="W63" s="95"/>
      <c r="X63" s="95"/>
      <c r="Y63" s="95"/>
      <c r="Z63" s="95"/>
    </row>
    <row r="64" spans="2:32" x14ac:dyDescent="0.25">
      <c r="P64" s="29"/>
      <c r="Q64" s="29"/>
      <c r="R64" s="29"/>
      <c r="S64" s="29"/>
      <c r="T64" s="29"/>
      <c r="AB64" s="247"/>
      <c r="AC64" s="247"/>
      <c r="AD64" s="247"/>
      <c r="AE64" s="247"/>
      <c r="AF64" s="247"/>
    </row>
    <row r="65" spans="16:32" x14ac:dyDescent="0.25">
      <c r="P65" s="29"/>
      <c r="Q65" s="29"/>
      <c r="R65" s="29"/>
      <c r="S65" s="29"/>
      <c r="T65" s="29"/>
    </row>
    <row r="66" spans="16:32" x14ac:dyDescent="0.25">
      <c r="P66" s="29"/>
      <c r="Q66" s="29"/>
      <c r="R66" s="29"/>
      <c r="S66" s="29"/>
      <c r="T66" s="29"/>
      <c r="AF66" s="247"/>
    </row>
    <row r="67" spans="16:32" x14ac:dyDescent="0.25">
      <c r="P67" s="29"/>
      <c r="Q67" s="29"/>
      <c r="R67" s="29"/>
      <c r="S67" s="29"/>
      <c r="T67" s="29"/>
      <c r="AF67" s="247"/>
    </row>
    <row r="68" spans="16:32" x14ac:dyDescent="0.25">
      <c r="P68" s="29"/>
      <c r="Q68" s="29"/>
      <c r="R68" s="29"/>
      <c r="S68" s="29"/>
      <c r="T68" s="29"/>
      <c r="AF68" s="247"/>
    </row>
    <row r="69" spans="16:32" x14ac:dyDescent="0.25">
      <c r="P69" s="29"/>
      <c r="Q69" s="29"/>
      <c r="R69" s="29"/>
      <c r="S69" s="29"/>
      <c r="T69" s="29"/>
    </row>
    <row r="70" spans="16:32" x14ac:dyDescent="0.25">
      <c r="P70" s="29"/>
      <c r="Q70" s="29"/>
      <c r="R70" s="29"/>
      <c r="S70" s="29"/>
      <c r="T70" s="29"/>
    </row>
    <row r="71" spans="16:32" x14ac:dyDescent="0.25">
      <c r="P71" s="29"/>
      <c r="Q71" s="29"/>
      <c r="R71" s="29"/>
      <c r="S71" s="29"/>
      <c r="T71" s="29"/>
    </row>
    <row r="72" spans="16:32" x14ac:dyDescent="0.25">
      <c r="P72" s="29"/>
      <c r="Q72" s="29"/>
      <c r="R72" s="29"/>
      <c r="S72" s="29"/>
      <c r="T72" s="29"/>
    </row>
    <row r="73" spans="16:32" x14ac:dyDescent="0.25">
      <c r="P73" s="29"/>
      <c r="Q73" s="29"/>
      <c r="R73" s="29"/>
      <c r="S73" s="29"/>
      <c r="T73" s="29"/>
    </row>
    <row r="74" spans="16:32" x14ac:dyDescent="0.25">
      <c r="P74" s="29"/>
      <c r="Q74" s="29"/>
      <c r="R74" s="29"/>
      <c r="S74" s="29"/>
      <c r="T74" s="29"/>
    </row>
    <row r="75" spans="16:32" x14ac:dyDescent="0.25">
      <c r="P75" s="29"/>
      <c r="Q75" s="29"/>
      <c r="R75" s="29"/>
      <c r="S75" s="29"/>
      <c r="T75" s="29"/>
    </row>
    <row r="76" spans="16:32" x14ac:dyDescent="0.25">
      <c r="P76" s="29"/>
      <c r="Q76" s="29"/>
      <c r="R76" s="29"/>
      <c r="S76" s="29"/>
      <c r="T76" s="29"/>
    </row>
    <row r="77" spans="16:32" x14ac:dyDescent="0.25">
      <c r="P77" s="29"/>
      <c r="Q77" s="29"/>
      <c r="R77" s="29"/>
      <c r="S77" s="29"/>
      <c r="T77" s="29"/>
    </row>
    <row r="78" spans="16:32" x14ac:dyDescent="0.25">
      <c r="P78" s="29"/>
      <c r="Q78" s="29"/>
      <c r="R78" s="29"/>
      <c r="S78" s="29"/>
      <c r="T78" s="29"/>
    </row>
    <row r="79" spans="16:32" x14ac:dyDescent="0.25">
      <c r="P79" s="29"/>
      <c r="Q79" s="29"/>
      <c r="R79" s="29"/>
      <c r="S79" s="29"/>
      <c r="T79" s="29"/>
    </row>
    <row r="80" spans="16:32" x14ac:dyDescent="0.25">
      <c r="P80" s="29"/>
      <c r="Q80" s="29"/>
      <c r="R80" s="29"/>
      <c r="S80" s="29"/>
      <c r="T80" s="29"/>
    </row>
    <row r="81" spans="16:20" x14ac:dyDescent="0.25">
      <c r="P81" s="29"/>
      <c r="Q81" s="29"/>
      <c r="R81" s="29"/>
      <c r="S81" s="29"/>
      <c r="T81" s="29"/>
    </row>
    <row r="82" spans="16:20" x14ac:dyDescent="0.25">
      <c r="P82" s="29"/>
      <c r="Q82" s="29"/>
      <c r="R82" s="29"/>
      <c r="S82" s="29"/>
      <c r="T82" s="29"/>
    </row>
    <row r="83" spans="16:20" x14ac:dyDescent="0.25">
      <c r="P83" s="29"/>
      <c r="Q83" s="29"/>
      <c r="R83" s="29"/>
      <c r="S83" s="29"/>
      <c r="T83" s="29"/>
    </row>
    <row r="84" spans="16:20" x14ac:dyDescent="0.25">
      <c r="P84" s="29"/>
      <c r="Q84" s="29"/>
      <c r="R84" s="29"/>
      <c r="S84" s="29"/>
      <c r="T84" s="29"/>
    </row>
    <row r="85" spans="16:20" x14ac:dyDescent="0.25">
      <c r="P85" s="29"/>
      <c r="Q85" s="29"/>
      <c r="R85" s="29"/>
      <c r="S85" s="29"/>
      <c r="T85" s="29"/>
    </row>
    <row r="86" spans="16:20" x14ac:dyDescent="0.25">
      <c r="P86" s="292"/>
      <c r="Q86" s="292"/>
      <c r="R86" s="29"/>
      <c r="S86" s="29"/>
      <c r="T86" s="29"/>
    </row>
    <row r="87" spans="16:20" x14ac:dyDescent="0.25">
      <c r="P87" s="29"/>
      <c r="Q87" s="29"/>
      <c r="R87" s="29"/>
      <c r="S87" s="29"/>
      <c r="T87" s="29"/>
    </row>
    <row r="88" spans="16:20" x14ac:dyDescent="0.25">
      <c r="P88" s="29"/>
      <c r="Q88" s="29"/>
      <c r="R88" s="29"/>
      <c r="S88" s="29"/>
      <c r="T88" s="29"/>
    </row>
    <row r="89" spans="16:20" x14ac:dyDescent="0.25">
      <c r="P89" s="29"/>
      <c r="Q89" s="29"/>
      <c r="R89" s="29"/>
      <c r="S89" s="29"/>
      <c r="T89" s="29"/>
    </row>
  </sheetData>
  <mergeCells count="9">
    <mergeCell ref="AB36:AF36"/>
    <mergeCell ref="C36:F36"/>
    <mergeCell ref="H36:L36"/>
    <mergeCell ref="C7:F7"/>
    <mergeCell ref="P7:T7"/>
    <mergeCell ref="H7:L7"/>
    <mergeCell ref="AB7:AF7"/>
    <mergeCell ref="P36:T36"/>
    <mergeCell ref="V36:Z36"/>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Input Documents --&gt;</vt:lpstr>
      <vt:lpstr>Input Sheet</vt:lpstr>
      <vt:lpstr>Standard Hour Calcs</vt:lpstr>
      <vt:lpstr>Methodology Statements --&gt;</vt:lpstr>
      <vt:lpstr>AER Summary</vt:lpstr>
      <vt:lpstr>Service Description</vt:lpstr>
      <vt:lpstr>Fee Breakdown</vt:lpstr>
      <vt:lpstr>'AER Summary'!Print_Area</vt:lpstr>
      <vt:lpstr>'Fee Breakdown'!Print_Area</vt:lpstr>
      <vt:lpstr>'Standard Hour Calcs'!Print_Titles</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2014-04-28T03:39:10Z</cp:lastPrinted>
  <dcterms:created xsi:type="dcterms:W3CDTF">2013-06-17T01:25:32Z</dcterms:created>
  <dcterms:modified xsi:type="dcterms:W3CDTF">2015-01-04T23:44:40Z</dcterms:modified>
</cp:coreProperties>
</file>