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QldSA DX 2020-25 resets\Energex\4 Revised proposal\WEB\Models\"/>
    </mc:Choice>
  </mc:AlternateContent>
  <bookViews>
    <workbookView xWindow="31485" yWindow="2205" windowWidth="18000" windowHeight="10665" tabRatio="973"/>
  </bookViews>
  <sheets>
    <sheet name="Cover" sheetId="26" r:id="rId1"/>
    <sheet name="Required Inputs" sheetId="25" r:id="rId2"/>
    <sheet name="Model Notes" sheetId="20" r:id="rId3"/>
    <sheet name="Version Control" sheetId="22" r:id="rId4"/>
    <sheet name="Inputs - network configuration" sheetId="15" r:id="rId5"/>
    <sheet name="Inputs - tariff class" sheetId="18" r:id="rId6"/>
    <sheet name="Standard estimates" sheetId="6" r:id="rId7"/>
    <sheet name="Calcs - LRIC - Asset costs" sheetId="5" r:id="rId8"/>
    <sheet name="Calcs - LRIC - $kW by voltage" sheetId="11" r:id="rId9"/>
    <sheet name="Calcs - Energex TC" sheetId="17" r:id="rId10"/>
    <sheet name="Asset Diagrams" sheetId="12" r:id="rId11"/>
  </sheets>
  <definedNames>
    <definedName name="_xlnm.Print_Area" localSheetId="10">'Asset Diagrams'!$A$1:$M$74</definedName>
    <definedName name="std_est">'Standard estimates'!$C$8:$O$25</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0" i="6" l="1"/>
  <c r="S18" i="5" l="1"/>
  <c r="T18" i="5"/>
  <c r="U18" i="5"/>
  <c r="V18" i="5"/>
  <c r="W18" i="5"/>
  <c r="X18" i="5"/>
  <c r="R19" i="5"/>
  <c r="S19" i="5"/>
  <c r="T19" i="5"/>
  <c r="U19" i="5"/>
  <c r="V19" i="5"/>
  <c r="W19" i="5"/>
  <c r="X19" i="5"/>
  <c r="R20" i="5"/>
  <c r="S20" i="5"/>
  <c r="T20" i="5"/>
  <c r="U20" i="5"/>
  <c r="V20" i="5"/>
  <c r="W20" i="5"/>
  <c r="X20" i="5"/>
  <c r="S21" i="5"/>
  <c r="T21" i="5"/>
  <c r="U21" i="5"/>
  <c r="V21" i="5"/>
  <c r="W21" i="5"/>
  <c r="X21" i="5"/>
  <c r="R22" i="5"/>
  <c r="S22" i="5"/>
  <c r="T22" i="5"/>
  <c r="U22" i="5"/>
  <c r="V22" i="5"/>
  <c r="W22" i="5"/>
  <c r="X22" i="5"/>
  <c r="R23" i="5"/>
  <c r="S23" i="5"/>
  <c r="T23" i="5"/>
  <c r="U23" i="5"/>
  <c r="V23" i="5"/>
  <c r="W23" i="5"/>
  <c r="X23" i="5"/>
  <c r="R24" i="5"/>
  <c r="S24" i="5"/>
  <c r="T24" i="5"/>
  <c r="V24" i="5"/>
  <c r="W24" i="5"/>
  <c r="X24" i="5"/>
  <c r="R25" i="5"/>
  <c r="S25" i="5"/>
  <c r="T25" i="5"/>
  <c r="U25" i="5"/>
  <c r="V25" i="5"/>
  <c r="W25" i="5"/>
  <c r="X25" i="5"/>
  <c r="R26" i="5"/>
  <c r="S26" i="5"/>
  <c r="T26" i="5"/>
  <c r="U26" i="5"/>
  <c r="V26" i="5"/>
  <c r="W26" i="5"/>
  <c r="X26" i="5"/>
  <c r="R27" i="5"/>
  <c r="S27" i="5"/>
  <c r="U27" i="5"/>
  <c r="V27" i="5"/>
  <c r="W27" i="5"/>
  <c r="X27" i="5"/>
  <c r="R28" i="5"/>
  <c r="S28" i="5"/>
  <c r="U28" i="5"/>
  <c r="V28" i="5"/>
  <c r="W28" i="5"/>
  <c r="X28" i="5"/>
  <c r="R29" i="5"/>
  <c r="T29" i="5"/>
  <c r="U29" i="5"/>
  <c r="V29" i="5"/>
  <c r="W29" i="5"/>
  <c r="X29" i="5"/>
  <c r="R30" i="5"/>
  <c r="T30" i="5"/>
  <c r="U30" i="5"/>
  <c r="V30" i="5"/>
  <c r="W30" i="5"/>
  <c r="X30" i="5"/>
  <c r="R31" i="5"/>
  <c r="S31" i="5"/>
  <c r="U31" i="5"/>
  <c r="V31" i="5"/>
  <c r="W31" i="5"/>
  <c r="X31" i="5"/>
  <c r="R32" i="5"/>
  <c r="S32" i="5"/>
  <c r="U32" i="5"/>
  <c r="V32" i="5"/>
  <c r="W32" i="5"/>
  <c r="X32" i="5"/>
  <c r="R33" i="5"/>
  <c r="T33" i="5"/>
  <c r="U33" i="5"/>
  <c r="V33" i="5"/>
  <c r="W33" i="5"/>
  <c r="X33" i="5"/>
  <c r="R34" i="5"/>
  <c r="T34" i="5"/>
  <c r="U34" i="5"/>
  <c r="V34" i="5"/>
  <c r="W34" i="5"/>
  <c r="X34" i="5"/>
  <c r="R35" i="5"/>
  <c r="S35" i="5"/>
  <c r="T35" i="5"/>
  <c r="U35" i="5"/>
  <c r="W35" i="5"/>
  <c r="X35" i="5"/>
  <c r="R36" i="5"/>
  <c r="S36" i="5"/>
  <c r="T36" i="5"/>
  <c r="U36" i="5"/>
  <c r="V36" i="5"/>
  <c r="X36" i="5"/>
  <c r="R37" i="5"/>
  <c r="S37" i="5"/>
  <c r="T37" i="5"/>
  <c r="U37" i="5"/>
  <c r="V37" i="5"/>
  <c r="X37" i="5"/>
  <c r="R38" i="5"/>
  <c r="S38" i="5"/>
  <c r="T38" i="5"/>
  <c r="U38" i="5"/>
  <c r="W38" i="5"/>
  <c r="X38" i="5"/>
  <c r="R39" i="5"/>
  <c r="S39" i="5"/>
  <c r="T39" i="5"/>
  <c r="U39" i="5"/>
  <c r="W39" i="5"/>
  <c r="X39" i="5"/>
  <c r="R40" i="5"/>
  <c r="S40" i="5"/>
  <c r="T40" i="5"/>
  <c r="U40" i="5"/>
  <c r="V40" i="5"/>
  <c r="X40" i="5"/>
  <c r="R41" i="5"/>
  <c r="S41" i="5"/>
  <c r="T41" i="5"/>
  <c r="U41" i="5"/>
  <c r="W41" i="5"/>
  <c r="X41" i="5"/>
  <c r="R42" i="5"/>
  <c r="S42" i="5"/>
  <c r="T42" i="5"/>
  <c r="U42" i="5"/>
  <c r="W42" i="5"/>
  <c r="X42" i="5"/>
  <c r="R43" i="5"/>
  <c r="S43" i="5"/>
  <c r="T43" i="5"/>
  <c r="U43" i="5"/>
  <c r="V43" i="5"/>
  <c r="W43" i="5"/>
  <c r="R44" i="5"/>
  <c r="S44" i="5"/>
  <c r="T44" i="5"/>
  <c r="U44" i="5"/>
  <c r="V44" i="5"/>
  <c r="W44" i="5"/>
  <c r="Q21" i="5"/>
  <c r="Q24" i="5"/>
  <c r="Q27" i="5"/>
  <c r="Q28" i="5"/>
  <c r="Q29" i="5"/>
  <c r="Q30" i="5"/>
  <c r="Q31" i="5"/>
  <c r="Q32" i="5"/>
  <c r="Q33" i="5"/>
  <c r="Q34" i="5"/>
  <c r="Q35" i="5"/>
  <c r="Q36" i="5"/>
  <c r="Q37" i="5"/>
  <c r="Q38" i="5"/>
  <c r="Q39" i="5"/>
  <c r="Q40" i="5"/>
  <c r="Q41" i="5"/>
  <c r="Q42" i="5"/>
  <c r="Q43" i="5"/>
  <c r="Q44" i="5"/>
  <c r="Q18" i="5"/>
  <c r="P44" i="5"/>
  <c r="X44" i="5" s="1"/>
  <c r="P43" i="5"/>
  <c r="X43" i="5" s="1"/>
  <c r="P42" i="5"/>
  <c r="V42" i="5" s="1"/>
  <c r="P41" i="5"/>
  <c r="V41" i="5" s="1"/>
  <c r="P40" i="5"/>
  <c r="W40" i="5" s="1"/>
  <c r="P39" i="5"/>
  <c r="V39" i="5" s="1"/>
  <c r="P38" i="5"/>
  <c r="V38" i="5" s="1"/>
  <c r="P37" i="5"/>
  <c r="W37" i="5" s="1"/>
  <c r="P36" i="5"/>
  <c r="W36" i="5" s="1"/>
  <c r="P35" i="5"/>
  <c r="V35" i="5" s="1"/>
  <c r="P34" i="5"/>
  <c r="S34" i="5" s="1"/>
  <c r="P33" i="5"/>
  <c r="S33" i="5" s="1"/>
  <c r="P32" i="5"/>
  <c r="T32" i="5" s="1"/>
  <c r="P31" i="5"/>
  <c r="T31" i="5" s="1"/>
  <c r="P30" i="5"/>
  <c r="S30" i="5" s="1"/>
  <c r="P29" i="5"/>
  <c r="S29" i="5" s="1"/>
  <c r="P28" i="5"/>
  <c r="T28" i="5" s="1"/>
  <c r="P27" i="5"/>
  <c r="T27" i="5" s="1"/>
  <c r="P26" i="5"/>
  <c r="Q26" i="5" s="1"/>
  <c r="P25" i="5"/>
  <c r="Q25" i="5" s="1"/>
  <c r="P24" i="5"/>
  <c r="U24" i="5" s="1"/>
  <c r="P23" i="5"/>
  <c r="Q23" i="5" s="1"/>
  <c r="P22" i="5"/>
  <c r="Q22" i="5" s="1"/>
  <c r="P21" i="5"/>
  <c r="R21" i="5" s="1"/>
  <c r="P20" i="5"/>
  <c r="Q20" i="5" s="1"/>
  <c r="P19" i="5"/>
  <c r="Q19" i="5" s="1"/>
  <c r="P18" i="5"/>
  <c r="R18" i="5" s="1"/>
  <c r="H16" i="6" l="1"/>
  <c r="I16" i="6" s="1"/>
  <c r="H24" i="6"/>
  <c r="I24" i="6" s="1"/>
  <c r="H7" i="6"/>
  <c r="G24" i="6"/>
  <c r="G21" i="6"/>
  <c r="H21" i="6" s="1"/>
  <c r="I21" i="6" s="1"/>
  <c r="G20" i="6"/>
  <c r="G19" i="6"/>
  <c r="G18" i="6"/>
  <c r="G17" i="6"/>
  <c r="G16" i="6"/>
  <c r="G15" i="6"/>
  <c r="G14" i="6"/>
  <c r="G13" i="6"/>
  <c r="H13" i="6" s="1"/>
  <c r="I13" i="6" s="1"/>
  <c r="G12" i="6"/>
  <c r="G11" i="6"/>
  <c r="G10" i="6"/>
  <c r="G9" i="6"/>
  <c r="G8" i="6"/>
  <c r="H11" i="6" l="1"/>
  <c r="I11" i="6" s="1"/>
  <c r="H20" i="6"/>
  <c r="I20" i="6" s="1"/>
  <c r="H12" i="6"/>
  <c r="I12" i="6" s="1"/>
  <c r="H25" i="6"/>
  <c r="I25" i="6" s="1"/>
  <c r="H17" i="6"/>
  <c r="I17" i="6" s="1"/>
  <c r="H9" i="6"/>
  <c r="I9" i="6" s="1"/>
  <c r="H23" i="6"/>
  <c r="I23" i="6" s="1"/>
  <c r="H15" i="6"/>
  <c r="I15" i="6" s="1"/>
  <c r="H8" i="6"/>
  <c r="I8" i="6" s="1"/>
  <c r="H22" i="6"/>
  <c r="I22" i="6" s="1"/>
  <c r="H18" i="6"/>
  <c r="I18" i="6" s="1"/>
  <c r="H14" i="6"/>
  <c r="I14" i="6" s="1"/>
  <c r="H10" i="6"/>
  <c r="I10" i="6" s="1"/>
  <c r="H19" i="6"/>
  <c r="I19" i="6" s="1"/>
  <c r="I26" i="6" l="1"/>
  <c r="G42" i="5" l="1"/>
  <c r="G39" i="5"/>
  <c r="G41" i="5"/>
  <c r="G38" i="5"/>
  <c r="G35" i="5"/>
  <c r="E34" i="15"/>
  <c r="D35" i="15"/>
  <c r="D34" i="15"/>
  <c r="G52" i="17" l="1"/>
  <c r="G51" i="17"/>
  <c r="G50" i="17"/>
  <c r="G49" i="17"/>
  <c r="G48" i="17"/>
  <c r="G47" i="17"/>
  <c r="G40" i="17"/>
  <c r="G61" i="17" s="1"/>
  <c r="G39" i="17"/>
  <c r="G38" i="17"/>
  <c r="G37" i="17"/>
  <c r="G36" i="17"/>
  <c r="G35" i="17"/>
  <c r="F13" i="18" l="1"/>
  <c r="F16" i="18" s="1"/>
  <c r="F14" i="18"/>
  <c r="D36" i="18"/>
  <c r="J13" i="18" s="1"/>
  <c r="K13" i="18" s="1"/>
  <c r="D37" i="18"/>
  <c r="J14" i="18" s="1"/>
  <c r="I14" i="18"/>
  <c r="I13" i="18"/>
  <c r="H13" i="18"/>
  <c r="M13" i="18" s="1"/>
  <c r="H14" i="18"/>
  <c r="M14" i="18" s="1"/>
  <c r="J8" i="18"/>
  <c r="J9" i="18"/>
  <c r="J11" i="18"/>
  <c r="J12" i="18"/>
  <c r="J15" i="18"/>
  <c r="J7" i="18"/>
  <c r="D18" i="18"/>
  <c r="D10" i="18"/>
  <c r="H33" i="18" s="1"/>
  <c r="D11" i="18"/>
  <c r="H34" i="18" s="1"/>
  <c r="M18" i="18"/>
  <c r="M15" i="18"/>
  <c r="M11" i="18"/>
  <c r="M12" i="18"/>
  <c r="M9" i="18"/>
  <c r="M8" i="18"/>
  <c r="M7" i="18"/>
  <c r="I8" i="18"/>
  <c r="I9" i="18"/>
  <c r="I11" i="18" s="1"/>
  <c r="I12" i="18"/>
  <c r="I15" i="18"/>
  <c r="I7" i="18"/>
  <c r="D14" i="18" l="1"/>
  <c r="D13" i="18"/>
  <c r="H36" i="18" s="1"/>
  <c r="D15" i="18"/>
  <c r="H38" i="18" s="1"/>
  <c r="D7" i="18"/>
  <c r="H30" i="18" s="1"/>
  <c r="E47" i="17" s="1"/>
  <c r="D9" i="18"/>
  <c r="H32" i="18" s="1"/>
  <c r="E49" i="17" s="1"/>
  <c r="D12" i="18"/>
  <c r="H35" i="18" s="1"/>
  <c r="E50" i="17" s="1"/>
  <c r="D8" i="18"/>
  <c r="H31" i="18" s="1"/>
  <c r="L13" i="18"/>
  <c r="H37" i="18"/>
  <c r="D16" i="18"/>
  <c r="M16" i="18"/>
  <c r="I10" i="18"/>
  <c r="K31" i="18" l="1"/>
  <c r="E48" i="17"/>
  <c r="E59" i="17"/>
  <c r="P37" i="18"/>
  <c r="E51" i="17"/>
  <c r="P38" i="18"/>
  <c r="E52" i="17"/>
  <c r="E53" i="17" s="1"/>
  <c r="M17" i="18"/>
  <c r="D17" i="18" s="1"/>
  <c r="D42" i="15"/>
  <c r="E60" i="17"/>
  <c r="K36" i="18"/>
  <c r="M36" i="18"/>
  <c r="D62" i="18"/>
  <c r="J36" i="18"/>
  <c r="O36" i="18"/>
  <c r="L36" i="18"/>
  <c r="I36" i="18"/>
  <c r="N36" i="18"/>
  <c r="L11" i="6"/>
  <c r="I37" i="5" s="1"/>
  <c r="L10" i="6"/>
  <c r="I40" i="5" s="1"/>
  <c r="E61" i="17" l="1"/>
  <c r="F62" i="18"/>
  <c r="G62" i="18"/>
  <c r="E62" i="18"/>
  <c r="G59" i="17"/>
  <c r="G60" i="17"/>
  <c r="C39" i="15" l="1"/>
  <c r="E41" i="15" l="1"/>
  <c r="D41" i="15"/>
  <c r="B3" i="15"/>
  <c r="B3" i="22"/>
  <c r="B3" i="20"/>
  <c r="I12" i="11" l="1"/>
  <c r="I13" i="11"/>
  <c r="I14" i="11"/>
  <c r="K9" i="11" l="1"/>
  <c r="K11" i="11"/>
  <c r="K13" i="11"/>
  <c r="K7" i="11"/>
  <c r="K8" i="11" l="1"/>
  <c r="K14" i="11"/>
  <c r="K10" i="11"/>
  <c r="K12" i="11"/>
  <c r="J21" i="6" l="1"/>
  <c r="J20" i="6"/>
  <c r="J19" i="6"/>
  <c r="L18" i="6" l="1"/>
  <c r="L15" i="6"/>
  <c r="I28" i="5" s="1"/>
  <c r="L13" i="6"/>
  <c r="I27" i="5" s="1"/>
  <c r="L14" i="6"/>
  <c r="I31" i="5" s="1"/>
  <c r="I21" i="5" l="1"/>
  <c r="I18" i="5"/>
  <c r="L12" i="6"/>
  <c r="I36" i="5" l="1"/>
  <c r="J36" i="5" s="1"/>
  <c r="K43" i="12" s="1"/>
  <c r="L19" i="6"/>
  <c r="I35" i="5" s="1"/>
  <c r="J35" i="5" l="1"/>
  <c r="L21" i="6"/>
  <c r="L20" i="6"/>
  <c r="I38" i="5" l="1"/>
  <c r="I41" i="5"/>
  <c r="J41" i="5" s="1"/>
  <c r="J39" i="5"/>
  <c r="I42" i="5"/>
  <c r="I39" i="5"/>
  <c r="J38" i="5"/>
  <c r="E38" i="12" s="1"/>
  <c r="J42" i="5"/>
  <c r="H38" i="12" s="1"/>
  <c r="K38" i="12"/>
  <c r="E54" i="15"/>
  <c r="H54" i="15" s="1"/>
  <c r="H16" i="18" l="1"/>
  <c r="D22" i="18" l="1"/>
  <c r="H19" i="18"/>
  <c r="H18" i="18"/>
  <c r="N10" i="18" l="1"/>
  <c r="E33" i="18" s="1"/>
  <c r="N12" i="18"/>
  <c r="E35" i="18" s="1"/>
  <c r="E38" i="17" s="1"/>
  <c r="N14" i="18"/>
  <c r="E37" i="18" s="1"/>
  <c r="E39" i="17" s="1"/>
  <c r="N9" i="18"/>
  <c r="E32" i="18" s="1"/>
  <c r="E37" i="17" s="1"/>
  <c r="N7" i="18"/>
  <c r="N8" i="18"/>
  <c r="E31" i="18" s="1"/>
  <c r="E36" i="17" s="1"/>
  <c r="N11" i="18"/>
  <c r="E34" i="18" s="1"/>
  <c r="N13" i="18"/>
  <c r="E36" i="18" s="1"/>
  <c r="N15" i="18"/>
  <c r="E38" i="18" s="1"/>
  <c r="K8" i="18"/>
  <c r="L8" i="18" s="1"/>
  <c r="K11" i="18"/>
  <c r="L11" i="18" s="1"/>
  <c r="K14" i="18"/>
  <c r="L14" i="18" s="1"/>
  <c r="K12" i="18"/>
  <c r="L12" i="18" s="1"/>
  <c r="K15" i="18"/>
  <c r="L15" i="18" s="1"/>
  <c r="K9" i="18"/>
  <c r="L9" i="18" s="1"/>
  <c r="I30" i="18"/>
  <c r="L37" i="18"/>
  <c r="M37" i="18"/>
  <c r="I37" i="18"/>
  <c r="N37" i="18"/>
  <c r="K37" i="18"/>
  <c r="O37" i="18"/>
  <c r="J37" i="18"/>
  <c r="K35" i="18"/>
  <c r="L35" i="18"/>
  <c r="M35" i="18"/>
  <c r="I35" i="18"/>
  <c r="N35" i="18"/>
  <c r="J35" i="18"/>
  <c r="K38" i="18"/>
  <c r="N38" i="18"/>
  <c r="J38" i="18"/>
  <c r="L38" i="18"/>
  <c r="O38" i="18"/>
  <c r="M38" i="18"/>
  <c r="I38" i="18"/>
  <c r="I31" i="18"/>
  <c r="J31" i="18"/>
  <c r="J34" i="18"/>
  <c r="L34" i="18"/>
  <c r="I34" i="18"/>
  <c r="M34" i="18"/>
  <c r="K34" i="18"/>
  <c r="K33" i="18"/>
  <c r="J33" i="18"/>
  <c r="I33" i="18"/>
  <c r="K32" i="18"/>
  <c r="I32" i="18"/>
  <c r="J32" i="18"/>
  <c r="L32" i="18"/>
  <c r="M32" i="18"/>
  <c r="E39" i="15"/>
  <c r="G44" i="5" s="1"/>
  <c r="D39" i="15"/>
  <c r="G43" i="5" s="1"/>
  <c r="E40" i="17" l="1"/>
  <c r="E30" i="18"/>
  <c r="E35" i="17" s="1"/>
  <c r="E41" i="17" s="1"/>
  <c r="N16" i="18"/>
  <c r="E39" i="18"/>
  <c r="E42" i="17" s="1"/>
  <c r="K7" i="18"/>
  <c r="L7" i="18"/>
  <c r="L17" i="18" s="1"/>
  <c r="M19" i="18" s="1"/>
  <c r="D19" i="18" s="1"/>
  <c r="I39" i="18"/>
  <c r="F64" i="18"/>
  <c r="G61" i="18"/>
  <c r="E63" i="18"/>
  <c r="E64" i="18"/>
  <c r="G63" i="18"/>
  <c r="F58" i="18"/>
  <c r="F59" i="18"/>
  <c r="F57" i="18"/>
  <c r="F63" i="18"/>
  <c r="F61" i="18"/>
  <c r="L39" i="18"/>
  <c r="G58" i="18"/>
  <c r="E60" i="18"/>
  <c r="G60" i="18"/>
  <c r="G64" i="18"/>
  <c r="E61" i="18"/>
  <c r="O39" i="18"/>
  <c r="N39" i="18"/>
  <c r="P39" i="18"/>
  <c r="E58" i="18"/>
  <c r="M39" i="18"/>
  <c r="J39" i="18"/>
  <c r="F60" i="18"/>
  <c r="K39" i="18"/>
  <c r="E62" i="17" l="1"/>
  <c r="D46" i="18"/>
  <c r="E79" i="18"/>
  <c r="I81" i="18"/>
  <c r="I79" i="18"/>
  <c r="D48" i="18"/>
  <c r="G79" i="18"/>
  <c r="D49" i="18"/>
  <c r="H79" i="18"/>
  <c r="D47" i="18"/>
  <c r="F79" i="18"/>
  <c r="D51" i="18"/>
  <c r="J79" i="18"/>
  <c r="D77" i="18"/>
  <c r="D79" i="18"/>
  <c r="D52" i="18"/>
  <c r="K80" i="18"/>
  <c r="D75" i="18"/>
  <c r="D76" i="18"/>
  <c r="D78" i="18"/>
  <c r="D80" i="18"/>
  <c r="E75" i="18"/>
  <c r="E81" i="18"/>
  <c r="E78" i="18"/>
  <c r="E65" i="18"/>
  <c r="J80" i="18"/>
  <c r="D74" i="18"/>
  <c r="I80" i="18"/>
  <c r="I78" i="18"/>
  <c r="G77" i="18"/>
  <c r="H80" i="18"/>
  <c r="G81" i="18"/>
  <c r="G65" i="18"/>
  <c r="H75" i="18"/>
  <c r="F65" i="18"/>
  <c r="G78" i="18"/>
  <c r="E77" i="18"/>
  <c r="F80" i="18"/>
  <c r="F81" i="18"/>
  <c r="D50" i="18"/>
  <c r="I77" i="18"/>
  <c r="F78" i="18"/>
  <c r="G75" i="18"/>
  <c r="E80" i="18"/>
  <c r="J81" i="18"/>
  <c r="E76" i="18"/>
  <c r="H81" i="18"/>
  <c r="F75" i="18"/>
  <c r="D45" i="18"/>
  <c r="D73" i="18"/>
  <c r="K81" i="18"/>
  <c r="H78" i="18"/>
  <c r="F76" i="18"/>
  <c r="H77" i="18"/>
  <c r="F77" i="18"/>
  <c r="E74" i="18"/>
  <c r="G80" i="18"/>
  <c r="D81" i="18"/>
  <c r="F74" i="18"/>
  <c r="E49" i="18" l="1"/>
  <c r="I82" i="18"/>
  <c r="E48" i="18"/>
  <c r="J82" i="18"/>
  <c r="H82" i="18"/>
  <c r="E50" i="18"/>
  <c r="G82" i="18"/>
  <c r="E45" i="18"/>
  <c r="E46" i="18"/>
  <c r="F82" i="18"/>
  <c r="E52" i="18"/>
  <c r="E82" i="18"/>
  <c r="K82" i="18"/>
  <c r="E47" i="18"/>
  <c r="E51" i="18"/>
  <c r="D57" i="18"/>
  <c r="D58" i="18"/>
  <c r="D59" i="18"/>
  <c r="D60" i="18"/>
  <c r="D61" i="18"/>
  <c r="D63" i="18"/>
  <c r="D64" i="18"/>
  <c r="D56" i="18"/>
  <c r="E9" i="11" l="1"/>
  <c r="D8" i="5"/>
  <c r="E7" i="11"/>
  <c r="D6" i="5"/>
  <c r="E13" i="11"/>
  <c r="D12" i="5"/>
  <c r="E14" i="11"/>
  <c r="D13" i="5"/>
  <c r="E10" i="11"/>
  <c r="D9" i="5"/>
  <c r="E12" i="11"/>
  <c r="D11" i="5"/>
  <c r="E8" i="11"/>
  <c r="D7" i="5"/>
  <c r="E11" i="11"/>
  <c r="D10" i="5"/>
  <c r="D65" i="18"/>
  <c r="H39" i="18"/>
  <c r="D39" i="18"/>
  <c r="E63" i="17" l="1"/>
  <c r="E54" i="17"/>
  <c r="G9" i="5"/>
  <c r="E9" i="5"/>
  <c r="F9" i="5"/>
  <c r="F10" i="5"/>
  <c r="E10" i="5"/>
  <c r="G10" i="5"/>
  <c r="G12" i="5"/>
  <c r="E12" i="5"/>
  <c r="F12" i="5"/>
  <c r="G7" i="5"/>
  <c r="F7" i="5"/>
  <c r="K21" i="5" s="1"/>
  <c r="E7" i="5"/>
  <c r="D66" i="18"/>
  <c r="F66" i="18"/>
  <c r="D72" i="18"/>
  <c r="E66" i="18"/>
  <c r="E7" i="17"/>
  <c r="K24" i="5" l="1"/>
  <c r="K10" i="12"/>
  <c r="E10" i="12"/>
  <c r="K18" i="5"/>
  <c r="E41" i="12"/>
  <c r="K39" i="5"/>
  <c r="L39" i="5" s="1"/>
  <c r="K37" i="5"/>
  <c r="K38" i="5"/>
  <c r="L38" i="5" s="1"/>
  <c r="K36" i="5"/>
  <c r="L36" i="5" s="1"/>
  <c r="K35" i="5"/>
  <c r="L35" i="5" s="1"/>
  <c r="K42" i="12" s="1"/>
  <c r="K41" i="12"/>
  <c r="H25" i="12"/>
  <c r="K31" i="5"/>
  <c r="K27" i="5"/>
  <c r="E25" i="12"/>
  <c r="H41" i="12"/>
  <c r="K42" i="5"/>
  <c r="L42" i="5" s="1"/>
  <c r="K41" i="5"/>
  <c r="L41" i="5" s="1"/>
  <c r="K40" i="5"/>
  <c r="E8" i="17"/>
  <c r="E72" i="18"/>
  <c r="E11" i="17"/>
  <c r="H72" i="18"/>
  <c r="H42" i="12" l="1"/>
  <c r="E42" i="12"/>
  <c r="M36" i="5"/>
  <c r="O36" i="5" s="1"/>
  <c r="K44" i="12"/>
  <c r="E9" i="17"/>
  <c r="F72" i="18"/>
  <c r="G66" i="18"/>
  <c r="D82" i="18"/>
  <c r="K8" i="12"/>
  <c r="K7" i="12"/>
  <c r="E8" i="12"/>
  <c r="K39" i="12"/>
  <c r="H39" i="12"/>
  <c r="E39" i="12"/>
  <c r="H28" i="12"/>
  <c r="H23" i="12"/>
  <c r="E23" i="12"/>
  <c r="E28" i="12"/>
  <c r="K13" i="12"/>
  <c r="E13" i="12"/>
  <c r="G72" i="18" l="1"/>
  <c r="E10" i="17"/>
  <c r="F39" i="15"/>
  <c r="G39" i="15"/>
  <c r="D54" i="15"/>
  <c r="G54" i="15" s="1"/>
  <c r="D55" i="15"/>
  <c r="G55" i="15" s="1"/>
  <c r="E55" i="15"/>
  <c r="H55" i="15" s="1"/>
  <c r="D56" i="15"/>
  <c r="G56" i="15" s="1"/>
  <c r="E56" i="15"/>
  <c r="H56" i="15" s="1"/>
  <c r="D57" i="15"/>
  <c r="E57" i="15"/>
  <c r="H57" i="15" s="1"/>
  <c r="D58" i="15"/>
  <c r="G58" i="15" s="1"/>
  <c r="G33" i="5" s="1"/>
  <c r="E58" i="15"/>
  <c r="H58" i="15" s="1"/>
  <c r="D14" i="11"/>
  <c r="D13" i="11"/>
  <c r="D12" i="11"/>
  <c r="D11" i="11"/>
  <c r="D10" i="11"/>
  <c r="D9" i="11"/>
  <c r="D8" i="11"/>
  <c r="D7" i="11"/>
  <c r="G57" i="15" l="1"/>
  <c r="G29" i="5" s="1"/>
  <c r="F11" i="11"/>
  <c r="F7" i="11"/>
  <c r="F12" i="11"/>
  <c r="F13" i="11"/>
  <c r="F14" i="11"/>
  <c r="E12" i="17"/>
  <c r="I72" i="18"/>
  <c r="F10" i="11"/>
  <c r="F9" i="11" l="1"/>
  <c r="E13" i="17"/>
  <c r="J72" i="18"/>
  <c r="E7" i="12"/>
  <c r="F8" i="11" l="1"/>
  <c r="E14" i="17"/>
  <c r="K72" i="18"/>
  <c r="M44" i="5" l="1"/>
  <c r="M43" i="5"/>
  <c r="O43" i="5" s="1"/>
  <c r="M35" i="5"/>
  <c r="O35" i="5" s="1"/>
  <c r="J27" i="5"/>
  <c r="J40" i="5"/>
  <c r="L40" i="5" s="1"/>
  <c r="J37" i="5"/>
  <c r="L37" i="5" s="1"/>
  <c r="L17" i="6"/>
  <c r="I24" i="5" s="1"/>
  <c r="L16" i="6"/>
  <c r="I32" i="5" s="1"/>
  <c r="L27" i="5" l="1"/>
  <c r="M28" i="5" s="1"/>
  <c r="O28" i="5" s="1"/>
  <c r="J31" i="5"/>
  <c r="O44" i="5"/>
  <c r="D57" i="5" s="1"/>
  <c r="M40" i="5"/>
  <c r="H43" i="12"/>
  <c r="M37" i="5"/>
  <c r="E43" i="12"/>
  <c r="E27" i="12"/>
  <c r="J18" i="5"/>
  <c r="L18" i="5" s="1"/>
  <c r="J24" i="5"/>
  <c r="L24" i="5" s="1"/>
  <c r="J21" i="5"/>
  <c r="G34" i="5"/>
  <c r="G30" i="5"/>
  <c r="G23" i="5"/>
  <c r="G22" i="5"/>
  <c r="G20" i="5"/>
  <c r="G19" i="5"/>
  <c r="G26" i="5"/>
  <c r="G25" i="5"/>
  <c r="M42" i="5"/>
  <c r="O42" i="5" s="1"/>
  <c r="M41" i="5"/>
  <c r="O41" i="5" s="1"/>
  <c r="M39" i="5"/>
  <c r="M38" i="5"/>
  <c r="O38" i="5" s="1"/>
  <c r="M27" i="5" l="1"/>
  <c r="O27" i="5" s="1"/>
  <c r="M30" i="5"/>
  <c r="O30" i="5" s="1"/>
  <c r="M29" i="5"/>
  <c r="O29" i="5" s="1"/>
  <c r="E32" i="12"/>
  <c r="L21" i="5"/>
  <c r="M21" i="5" s="1"/>
  <c r="O21" i="5" s="1"/>
  <c r="L31" i="5"/>
  <c r="H32" i="12" s="1"/>
  <c r="O39" i="5"/>
  <c r="D55" i="5" s="1"/>
  <c r="M20" i="5"/>
  <c r="O20" i="5" s="1"/>
  <c r="E12" i="12"/>
  <c r="M25" i="5"/>
  <c r="O25" i="5" s="1"/>
  <c r="K12" i="12"/>
  <c r="O37" i="5"/>
  <c r="E44" i="12"/>
  <c r="O40" i="5"/>
  <c r="H44" i="12"/>
  <c r="K15" i="12"/>
  <c r="E15" i="12"/>
  <c r="E29" i="12"/>
  <c r="H29" i="12"/>
  <c r="K14" i="12"/>
  <c r="E14" i="12"/>
  <c r="E30" i="12"/>
  <c r="H30" i="12"/>
  <c r="H27" i="12"/>
  <c r="G14" i="11"/>
  <c r="L14" i="11" l="1"/>
  <c r="M14" i="11" s="1"/>
  <c r="M23" i="5"/>
  <c r="O23" i="5" s="1"/>
  <c r="M22" i="5"/>
  <c r="O22" i="5" s="1"/>
  <c r="M32" i="5"/>
  <c r="O32" i="5" s="1"/>
  <c r="M31" i="5"/>
  <c r="O31" i="5" s="1"/>
  <c r="D56" i="5"/>
  <c r="M34" i="5"/>
  <c r="O34" i="5" s="1"/>
  <c r="M33" i="5"/>
  <c r="O33" i="5" s="1"/>
  <c r="M26" i="5"/>
  <c r="O26" i="5" s="1"/>
  <c r="M19" i="5"/>
  <c r="O19" i="5" s="1"/>
  <c r="M18" i="5"/>
  <c r="E17" i="12"/>
  <c r="M24" i="5"/>
  <c r="O24" i="5" s="1"/>
  <c r="K17" i="12"/>
  <c r="N14" i="11" l="1"/>
  <c r="D53" i="5"/>
  <c r="D54" i="5"/>
  <c r="G11" i="11" s="1"/>
  <c r="D52" i="5"/>
  <c r="D50" i="5"/>
  <c r="G7" i="11" s="1"/>
  <c r="O18" i="5"/>
  <c r="Q45" i="5" s="1"/>
  <c r="G12" i="11"/>
  <c r="G13" i="11"/>
  <c r="E50" i="5" l="1"/>
  <c r="H7" i="11" s="1"/>
  <c r="J4" i="11" s="1"/>
  <c r="X45" i="5"/>
  <c r="E57" i="5" s="1"/>
  <c r="H14" i="11" s="1"/>
  <c r="J14" i="11" s="1"/>
  <c r="S45" i="5"/>
  <c r="E52" i="5" s="1"/>
  <c r="H9" i="11" s="1"/>
  <c r="V45" i="5"/>
  <c r="E55" i="5" s="1"/>
  <c r="H12" i="11" s="1"/>
  <c r="J12" i="11" s="1"/>
  <c r="T45" i="5"/>
  <c r="E53" i="5" s="1"/>
  <c r="H10" i="11" s="1"/>
  <c r="U45" i="5"/>
  <c r="E54" i="5" s="1"/>
  <c r="H11" i="11" s="1"/>
  <c r="J11" i="11" s="1"/>
  <c r="R45" i="5"/>
  <c r="E51" i="5" s="1"/>
  <c r="H8" i="11" s="1"/>
  <c r="W45" i="5"/>
  <c r="E56" i="5" s="1"/>
  <c r="H13" i="11" s="1"/>
  <c r="J13" i="11" s="1"/>
  <c r="J7" i="11"/>
  <c r="L7" i="11"/>
  <c r="N7" i="11" s="1"/>
  <c r="L11" i="11"/>
  <c r="N11" i="11" s="1"/>
  <c r="L12" i="11"/>
  <c r="N12" i="11" s="1"/>
  <c r="L13" i="11"/>
  <c r="N13" i="11" s="1"/>
  <c r="D51" i="5"/>
  <c r="G8" i="11" s="1"/>
  <c r="O45" i="5"/>
  <c r="G9" i="11"/>
  <c r="G10" i="11"/>
  <c r="J9" i="11" l="1"/>
  <c r="J8" i="11"/>
  <c r="J10" i="11"/>
  <c r="M12" i="11"/>
  <c r="O12" i="11" s="1"/>
  <c r="M13" i="11"/>
  <c r="O13" i="11" s="1"/>
  <c r="M11" i="11"/>
  <c r="L8" i="11"/>
  <c r="N8" i="11" s="1"/>
  <c r="L10" i="11"/>
  <c r="N10" i="11" s="1"/>
  <c r="L9" i="11"/>
  <c r="M9" i="11" s="1"/>
  <c r="M7" i="11"/>
  <c r="G15" i="11"/>
  <c r="D58" i="5"/>
  <c r="M8" i="11" l="1"/>
  <c r="N9" i="11"/>
  <c r="N15" i="11" s="1"/>
  <c r="M10" i="11"/>
  <c r="D12" i="17"/>
  <c r="F12" i="17" s="1"/>
  <c r="O7" i="11"/>
  <c r="L15" i="11"/>
  <c r="D13" i="17"/>
  <c r="F13" i="17" s="1"/>
  <c r="O11" i="11"/>
  <c r="O14" i="11"/>
  <c r="O8" i="11" l="1"/>
  <c r="D7" i="17"/>
  <c r="I20" i="17"/>
  <c r="D11" i="17"/>
  <c r="F11" i="17" s="1"/>
  <c r="D14" i="17"/>
  <c r="F14" i="17" s="1"/>
  <c r="O9" i="11"/>
  <c r="O10" i="11"/>
  <c r="I25" i="17" l="1"/>
  <c r="I23" i="17"/>
  <c r="I21" i="17"/>
  <c r="I27" i="17"/>
  <c r="F7" i="17"/>
  <c r="D20" i="17" s="1"/>
  <c r="D27" i="17" s="1"/>
  <c r="D8" i="17"/>
  <c r="I22" i="17"/>
  <c r="I29" i="17"/>
  <c r="J20" i="17"/>
  <c r="I24" i="17"/>
  <c r="I26" i="17"/>
  <c r="I28" i="17"/>
  <c r="D10" i="17"/>
  <c r="F10" i="17" s="1"/>
  <c r="D9" i="17"/>
  <c r="F9" i="17" s="1"/>
  <c r="J28" i="17" l="1"/>
  <c r="J27" i="17"/>
  <c r="D21" i="17"/>
  <c r="D22" i="17"/>
  <c r="D25" i="17"/>
  <c r="D23" i="17"/>
  <c r="D24" i="17"/>
  <c r="D28" i="17"/>
  <c r="D26" i="17"/>
  <c r="D29" i="17"/>
  <c r="F8" i="17"/>
  <c r="E20" i="17" s="1"/>
  <c r="F20" i="17"/>
  <c r="F27" i="17" s="1"/>
  <c r="J24" i="17"/>
  <c r="J22" i="17"/>
  <c r="J21" i="17"/>
  <c r="J26" i="17"/>
  <c r="I30" i="17"/>
  <c r="K20" i="17"/>
  <c r="J25" i="17"/>
  <c r="J29" i="17"/>
  <c r="J23" i="17"/>
  <c r="H20" i="17"/>
  <c r="K28" i="17" l="1"/>
  <c r="K27" i="17"/>
  <c r="H22" i="17"/>
  <c r="H27" i="17"/>
  <c r="E21" i="17"/>
  <c r="E27" i="17"/>
  <c r="K22" i="17"/>
  <c r="E22" i="17"/>
  <c r="E24" i="17"/>
  <c r="D30" i="17"/>
  <c r="K26" i="17"/>
  <c r="K29" i="17"/>
  <c r="K24" i="17"/>
  <c r="K21" i="17"/>
  <c r="H21" i="17"/>
  <c r="J30" i="17"/>
  <c r="K23" i="17"/>
  <c r="H24" i="17"/>
  <c r="K25" i="17"/>
  <c r="G20" i="17"/>
  <c r="F15" i="17"/>
  <c r="F23" i="17"/>
  <c r="F28" i="17"/>
  <c r="F21" i="17"/>
  <c r="F26" i="17"/>
  <c r="F24" i="17"/>
  <c r="F22" i="17"/>
  <c r="F25" i="17"/>
  <c r="F29" i="17"/>
  <c r="G24" i="17" l="1"/>
  <c r="L24" i="17" s="1"/>
  <c r="G27" i="17"/>
  <c r="L27" i="17" s="1"/>
  <c r="G21" i="17"/>
  <c r="L21" i="17" s="1"/>
  <c r="G22" i="17"/>
  <c r="L22" i="17" s="1"/>
  <c r="K30" i="17"/>
  <c r="F30" i="17"/>
  <c r="D47" i="17" l="1"/>
  <c r="D35" i="17"/>
  <c r="F35" i="17" s="1"/>
  <c r="D51" i="17"/>
  <c r="F51" i="17" s="1"/>
  <c r="D39" i="17"/>
  <c r="D36" i="17"/>
  <c r="F36" i="17" s="1"/>
  <c r="H36" i="17" s="1"/>
  <c r="D48" i="17"/>
  <c r="F48" i="17" s="1"/>
  <c r="H51" i="17" l="1"/>
  <c r="H48" i="17"/>
  <c r="F47" i="17"/>
  <c r="D59" i="17"/>
  <c r="F59" i="17" s="1"/>
  <c r="H35" i="17"/>
  <c r="H29" i="17"/>
  <c r="H26" i="17"/>
  <c r="H25" i="17"/>
  <c r="H28" i="17"/>
  <c r="H47" i="17" l="1"/>
  <c r="H59" i="17"/>
  <c r="G28" i="17"/>
  <c r="G26" i="17"/>
  <c r="E26" i="17" l="1"/>
  <c r="L26" i="17" s="1"/>
  <c r="E28" i="17"/>
  <c r="L28" i="17" s="1"/>
  <c r="F39" i="17" s="1"/>
  <c r="E29" i="17"/>
  <c r="G29" i="17"/>
  <c r="E25" i="17"/>
  <c r="G25" i="17"/>
  <c r="H23" i="17"/>
  <c r="D50" i="17" l="1"/>
  <c r="F50" i="17" s="1"/>
  <c r="D38" i="17"/>
  <c r="F38" i="17" s="1"/>
  <c r="L29" i="17"/>
  <c r="L25" i="17"/>
  <c r="H39" i="17"/>
  <c r="E23" i="17"/>
  <c r="H30" i="17"/>
  <c r="H38" i="17" l="1"/>
  <c r="D40" i="17"/>
  <c r="D61" i="17" s="1"/>
  <c r="F61" i="17" s="1"/>
  <c r="D52" i="17"/>
  <c r="F52" i="17" s="1"/>
  <c r="H50" i="17"/>
  <c r="G23" i="17"/>
  <c r="E30" i="17"/>
  <c r="H52" i="17" l="1"/>
  <c r="F40" i="17"/>
  <c r="H61" i="17"/>
  <c r="L23" i="17"/>
  <c r="G30" i="17"/>
  <c r="D37" i="17" l="1"/>
  <c r="D60" i="17" s="1"/>
  <c r="D62" i="17" s="1"/>
  <c r="D49" i="17"/>
  <c r="H40" i="17"/>
  <c r="L30" i="17"/>
  <c r="F37" i="17" l="1"/>
  <c r="H37" i="17" s="1"/>
  <c r="D41" i="17"/>
  <c r="F49" i="17"/>
  <c r="D53" i="17"/>
  <c r="F60" i="17"/>
  <c r="H60" i="17" s="1"/>
  <c r="H49" i="17" l="1"/>
</calcChain>
</file>

<file path=xl/comments1.xml><?xml version="1.0" encoding="utf-8"?>
<comments xmlns="http://schemas.openxmlformats.org/spreadsheetml/2006/main">
  <authors>
    <author>Nerida Kemp</author>
  </authors>
  <commentList>
    <comment ref="I20" authorId="0" shapeId="0">
      <text>
        <r>
          <rPr>
            <b/>
            <sz val="9"/>
            <color rgb="FF000000"/>
            <rFont val="Tahoma"/>
            <family val="2"/>
          </rPr>
          <t>Nerida Kemp:</t>
        </r>
        <r>
          <rPr>
            <sz val="9"/>
            <color rgb="FF000000"/>
            <rFont val="Tahoma"/>
            <family val="2"/>
          </rPr>
          <t xml:space="preserve">
</t>
        </r>
        <r>
          <rPr>
            <sz val="9"/>
            <color rgb="FF000000"/>
            <rFont val="Tahoma"/>
            <family val="2"/>
          </rPr>
          <t>Assumes economies of scale factor of 90%</t>
        </r>
      </text>
    </comment>
    <comment ref="I21" authorId="0" shapeId="0">
      <text>
        <r>
          <rPr>
            <b/>
            <sz val="9"/>
            <color rgb="FF000000"/>
            <rFont val="Tahoma"/>
            <family val="2"/>
          </rPr>
          <t>Nerida Kemp:</t>
        </r>
        <r>
          <rPr>
            <sz val="9"/>
            <color rgb="FF000000"/>
            <rFont val="Tahoma"/>
            <family val="2"/>
          </rPr>
          <t xml:space="preserve">
</t>
        </r>
        <r>
          <rPr>
            <sz val="9"/>
            <color rgb="FF000000"/>
            <rFont val="Tahoma"/>
            <family val="2"/>
          </rPr>
          <t>assumes economies of scale factor of 90%</t>
        </r>
      </text>
    </comment>
  </commentList>
</comments>
</file>

<file path=xl/sharedStrings.xml><?xml version="1.0" encoding="utf-8"?>
<sst xmlns="http://schemas.openxmlformats.org/spreadsheetml/2006/main" count="812" uniqueCount="429">
  <si>
    <t>110kV</t>
  </si>
  <si>
    <t>110/33kV</t>
  </si>
  <si>
    <t>33kV</t>
  </si>
  <si>
    <t>33/11kV</t>
  </si>
  <si>
    <t>110/11kV</t>
  </si>
  <si>
    <t>11kV</t>
  </si>
  <si>
    <t>11kV/LV</t>
  </si>
  <si>
    <t>LV</t>
  </si>
  <si>
    <t>TNCP</t>
  </si>
  <si>
    <t>110kV UG Feeder</t>
  </si>
  <si>
    <t>110kV OH Feeder</t>
  </si>
  <si>
    <t>LV UG Feeder</t>
  </si>
  <si>
    <t>LV OH Feeder</t>
  </si>
  <si>
    <t>33kV UG Feeder</t>
  </si>
  <si>
    <t>11kV UG Feeder</t>
  </si>
  <si>
    <t>11kV OH Feeder</t>
  </si>
  <si>
    <t>km</t>
  </si>
  <si>
    <t>Description</t>
  </si>
  <si>
    <t>Double Modular Substation</t>
  </si>
  <si>
    <t>Unit</t>
  </si>
  <si>
    <t>Total</t>
  </si>
  <si>
    <t>2 x 25MVA Modular Zone Sub</t>
  </si>
  <si>
    <t>no.</t>
  </si>
  <si>
    <t>33kV/11kV - Urban</t>
  </si>
  <si>
    <t>33kV/11kV - Rural</t>
  </si>
  <si>
    <t>1 x 8MVA Midi Modular Sub</t>
  </si>
  <si>
    <t>2 x 80MVA Bulk Supply Sub</t>
  </si>
  <si>
    <t>110kV/11kV - City</t>
  </si>
  <si>
    <t>Factor</t>
  </si>
  <si>
    <t>Installed</t>
  </si>
  <si>
    <t>Usable</t>
  </si>
  <si>
    <t>Multiplier</t>
  </si>
  <si>
    <t>Voltage ID</t>
  </si>
  <si>
    <t>Pole Transformer 315kVA</t>
  </si>
  <si>
    <t>Padmount Transformer 750kVA</t>
  </si>
  <si>
    <t>11kV/LV - Urban</t>
  </si>
  <si>
    <t>11kV/LV - Rural</t>
  </si>
  <si>
    <t>Energex Standard Estimates</t>
  </si>
  <si>
    <t>110/11kV 2 x 60MVA, 110kv GIS ID &amp; 11kV ID Masonry</t>
  </si>
  <si>
    <t>145kV Single Circuit UG Complex (1600mm2 cable 1km)</t>
  </si>
  <si>
    <t>33kV Double Circuit Underground (630mm2 1km)</t>
  </si>
  <si>
    <t>Rural Midi Modular Substation</t>
  </si>
  <si>
    <t>2 x 60MVA Bulk Supply Sub</t>
  </si>
  <si>
    <t>Total Qty</t>
  </si>
  <si>
    <t>Unit Qty</t>
  </si>
  <si>
    <t>1km 11kV UG Feeder 240mm2</t>
  </si>
  <si>
    <t>1km 11kV OH Feeder (PLUTO or MOON)</t>
  </si>
  <si>
    <t>Voltage Level</t>
  </si>
  <si>
    <t>110kV/11kV</t>
  </si>
  <si>
    <t>Direct Transformation 110kV/11kV</t>
  </si>
  <si>
    <t>110kV SCCT on concrete poles (1km SULPHUR)</t>
  </si>
  <si>
    <t>110/33kV 2 x 80MVA, 110kV GIS OD &amp; 33kV Pre-Fab</t>
  </si>
  <si>
    <t>110/11kV - City</t>
  </si>
  <si>
    <t>OH</t>
  </si>
  <si>
    <t>UG</t>
  </si>
  <si>
    <t>Capacity Calculations MVA</t>
  </si>
  <si>
    <t>110kV Feeder - Urban</t>
  </si>
  <si>
    <t>110kV Feeder - Rural</t>
  </si>
  <si>
    <t>110kV Feeder - City</t>
  </si>
  <si>
    <t>110/33kV - Rural</t>
  </si>
  <si>
    <t>110/33kV - Urban</t>
  </si>
  <si>
    <t>Proportions (%)</t>
  </si>
  <si>
    <t>110kV/33kV - Urban</t>
  </si>
  <si>
    <t>110kV/33kV - Rural</t>
  </si>
  <si>
    <t>33kV Feeder - Urban</t>
  </si>
  <si>
    <t>33kV Feeder - Rural</t>
  </si>
  <si>
    <t>11kV Feeder - Urban</t>
  </si>
  <si>
    <t>11kV Feeder - Rural</t>
  </si>
  <si>
    <t>Urban %</t>
  </si>
  <si>
    <t>Rural %</t>
  </si>
  <si>
    <t>Opex Allowance</t>
  </si>
  <si>
    <t>Asset Cost</t>
  </si>
  <si>
    <t>% of load through network level</t>
  </si>
  <si>
    <t>11kV/LV - City</t>
  </si>
  <si>
    <t>City</t>
  </si>
  <si>
    <t>11kV Feeder - City</t>
  </si>
  <si>
    <t>Feeder numbers are as per building block drawings</t>
  </si>
  <si>
    <t>Based on share of 110/11kV Zone capacity (3255 MVA) of total 10270 MVA (for both 110/33 and 110/11)</t>
  </si>
  <si>
    <t>Rounded to nearest 5% - based on 40 Urban BSP and 1 Rural BSP</t>
  </si>
  <si>
    <t>Rounded to nearest 5% - based on 157 Urban and 46 Rural (excl 110/11kV subs)</t>
  </si>
  <si>
    <t>Rounded to nearest 5% - based on numbers of 11kV feeders - 249 City, 1610 Urban, 417 Rural</t>
  </si>
  <si>
    <t>Notes</t>
  </si>
  <si>
    <t>1km LV Underground cable</t>
  </si>
  <si>
    <t>1km LV Overhead on timber poles</t>
  </si>
  <si>
    <t>Avg lengths calculated based on data from Reliability intranet site, proportions rounded to nearest 5% based on total length of each type</t>
  </si>
  <si>
    <t>Reference</t>
  </si>
  <si>
    <t>ICC 110kV</t>
  </si>
  <si>
    <t>ICC 33kV</t>
  </si>
  <si>
    <t>CAC 33kV</t>
  </si>
  <si>
    <t>Estimate No.</t>
  </si>
  <si>
    <t>Bulk Supply Substations</t>
  </si>
  <si>
    <t>Zone Substations</t>
  </si>
  <si>
    <t>Distribution Transformers</t>
  </si>
  <si>
    <t>Peak Demand MW</t>
  </si>
  <si>
    <t>11kV bus</t>
  </si>
  <si>
    <t>11kV line</t>
  </si>
  <si>
    <t>LV bus</t>
  </si>
  <si>
    <t>LV line</t>
  </si>
  <si>
    <t>Rate of Return</t>
  </si>
  <si>
    <t>As per UK models</t>
  </si>
  <si>
    <t>Summary</t>
  </si>
  <si>
    <t>750kVA Padmount DT</t>
  </si>
  <si>
    <t>315kVA Pole DT</t>
  </si>
  <si>
    <t>Building Blocks</t>
  </si>
  <si>
    <t>% rural</t>
  </si>
  <si>
    <t>% urban</t>
  </si>
  <si>
    <t>Units required</t>
  </si>
  <si>
    <t>Feeders per substation</t>
  </si>
  <si>
    <t>Required capacity MW</t>
  </si>
  <si>
    <t>Substation capacity MW</t>
  </si>
  <si>
    <t>% city</t>
  </si>
  <si>
    <t>Assume all 110/11kV is in CBD</t>
  </si>
  <si>
    <t>Type 1: Urban</t>
  </si>
  <si>
    <t>Type 2: Rural</t>
  </si>
  <si>
    <t>Type 1: Urban 110kV/33kV</t>
  </si>
  <si>
    <t>Type 2: Rural 110kV/33kV</t>
  </si>
  <si>
    <t>Type 3: City 110/11kV</t>
  </si>
  <si>
    <t>Type 3: City</t>
  </si>
  <si>
    <t>Feeders per building block</t>
  </si>
  <si>
    <t>Building block capacity MW</t>
  </si>
  <si>
    <t>Feeders required</t>
  </si>
  <si>
    <t>Rural system - Pole transformers</t>
  </si>
  <si>
    <t>City system - cable only</t>
  </si>
  <si>
    <t>Urban system - Padmount transformers</t>
  </si>
  <si>
    <t>11kV Feeder capacity MW</t>
  </si>
  <si>
    <t>Asset quantities for LV line are based on an estimate of the length required for 500MW. This estimate is based on the average residential ADMD, and customer numbers and line length in the current Energex network.</t>
  </si>
  <si>
    <t>% of network 110/33kV</t>
  </si>
  <si>
    <t>% of network 110/11kV</t>
  </si>
  <si>
    <t>PDCODCA07-01</t>
  </si>
  <si>
    <t>PDCODCA08-11</t>
  </si>
  <si>
    <t>240mm^2 4C Aluminium Cable, incl pillars</t>
  </si>
  <si>
    <t>4x95mm^2 LVABC, incl timber poles</t>
  </si>
  <si>
    <t>OH Length km</t>
  </si>
  <si>
    <t>UG Length km</t>
  </si>
  <si>
    <t>Building Block units required</t>
  </si>
  <si>
    <t xml:space="preserve">Tariff Details and Consumption/Demand Data </t>
  </si>
  <si>
    <t>Key Assumptions</t>
  </si>
  <si>
    <t>Worksheets</t>
  </si>
  <si>
    <t>Estimates sourced from Annual RIN - 2012/13</t>
  </si>
  <si>
    <t>Feeder Voltage</t>
  </si>
  <si>
    <t>Total Feeders (no.)</t>
  </si>
  <si>
    <t>OH Length (km)</t>
  </si>
  <si>
    <t>UG Length (km)</t>
  </si>
  <si>
    <t>Avg lengths and proportions based on a typical 33kV Urban and a typical 33kV Rural system (Cleveland and Kalbar/Nudgee areas used).</t>
  </si>
  <si>
    <t>Transformer capacity MW</t>
  </si>
  <si>
    <t>Version</t>
  </si>
  <si>
    <t>Date</t>
  </si>
  <si>
    <t>Draft 0.1</t>
  </si>
  <si>
    <t>Initial draft for review</t>
  </si>
  <si>
    <t>Version Control</t>
  </si>
  <si>
    <t>Tariff Class</t>
  </si>
  <si>
    <t>Power Factor</t>
  </si>
  <si>
    <t>Losses</t>
  </si>
  <si>
    <t>Scaling Factor</t>
  </si>
  <si>
    <t>CAC 11kV Bus</t>
  </si>
  <si>
    <t>CAC 11kV Line</t>
  </si>
  <si>
    <t>Overall summary of the details of the 500MW model in terms of capacity and configuration, including asset diagrams and estimated quantities.</t>
  </si>
  <si>
    <t>The network cost in $ is used with the WACC to estimate annualised rates in $/kW at each voltage level.</t>
  </si>
  <si>
    <t>Standard estimates</t>
  </si>
  <si>
    <t>Asset diagrams</t>
  </si>
  <si>
    <t>The 500MW model $/kW costs are used in conjunction with calculated network share (at time of peak demand) to translate the costs to each tariff class.</t>
  </si>
  <si>
    <t>Description/Updates</t>
  </si>
  <si>
    <t>No. of feeders
OH</t>
  </si>
  <si>
    <t>No. of feeders
UG</t>
  </si>
  <si>
    <t>Input Parameters - Energex Tariff Class</t>
  </si>
  <si>
    <t>2012 demand at system peak MW</t>
  </si>
  <si>
    <t>2012 anytime max demand MW</t>
  </si>
  <si>
    <t>Check</t>
  </si>
  <si>
    <t>Total (*excl EGs)</t>
  </si>
  <si>
    <t>Voltage Level Share - based on contribution to peak demand</t>
  </si>
  <si>
    <t>Building Block Description</t>
  </si>
  <si>
    <t>DLF</t>
  </si>
  <si>
    <t>Opex $/yr</t>
  </si>
  <si>
    <t>Opex
$/kW/yr</t>
  </si>
  <si>
    <t>Total 
$/kW/yr</t>
  </si>
  <si>
    <t>Calculations - Application to Energex Tariff Class</t>
  </si>
  <si>
    <t>Allocated Cost $/yr</t>
  </si>
  <si>
    <t>Voltage level cost allocation</t>
  </si>
  <si>
    <t>Tariff class cost allocation</t>
  </si>
  <si>
    <t>Allocated 
Cost $</t>
  </si>
  <si>
    <t>Demand MW (incl losses)</t>
  </si>
  <si>
    <t>Required</t>
  </si>
  <si>
    <t>Required Capacity (excl. losses)</t>
  </si>
  <si>
    <t>Standard rating of 11kV UG 240mm3 CU XLPE is 7.9MVA, Power factor 95%</t>
  </si>
  <si>
    <t>Standard rating 11kV OH Moon conductor is 7.7MVA, Power factor 95%</t>
  </si>
  <si>
    <t>A proportion of the Energex network is direct transformation from 110kV to 11kV. Assume 30% of network is 110/11kV and 70% is 110/33kV.
Units required are rounded up to the nearest whole number.
Average lengths and proportions of overhead line vs cable are based on the current Energex network.</t>
  </si>
  <si>
    <t xml:space="preserve">
Units required are rounded up to the nearest whole number.
Average lengths and proportions of overhead line vs cable are based on the current Energex network.</t>
  </si>
  <si>
    <t>Total MW</t>
  </si>
  <si>
    <t>Urban MW</t>
  </si>
  <si>
    <t>Rural MW</t>
  </si>
  <si>
    <t>City MW</t>
  </si>
  <si>
    <t>units</t>
  </si>
  <si>
    <t>Draft 0.2</t>
  </si>
  <si>
    <t>Combine ICC into one "tariff"</t>
  </si>
  <si>
    <t>ICC</t>
  </si>
  <si>
    <t>Demand Allocator (MW)</t>
  </si>
  <si>
    <t>1km 11kV UG Feeder 400mm2 AL</t>
  </si>
  <si>
    <t>33/11kV 25MVA Masonry Building Zone Substation</t>
  </si>
  <si>
    <t>Installed Capacity from Netowrk Building blocks.
Factor and usable based on Customer Outcomes Standard.</t>
  </si>
  <si>
    <t>2 Feeder, 2 Dry Type Transformer</t>
  </si>
  <si>
    <t xml:space="preserve">85% loading criteria </t>
  </si>
  <si>
    <t>Supply and planning manual</t>
  </si>
  <si>
    <t>http://thesource/npp/npmo/vspa/_layouts/xlviewer.aspx?id=/npp/npmo/vspa/Lists/RoadmapTable/Attachments/14/Transmission%20Estimation%20List%20of%20C20%20Standard%20Estimates.xlsx&amp;Source=http%3A%2F%2Fthesource%2Fnpp%2Fnpmo%2Fvspa%2FPages%2FEstimateRoadmap%2Easpx%3FGroupString%3D%253B%2523POW%2520Capex%253B%2523%26IsGroupRender%3DTRUE&amp;DefaultItemOpen=1</t>
  </si>
  <si>
    <t>Lengths of 110kV feeders calculated based on data from NFM (contact: David Pennington), proportions rounded to nearest 5% based on total length of each type</t>
  </si>
  <si>
    <t>118127 - Urban</t>
  </si>
  <si>
    <t>118127 - Rural</t>
  </si>
  <si>
    <t>includes 6MVA of transfer, 4MVA of mobile generation</t>
  </si>
  <si>
    <t>Factor based on plant rating manual assuming mixed load.
Usable calculated based on typical available transfer in the current network, generation the Customer Outcomes Standard.</t>
  </si>
  <si>
    <t>includes 1MVA of transfer, 10MVA of mobile generation</t>
  </si>
  <si>
    <t>limited to transformer capacity</t>
  </si>
  <si>
    <t>CBD - no transfers</t>
  </si>
  <si>
    <t>includes 18 MVA of transfer</t>
  </si>
  <si>
    <t>added for CBD 3 feeder mesh feeders - each mesh includes 3 feeders</t>
  </si>
  <si>
    <t>Draft 0.6</t>
  </si>
  <si>
    <t>Reviewed for network diagram to be complient with new safet net standard in the DA
Updated standard estimates.</t>
  </si>
  <si>
    <t>Meshes required</t>
  </si>
  <si>
    <t>11kV 3 Feeder mesh capacity MW</t>
  </si>
  <si>
    <t>33kV DCCT OH (CONC/ ROAD RES) / 1KM</t>
  </si>
  <si>
    <t>no longer had a standard estimate for single circuit 33kV DCCT used.</t>
  </si>
  <si>
    <t>Sheet</t>
  </si>
  <si>
    <t>Cell</t>
  </si>
  <si>
    <t>Input</t>
  </si>
  <si>
    <t>Source Information</t>
  </si>
  <si>
    <t>DLFs</t>
  </si>
  <si>
    <t>By Voltage Level</t>
  </si>
  <si>
    <t>AEMO</t>
  </si>
  <si>
    <t>Average Feeder Lengths and Proportion UG:OH</t>
  </si>
  <si>
    <t>By Voltage Level, Type and Location</t>
  </si>
  <si>
    <t>110kV - NFM (David Penington)</t>
  </si>
  <si>
    <t>33kV – Based on “typical system”</t>
  </si>
  <si>
    <t>11kV – Reliability Intranet Site</t>
  </si>
  <si>
    <t>Total No. of Feeders</t>
  </si>
  <si>
    <t>Per Building Block Drawings within workbook</t>
  </si>
  <si>
    <t>zone capacity for 110/10 as a % of total</t>
  </si>
  <si>
    <t>System Peak Demand</t>
  </si>
  <si>
    <t>By Tariff Class</t>
  </si>
  <si>
    <t>Anytime Max Demand</t>
  </si>
  <si>
    <t>DCOS Model</t>
  </si>
  <si>
    <t>2013-14 Consumption</t>
  </si>
  <si>
    <t>GWh, by Tariff Class</t>
  </si>
  <si>
    <t>Standard Estimates</t>
  </si>
  <si>
    <t>By Type (OH/UG)</t>
  </si>
  <si>
    <t>As published by AEMO for Queensland 1 July 2018</t>
  </si>
  <si>
    <t>Customer Numbers</t>
  </si>
  <si>
    <t>Assets</t>
  </si>
  <si>
    <t>2012/13</t>
  </si>
  <si>
    <t>2013/14</t>
  </si>
  <si>
    <t>2014/15</t>
  </si>
  <si>
    <t>2015/16</t>
  </si>
  <si>
    <t>2016/17</t>
  </si>
  <si>
    <t>DAPR 2017/18-2021/22</t>
  </si>
  <si>
    <t>2017 DAPR</t>
  </si>
  <si>
    <t>1.  General</t>
  </si>
  <si>
    <t>2.  Distribution Loss Factors</t>
  </si>
  <si>
    <t>3.  Feeder Data and Calculations</t>
  </si>
  <si>
    <t>Input Parameters - for network model</t>
  </si>
  <si>
    <t>Real vanilla WACC 2018/19 March 2018 update</t>
  </si>
  <si>
    <t>Legend</t>
  </si>
  <si>
    <t>Trans</t>
  </si>
  <si>
    <t>132, 110kV</t>
  </si>
  <si>
    <t>ST</t>
  </si>
  <si>
    <t>66, 33kV</t>
  </si>
  <si>
    <t>HV</t>
  </si>
  <si>
    <t>22, 11kV</t>
  </si>
  <si>
    <t>400, 230V</t>
  </si>
  <si>
    <t>Other</t>
  </si>
  <si>
    <t>Residential</t>
  </si>
  <si>
    <t>Street Lights</t>
  </si>
  <si>
    <t>Poles</t>
  </si>
  <si>
    <t>33 kV</t>
  </si>
  <si>
    <t>132/110 kV</t>
  </si>
  <si>
    <t>Other Equipment</t>
  </si>
  <si>
    <t>Cables km</t>
  </si>
  <si>
    <t>Lines km</t>
  </si>
  <si>
    <t>Total OH and UG</t>
  </si>
  <si>
    <t>Opex rate</t>
  </si>
  <si>
    <t>Assets
$/kW/yr</t>
  </si>
  <si>
    <t>110 kV</t>
  </si>
  <si>
    <t>Calculations - LRIC Model - Asset Costs</t>
  </si>
  <si>
    <t>Pre Tax Real WACC</t>
  </si>
  <si>
    <t>AER PTRM</t>
  </si>
  <si>
    <t>D7</t>
  </si>
  <si>
    <t>D8</t>
  </si>
  <si>
    <t>% of ORC as Opex</t>
  </si>
  <si>
    <t>500MW - as per UK.  Does not affect outcomes.</t>
  </si>
  <si>
    <t>Total LV Feeder Length</t>
  </si>
  <si>
    <t>Revised and updated.</t>
  </si>
  <si>
    <t>LRIC Model Notes</t>
  </si>
  <si>
    <t xml:space="preserve">In the UK, distribution companies use a Common Distribution Charging Model (CDCM) or a ‘500MW model’ as the foundation for setting distribution tariffs. This model calculates costs on a long run incremental cost (LRIC) basis.  
The model represents a hypothetical, independent network which is designed as an extension to the existing network and reflects the configuration and geographic characteristics of the existing network.  The model is designed such that it is capable of supplying 500MW of diversified demand at each voltage level (note that this level of demand is adjustable).
Under the National Electricity Rules, Distributors must base their tariffs on the LRMC od supply.  Current models for LRMC are based on the average incremental cost (AIC) approach, which uses forecast demand and expense .  This approach is widely used by other Australian distributors, however it may not produce reliable results when demand is expected to stabilise or decrease.
The development of a LRIC model for Energex will allow the LRMC to be calculated independently of future demand and expenditure, leading to a more stable estimate over time that truly reflects long run considerations.  </t>
  </si>
  <si>
    <t>2013-14 Power Factor lower limit</t>
  </si>
  <si>
    <t xml:space="preserve">source: </t>
  </si>
  <si>
    <t>Total Asset Cost</t>
  </si>
  <si>
    <t>Proportion</t>
  </si>
  <si>
    <t>4.  Contributed assets</t>
  </si>
  <si>
    <t>5.  Feeder lengths</t>
  </si>
  <si>
    <t>6.  Substation Data</t>
  </si>
  <si>
    <t>Proportion contributed</t>
  </si>
  <si>
    <t>Adjusted for contributed assets</t>
  </si>
  <si>
    <t>Calculations - LRIC Model - $/kW Rates by Voltage Level</t>
  </si>
  <si>
    <t>HV Bus</t>
  </si>
  <si>
    <t>HV line</t>
  </si>
  <si>
    <t>LV Bus</t>
  </si>
  <si>
    <t>LRMC 
$/kW/annum</t>
  </si>
  <si>
    <t>LRMC 
$/kVA/annum</t>
  </si>
  <si>
    <t>Total $/yr</t>
  </si>
  <si>
    <t>- 500MW capacity at individual grid supply point (TNCP) level
- design of a hypothetical network on a greenfield site
- based on current network configuration
- incorporates modern equivalent assets
- no embedded generation
- no spare capacity for future growth
- emergency ratings can be used in fault or outage situations
- the proportion of UG and OH assets at each network level reflects current Ergon average
- average lengths of overhead and underground cable are used at each voltage level
- based on shared assets only, no customer specific assets are included
- unit costs using normal procurement methods, based on Ergon standard estimates
- unit costs reflect total purchase and installation, including building and civil works and overheads
- land costs are not included</t>
  </si>
  <si>
    <t>Inputs - network configuration</t>
  </si>
  <si>
    <t>Inputs - tariff class</t>
  </si>
  <si>
    <r>
      <t xml:space="preserve">Inputs for the LRIC network model calculations are entered.
</t>
    </r>
    <r>
      <rPr>
        <b/>
        <sz val="10"/>
        <color rgb="FF0070C0"/>
        <rFont val="Consolas"/>
        <family val="2"/>
      </rPr>
      <t>Blue figures</t>
    </r>
    <r>
      <rPr>
        <sz val="10"/>
        <rFont val="Consolas"/>
        <family val="2"/>
      </rPr>
      <t xml:space="preserve"> represent a data entry field.</t>
    </r>
  </si>
  <si>
    <r>
      <t xml:space="preserve">Tariff class data for the network is entered, including demand, energy, power factors.
</t>
    </r>
    <r>
      <rPr>
        <b/>
        <sz val="10"/>
        <color rgb="FF0070C0"/>
        <rFont val="Consolas"/>
        <family val="2"/>
      </rPr>
      <t>Blue figures</t>
    </r>
    <r>
      <rPr>
        <sz val="10"/>
        <rFont val="Consolas"/>
        <family val="2"/>
      </rPr>
      <t xml:space="preserve"> represent a data entry field.</t>
    </r>
  </si>
  <si>
    <t>Standard estimates are sourced from internal data or the annual RIN.
The assumed capacity for each transformer is provided.</t>
  </si>
  <si>
    <t>Calcs - LRIC - Asset costs</t>
  </si>
  <si>
    <t>Standard estimates and key assumptions used to calculate the total asset cost (in $) for the hypothetical 500MW network.</t>
  </si>
  <si>
    <t>Calcs - LRIC - $kW by voltage</t>
  </si>
  <si>
    <t>2018/19 DLF</t>
  </si>
  <si>
    <t>System demand</t>
  </si>
  <si>
    <t>MW</t>
  </si>
  <si>
    <t>Proportion based on MW</t>
  </si>
  <si>
    <r>
      <t xml:space="preserve">LRIC Model </t>
    </r>
    <r>
      <rPr>
        <b/>
        <sz val="11"/>
        <color indexed="9"/>
        <rFont val="Consolas"/>
        <family val="2"/>
      </rPr>
      <t>$/kW/yr</t>
    </r>
  </si>
  <si>
    <t>ICC 11kV Bus</t>
  </si>
  <si>
    <t>Percentage of maximum</t>
  </si>
  <si>
    <t>2013/14 Consumption GWh</t>
  </si>
  <si>
    <t>Class</t>
  </si>
  <si>
    <t>Pricing zone</t>
  </si>
  <si>
    <t>Voltage level</t>
  </si>
  <si>
    <t>Average</t>
  </si>
  <si>
    <t>pf</t>
  </si>
  <si>
    <t>MVA</t>
  </si>
  <si>
    <t>System</t>
  </si>
  <si>
    <t>South East</t>
  </si>
  <si>
    <t>132/110kV</t>
  </si>
  <si>
    <t>22/11kV Bus</t>
  </si>
  <si>
    <t>22/11kV Line</t>
  </si>
  <si>
    <t>CAC</t>
  </si>
  <si>
    <t>Summer 2017/18 demands</t>
  </si>
  <si>
    <t>2013/14 Load Factor</t>
  </si>
  <si>
    <t>Loss Load Factor 30%*LF + 70%*LF^2</t>
  </si>
  <si>
    <t>2017/18 demand at system peak MW</t>
  </si>
  <si>
    <t>Peak Loss at system peak demand</t>
  </si>
  <si>
    <t>System peak</t>
  </si>
  <si>
    <t>Loss discrepancy</t>
  </si>
  <si>
    <t>LV adjustment</t>
  </si>
  <si>
    <t>Calculations for 2017/18</t>
  </si>
  <si>
    <t>2017/18
Anytime Max Demand MW</t>
  </si>
  <si>
    <t>SAC Demand LV Line</t>
  </si>
  <si>
    <t>SAC Non Demand LV Line</t>
  </si>
  <si>
    <t>2017/18 Demand at System Peak MW</t>
  </si>
  <si>
    <t>2017/18 Demand on 110/11
MW</t>
  </si>
  <si>
    <t>2017/18 Demand on 110/33
MW</t>
  </si>
  <si>
    <t>2017/18 Demand on 33/11
MW</t>
  </si>
  <si>
    <t>SAC Demand LV Bus</t>
  </si>
  <si>
    <t>Subtransmission</t>
  </si>
  <si>
    <t>High Voltage</t>
  </si>
  <si>
    <t>Low voltage</t>
  </si>
  <si>
    <t>Rates for comparison with 2015</t>
  </si>
  <si>
    <t>Voltage level LRMC rates based on Coincident MD estimate</t>
  </si>
  <si>
    <t>2017/18 ATMD MW scaled</t>
  </si>
  <si>
    <t>Split</t>
  </si>
  <si>
    <t>Voltage level LRMC rates based on ATMD estimate</t>
  </si>
  <si>
    <t>LV total length km</t>
  </si>
  <si>
    <t>CPI</t>
  </si>
  <si>
    <t>CPI estimate as per PTRM.</t>
  </si>
  <si>
    <t>Calculation base date</t>
  </si>
  <si>
    <t>To align with tariff submission.</t>
  </si>
  <si>
    <t>Valuation</t>
  </si>
  <si>
    <t>Escalation</t>
  </si>
  <si>
    <t>CPI index 30 Jun 2015</t>
  </si>
  <si>
    <t>CPI index 30 Jun 2018</t>
  </si>
  <si>
    <t>Estimate</t>
  </si>
  <si>
    <t>Asset Life</t>
  </si>
  <si>
    <t>Asset</t>
  </si>
  <si>
    <t>Life</t>
  </si>
  <si>
    <t>Asset Class Name</t>
  </si>
  <si>
    <t>OH Sub-transmission lines</t>
  </si>
  <si>
    <t>UG Sub-transmission cables</t>
  </si>
  <si>
    <t>OH Distribution Lines</t>
  </si>
  <si>
    <t>UG Distribution Cables</t>
  </si>
  <si>
    <t>Distribution Equipment</t>
  </si>
  <si>
    <t>Substation Bays</t>
  </si>
  <si>
    <t>Substation Establishment</t>
  </si>
  <si>
    <t>Distribution Substation Switchgear</t>
  </si>
  <si>
    <t>Zone Transformers</t>
  </si>
  <si>
    <t>PTRM</t>
  </si>
  <si>
    <t>Weighted Average Lives</t>
  </si>
  <si>
    <t>Standard</t>
  </si>
  <si>
    <t>R8:R17</t>
  </si>
  <si>
    <t>E8:E25</t>
  </si>
  <si>
    <t>Asset standard lives</t>
  </si>
  <si>
    <t>Estimated unit costs</t>
  </si>
  <si>
    <t>Inputs – network configuration</t>
  </si>
  <si>
    <t>CPI (estimated)</t>
  </si>
  <si>
    <t>D9</t>
  </si>
  <si>
    <t>Date at which calculated prices are to apply</t>
  </si>
  <si>
    <t>D10</t>
  </si>
  <si>
    <t>D12-D15</t>
  </si>
  <si>
    <t>D20:D25</t>
  </si>
  <si>
    <t>D31:E38</t>
  </si>
  <si>
    <t>D41:E41</t>
  </si>
  <si>
    <t>D47:D49</t>
  </si>
  <si>
    <t>Proportion of contributed assets</t>
  </si>
  <si>
    <t>For HV and LV</t>
  </si>
  <si>
    <t>Estimated</t>
  </si>
  <si>
    <t>Estimated from capital contributions policy</t>
  </si>
  <si>
    <t>D63</t>
  </si>
  <si>
    <t>From RIN</t>
  </si>
  <si>
    <t>D66:F74</t>
  </si>
  <si>
    <t>Urban/rural split</t>
  </si>
  <si>
    <t>Proportions for substation type</t>
  </si>
  <si>
    <t>F54:F58</t>
  </si>
  <si>
    <t>H7:H14</t>
  </si>
  <si>
    <t>F7:F14</t>
  </si>
  <si>
    <t>Original estimates indexed by CPI</t>
  </si>
  <si>
    <t>F30:F38</t>
  </si>
  <si>
    <t>D30:D38</t>
  </si>
  <si>
    <t>Rules</t>
  </si>
  <si>
    <t>M18</t>
  </si>
  <si>
    <t>2017/18  Max Demand</t>
  </si>
  <si>
    <t>Calcs - Energex TC</t>
  </si>
  <si>
    <t>date</t>
  </si>
  <si>
    <t>Inputs – tariff class</t>
  </si>
  <si>
    <t>Asset weighted average lives added.</t>
  </si>
  <si>
    <t>Asset escalation added.</t>
  </si>
  <si>
    <t>v16</t>
  </si>
  <si>
    <t>Avg Feeder Lengths (km)</t>
  </si>
  <si>
    <t>Unit Cost</t>
  </si>
  <si>
    <t>Build blk cap MW</t>
  </si>
  <si>
    <t>Cap MW</t>
  </si>
  <si>
    <t>No.</t>
  </si>
  <si>
    <t>Wgtd Avg 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</si>
</sst>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quot;$&quot;#,##0"/>
    <numFmt numFmtId="42" formatCode="_-&quot;$&quot;* #,##0_-;\-&quot;$&quot;* #,##0_-;_-&quot;$&quot;* &quot;-&quot;_-;_-@_-"/>
    <numFmt numFmtId="44" formatCode="_-&quot;$&quot;* #,##0.00_-;\-&quot;$&quot;* #,##0.00_-;_-&quot;$&quot;* &quot;-&quot;??_-;_-@_-"/>
    <numFmt numFmtId="43" formatCode="_-* #,##0.00_-;\-* #,##0.00_-;_-* &quot;-&quot;??_-;_-@_-"/>
    <numFmt numFmtId="164" formatCode="&quot;$&quot;#,##0_);\(&quot;$&quot;#,##0\)"/>
    <numFmt numFmtId="165" formatCode="0.0%"/>
    <numFmt numFmtId="166" formatCode="0.0"/>
    <numFmt numFmtId="167" formatCode="0.000"/>
    <numFmt numFmtId="168" formatCode="&quot;$&quot;#,##0"/>
    <numFmt numFmtId="169" formatCode="#,##0_ ;\-#,##0\ "/>
    <numFmt numFmtId="170" formatCode="0.0000"/>
    <numFmt numFmtId="171" formatCode="_-&quot;$&quot;* #,##0_-;\-&quot;$&quot;* #,##0_-;_-&quot;$&quot;* &quot;-&quot;??_-;_-@_-"/>
    <numFmt numFmtId="172" formatCode="_-[$£-809]* #,##0_-;\-[$£-809]* #,##0_-;_-[$£-809]* &quot;-&quot;_-;_-@_-"/>
    <numFmt numFmtId="173" formatCode="[$-C09]dd\-mmm\-yyyy;@"/>
    <numFmt numFmtId="174" formatCode="#,##0.0"/>
    <numFmt numFmtId="175" formatCode="d\-mmm\-yyyy"/>
    <numFmt numFmtId="176" formatCode="[$-C09]dd\-mmm\-yy;@"/>
    <numFmt numFmtId="177" formatCode="0.000_);\(0.000\)"/>
    <numFmt numFmtId="178" formatCode="&quot;$&quot;#,##0.0000"/>
  </numFmts>
  <fonts count="68" x14ac:knownFonts="1">
    <font>
      <sz val="10"/>
      <name val="Arial"/>
    </font>
    <font>
      <sz val="11"/>
      <color theme="1"/>
      <name val="Consolas"/>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1"/>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11"/>
      <color indexed="56"/>
      <name val="Arial"/>
      <family val="2"/>
    </font>
    <font>
      <u/>
      <sz val="10"/>
      <color indexed="39"/>
      <name val="Arial"/>
      <family val="2"/>
    </font>
    <font>
      <sz val="11"/>
      <color indexed="62"/>
      <name val="Calibri"/>
      <family val="2"/>
    </font>
    <font>
      <sz val="11"/>
      <color indexed="51"/>
      <name val="Calibri"/>
      <family val="2"/>
    </font>
    <font>
      <sz val="11"/>
      <color indexed="60"/>
      <name val="Calibri"/>
      <family val="2"/>
    </font>
    <font>
      <sz val="10"/>
      <color indexed="8"/>
      <name val="Arial"/>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10"/>
      <color theme="10"/>
      <name val="Arial"/>
      <family val="2"/>
    </font>
    <font>
      <sz val="11"/>
      <color rgb="FF0432FF"/>
      <name val="Consolas"/>
      <family val="2"/>
    </font>
    <font>
      <b/>
      <sz val="11"/>
      <color theme="0"/>
      <name val="Consolas"/>
      <family val="2"/>
    </font>
    <font>
      <sz val="11"/>
      <name val="Consolas"/>
      <family val="2"/>
    </font>
    <font>
      <sz val="11"/>
      <color rgb="FF0070C0"/>
      <name val="Consolas"/>
      <family val="2"/>
    </font>
    <font>
      <sz val="11"/>
      <color rgb="FF0081C3"/>
      <name val="Consolas"/>
      <family val="2"/>
    </font>
    <font>
      <b/>
      <sz val="11"/>
      <color indexed="9"/>
      <name val="Consolas"/>
      <family val="2"/>
    </font>
    <font>
      <b/>
      <sz val="11"/>
      <name val="Consolas"/>
      <family val="2"/>
    </font>
    <font>
      <sz val="11"/>
      <color rgb="FFFF0000"/>
      <name val="Consolas"/>
      <family val="2"/>
    </font>
    <font>
      <i/>
      <sz val="11"/>
      <name val="Consolas"/>
      <family val="2"/>
    </font>
    <font>
      <b/>
      <u/>
      <sz val="11"/>
      <name val="Consolas"/>
      <family val="2"/>
    </font>
    <font>
      <i/>
      <sz val="11"/>
      <color rgb="FFFF0000"/>
      <name val="Consolas"/>
      <family val="2"/>
    </font>
    <font>
      <u/>
      <sz val="11"/>
      <color theme="10"/>
      <name val="Consolas"/>
      <family val="2"/>
    </font>
    <font>
      <b/>
      <sz val="11"/>
      <color rgb="FFFF0000"/>
      <name val="Consolas"/>
      <family val="2"/>
    </font>
    <font>
      <b/>
      <i/>
      <sz val="11"/>
      <color theme="1" tint="0.249977111117893"/>
      <name val="Consolas"/>
      <family val="2"/>
    </font>
    <font>
      <i/>
      <sz val="11"/>
      <color theme="1" tint="0.249977111117893"/>
      <name val="Consolas"/>
      <family val="2"/>
    </font>
    <font>
      <b/>
      <i/>
      <sz val="11"/>
      <name val="Consolas"/>
      <family val="2"/>
    </font>
    <font>
      <sz val="10"/>
      <name val="Consolas"/>
      <family val="2"/>
    </font>
    <font>
      <b/>
      <sz val="14"/>
      <name val="Consolas"/>
      <family val="2"/>
    </font>
    <font>
      <b/>
      <sz val="12"/>
      <name val="Consolas"/>
      <family val="2"/>
    </font>
    <font>
      <b/>
      <sz val="10"/>
      <name val="Consolas"/>
      <family val="2"/>
    </font>
    <font>
      <b/>
      <sz val="10"/>
      <color theme="0"/>
      <name val="Consolas"/>
      <family val="2"/>
    </font>
    <font>
      <sz val="10"/>
      <color rgb="FFFF0000"/>
      <name val="Consolas"/>
      <family val="2"/>
    </font>
    <font>
      <b/>
      <sz val="10"/>
      <color rgb="FFFF0000"/>
      <name val="Consolas"/>
      <family val="2"/>
    </font>
    <font>
      <b/>
      <i/>
      <sz val="10"/>
      <name val="Consolas"/>
      <family val="2"/>
    </font>
    <font>
      <sz val="12"/>
      <name val="Consolas"/>
      <family val="2"/>
    </font>
    <font>
      <b/>
      <sz val="10"/>
      <color rgb="FF0070C0"/>
      <name val="Consolas"/>
      <family val="2"/>
    </font>
    <font>
      <b/>
      <sz val="10"/>
      <color rgb="FF00B050"/>
      <name val="Consolas"/>
      <family val="2"/>
    </font>
    <font>
      <b/>
      <sz val="10"/>
      <color theme="9" tint="-0.249977111117893"/>
      <name val="Consolas"/>
      <family val="2"/>
    </font>
    <font>
      <b/>
      <sz val="10"/>
      <color rgb="FF7030A0"/>
      <name val="Consolas"/>
      <family val="2"/>
    </font>
    <font>
      <b/>
      <sz val="9"/>
      <color rgb="FF000000"/>
      <name val="Tahoma"/>
      <family val="2"/>
    </font>
    <font>
      <sz val="9"/>
      <color rgb="FF000000"/>
      <name val="Tahoma"/>
      <family val="2"/>
    </font>
    <font>
      <sz val="11"/>
      <color rgb="FF0070C1"/>
      <name val="Consolas"/>
      <family val="2"/>
    </font>
    <font>
      <b/>
      <sz val="11"/>
      <color rgb="FF0070C1"/>
      <name val="Consolas"/>
      <family val="2"/>
    </font>
    <font>
      <b/>
      <sz val="11"/>
      <color rgb="FF0070C0"/>
      <name val="Consolas"/>
      <family val="2"/>
    </font>
    <font>
      <sz val="11"/>
      <color theme="0"/>
      <name val="Consolas"/>
      <family val="2"/>
    </font>
    <font>
      <sz val="11"/>
      <color theme="1" tint="4.9989318521683403E-2"/>
      <name val="Consolas"/>
      <family val="2"/>
    </font>
    <font>
      <b/>
      <i/>
      <sz val="11"/>
      <color theme="0"/>
      <name val="Consolas"/>
      <family val="2"/>
    </font>
    <font>
      <i/>
      <sz val="11"/>
      <color theme="0"/>
      <name val="Consolas"/>
      <family val="2"/>
    </font>
    <font>
      <i/>
      <sz val="11"/>
      <color rgb="FF00B050"/>
      <name val="Consolas"/>
      <family val="2"/>
    </font>
    <font>
      <b/>
      <sz val="11"/>
      <color theme="1"/>
      <name val="Consolas"/>
      <family val="2"/>
    </font>
    <font>
      <b/>
      <sz val="11"/>
      <color rgb="FF000000"/>
      <name val="Consolas"/>
      <family val="2"/>
    </font>
    <font>
      <i/>
      <sz val="11"/>
      <color theme="1"/>
      <name val="Consolas"/>
      <family val="2"/>
    </font>
    <font>
      <b/>
      <sz val="11"/>
      <color rgb="FFFFFF00"/>
      <name val="Consolas"/>
      <family val="2"/>
    </font>
  </fonts>
  <fills count="26">
    <fill>
      <patternFill patternType="none"/>
    </fill>
    <fill>
      <patternFill patternType="gray125"/>
    </fill>
    <fill>
      <patternFill patternType="solid">
        <fgColor indexed="22"/>
      </patternFill>
    </fill>
    <fill>
      <patternFill patternType="solid">
        <fgColor indexed="47"/>
      </patternFill>
    </fill>
    <fill>
      <patternFill patternType="solid">
        <fgColor indexed="26"/>
      </patternFill>
    </fill>
    <fill>
      <patternFill patternType="solid">
        <fgColor indexed="27"/>
      </patternFill>
    </fill>
    <fill>
      <patternFill patternType="solid">
        <fgColor indexed="29"/>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2"/>
      </patternFill>
    </fill>
    <fill>
      <patternFill patternType="solid">
        <fgColor rgb="FF0081C3"/>
        <bgColor indexed="64"/>
      </patternFill>
    </fill>
    <fill>
      <patternFill patternType="solid">
        <fgColor theme="0" tint="-0.14999847407452621"/>
        <bgColor indexed="64"/>
      </patternFill>
    </fill>
    <fill>
      <patternFill patternType="darkUp">
        <fgColor theme="0" tint="-0.24994659260841701"/>
        <bgColor theme="0" tint="-4.9989318521683403E-2"/>
      </patternFill>
    </fill>
    <fill>
      <patternFill patternType="solid">
        <fgColor rgb="FFFFFF0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0070C1"/>
        <bgColor indexed="64"/>
      </patternFill>
    </fill>
    <fill>
      <patternFill patternType="solid">
        <fgColor theme="4" tint="0.59999389629810485"/>
        <bgColor indexed="64"/>
      </patternFill>
    </fill>
    <fill>
      <patternFill patternType="solid">
        <fgColor rgb="FFFFC000"/>
        <bgColor indexed="64"/>
      </patternFill>
    </fill>
    <fill>
      <patternFill patternType="solid">
        <fgColor theme="7" tint="0.59999389629810485"/>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medium">
        <color indexed="49"/>
      </bottom>
      <diagonal/>
    </border>
    <border>
      <left/>
      <right/>
      <top/>
      <bottom style="double">
        <color indexed="5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auto="1"/>
      </top>
      <bottom/>
      <diagonal/>
    </border>
    <border>
      <left style="double">
        <color auto="1"/>
      </left>
      <right style="thin">
        <color indexed="64"/>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s>
  <cellStyleXfs count="5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7" fillId="2" borderId="1" applyNumberFormat="0" applyAlignment="0" applyProtection="0"/>
    <xf numFmtId="0" fontId="8" fillId="9" borderId="2" applyNumberFormat="0" applyAlignment="0" applyProtection="0"/>
    <xf numFmtId="44" fontId="2" fillId="0" borderId="0" applyFont="0" applyFill="0" applyBorder="0" applyAlignment="0" applyProtection="0"/>
    <xf numFmtId="0" fontId="9" fillId="0" borderId="0" applyNumberFormat="0" applyFill="0" applyBorder="0" applyAlignment="0" applyProtection="0"/>
    <xf numFmtId="0" fontId="10" fillId="15" borderId="0" applyNumberFormat="0" applyBorder="0" applyAlignment="0" applyProtection="0"/>
    <xf numFmtId="0" fontId="11" fillId="0" borderId="3"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alignment vertical="top"/>
      <protection locked="0"/>
    </xf>
    <xf numFmtId="0" fontId="16" fillId="3" borderId="1" applyNumberFormat="0" applyAlignment="0" applyProtection="0"/>
    <xf numFmtId="0" fontId="17" fillId="0" borderId="5" applyNumberFormat="0" applyFill="0" applyAlignment="0" applyProtection="0"/>
    <xf numFmtId="0" fontId="18" fillId="3" borderId="0" applyNumberFormat="0" applyBorder="0" applyAlignment="0" applyProtection="0"/>
    <xf numFmtId="0" fontId="3" fillId="0" borderId="0"/>
    <xf numFmtId="0" fontId="19" fillId="0" borderId="0"/>
    <xf numFmtId="0" fontId="2" fillId="4" borderId="6" applyNumberFormat="0" applyFont="0" applyAlignment="0" applyProtection="0"/>
    <xf numFmtId="0" fontId="20" fillId="2" borderId="7" applyNumberFormat="0" applyAlignment="0" applyProtection="0"/>
    <xf numFmtId="9" fontId="2" fillId="0" borderId="0" applyFont="0" applyFill="0" applyBorder="0" applyAlignment="0" applyProtection="0"/>
    <xf numFmtId="9" fontId="19" fillId="0" borderId="0" applyFont="0" applyFill="0" applyBorder="0" applyAlignment="0" applyProtection="0"/>
    <xf numFmtId="0" fontId="21" fillId="0" borderId="0" applyNumberFormat="0" applyFill="0" applyBorder="0" applyAlignment="0" applyProtection="0"/>
    <xf numFmtId="0" fontId="22" fillId="0" borderId="8" applyNumberFormat="0" applyFill="0" applyAlignment="0" applyProtection="0"/>
    <xf numFmtId="0" fontId="23" fillId="0" borderId="0" applyNumberFormat="0" applyFill="0" applyBorder="0" applyAlignment="0" applyProtection="0"/>
    <xf numFmtId="43" fontId="2" fillId="0" borderId="0" applyFont="0" applyFill="0" applyBorder="0" applyAlignment="0" applyProtection="0"/>
    <xf numFmtId="0" fontId="3" fillId="0" borderId="0"/>
    <xf numFmtId="0" fontId="24" fillId="0" borderId="0" applyNumberFormat="0" applyFill="0" applyBorder="0" applyAlignment="0" applyProtection="0"/>
  </cellStyleXfs>
  <cellXfs count="751">
    <xf numFmtId="0" fontId="0" fillId="0" borderId="0" xfId="0"/>
    <xf numFmtId="0" fontId="25" fillId="0" borderId="0" xfId="0" applyFont="1"/>
    <xf numFmtId="0" fontId="26" fillId="16" borderId="16" xfId="0" applyFont="1" applyFill="1" applyBorder="1"/>
    <xf numFmtId="0" fontId="27" fillId="0" borderId="17" xfId="0" applyFont="1" applyBorder="1" applyAlignment="1">
      <alignment horizontal="left"/>
    </xf>
    <xf numFmtId="0" fontId="27" fillId="17" borderId="17" xfId="0" applyFont="1" applyFill="1" applyBorder="1"/>
    <xf numFmtId="0" fontId="27" fillId="17" borderId="9" xfId="0" applyFont="1" applyFill="1" applyBorder="1"/>
    <xf numFmtId="0" fontId="27" fillId="0" borderId="13" xfId="0" applyFont="1" applyFill="1" applyBorder="1"/>
    <xf numFmtId="0" fontId="27" fillId="0" borderId="11" xfId="0" applyFont="1" applyBorder="1" applyAlignment="1">
      <alignment horizontal="left"/>
    </xf>
    <xf numFmtId="0" fontId="27" fillId="17" borderId="11" xfId="0" applyFont="1" applyFill="1" applyBorder="1"/>
    <xf numFmtId="0" fontId="27" fillId="17" borderId="0" xfId="0" applyFont="1" applyFill="1" applyBorder="1"/>
    <xf numFmtId="0" fontId="27" fillId="0" borderId="14" xfId="0" applyFont="1" applyFill="1" applyBorder="1"/>
    <xf numFmtId="0" fontId="27" fillId="17" borderId="14" xfId="0" applyFont="1" applyFill="1" applyBorder="1"/>
    <xf numFmtId="0" fontId="27" fillId="0" borderId="12" xfId="0" applyFont="1" applyBorder="1" applyAlignment="1">
      <alignment horizontal="left"/>
    </xf>
    <xf numFmtId="0" fontId="27" fillId="17" borderId="15" xfId="0" applyFont="1" applyFill="1" applyBorder="1"/>
    <xf numFmtId="0" fontId="27" fillId="0" borderId="11" xfId="0" applyFont="1" applyFill="1" applyBorder="1" applyAlignment="1">
      <alignment horizontal="left"/>
    </xf>
    <xf numFmtId="0" fontId="27" fillId="0" borderId="14" xfId="0" applyFont="1" applyBorder="1"/>
    <xf numFmtId="0" fontId="27" fillId="0" borderId="19" xfId="0" applyFont="1" applyFill="1" applyBorder="1" applyAlignment="1">
      <alignment horizontal="left" vertical="center"/>
    </xf>
    <xf numFmtId="0" fontId="27" fillId="0" borderId="14" xfId="0" applyFont="1" applyFill="1" applyBorder="1" applyAlignment="1">
      <alignment wrapText="1"/>
    </xf>
    <xf numFmtId="0" fontId="27" fillId="0" borderId="19" xfId="0" applyFont="1" applyBorder="1" applyAlignment="1">
      <alignment vertical="center"/>
    </xf>
    <xf numFmtId="0" fontId="27" fillId="17" borderId="12" xfId="0" applyFont="1" applyFill="1" applyBorder="1"/>
    <xf numFmtId="0" fontId="27" fillId="17" borderId="10" xfId="0" applyFont="1" applyFill="1" applyBorder="1"/>
    <xf numFmtId="0" fontId="27" fillId="0" borderId="20" xfId="0" applyFont="1" applyBorder="1" applyAlignment="1">
      <alignment vertical="center"/>
    </xf>
    <xf numFmtId="0" fontId="27" fillId="0" borderId="9" xfId="0" applyFont="1" applyFill="1" applyBorder="1"/>
    <xf numFmtId="0" fontId="27" fillId="0" borderId="0" xfId="0" applyFont="1" applyFill="1" applyBorder="1"/>
    <xf numFmtId="0" fontId="27" fillId="0" borderId="0" xfId="0" applyFont="1"/>
    <xf numFmtId="165" fontId="27" fillId="0" borderId="0" xfId="45" applyNumberFormat="1" applyFont="1" applyFill="1" applyBorder="1"/>
    <xf numFmtId="0" fontId="26" fillId="16" borderId="23" xfId="0" applyFont="1" applyFill="1" applyBorder="1" applyAlignment="1">
      <alignment vertical="center" wrapText="1"/>
    </xf>
    <xf numFmtId="0" fontId="26" fillId="16" borderId="23" xfId="0" applyFont="1" applyFill="1" applyBorder="1" applyAlignment="1">
      <alignment horizontal="center" vertical="center" wrapText="1"/>
    </xf>
    <xf numFmtId="0" fontId="26" fillId="16" borderId="21" xfId="0" applyFont="1" applyFill="1" applyBorder="1" applyAlignment="1">
      <alignment horizontal="center" wrapText="1"/>
    </xf>
    <xf numFmtId="0" fontId="27" fillId="0" borderId="0" xfId="0" applyFont="1" applyAlignment="1">
      <alignment wrapText="1"/>
    </xf>
    <xf numFmtId="0" fontId="27" fillId="0" borderId="17" xfId="0" applyFont="1" applyFill="1" applyBorder="1" applyAlignment="1">
      <alignment horizontal="left" indent="1"/>
    </xf>
    <xf numFmtId="0" fontId="27" fillId="0" borderId="11" xfId="0" applyFont="1" applyFill="1" applyBorder="1" applyAlignment="1">
      <alignment horizontal="left" indent="1"/>
    </xf>
    <xf numFmtId="0" fontId="27" fillId="0" borderId="12" xfId="0" applyFont="1" applyFill="1" applyBorder="1" applyAlignment="1">
      <alignment horizontal="left" indent="1"/>
    </xf>
    <xf numFmtId="0" fontId="30" fillId="16" borderId="13" xfId="0" applyFont="1" applyFill="1" applyBorder="1" applyAlignment="1">
      <alignment horizontal="center" vertical="center" wrapText="1"/>
    </xf>
    <xf numFmtId="0" fontId="26" fillId="16" borderId="21" xfId="0" applyFont="1" applyFill="1" applyBorder="1" applyAlignment="1">
      <alignment horizontal="center" vertical="center" wrapText="1"/>
    </xf>
    <xf numFmtId="168" fontId="27" fillId="0" borderId="0" xfId="0" applyNumberFormat="1" applyFont="1" applyAlignment="1">
      <alignment horizontal="center"/>
    </xf>
    <xf numFmtId="168" fontId="27" fillId="0" borderId="0" xfId="0" applyNumberFormat="1" applyFont="1"/>
    <xf numFmtId="0" fontId="27" fillId="0" borderId="0" xfId="0" applyFont="1" applyAlignment="1">
      <alignment horizontal="right"/>
    </xf>
    <xf numFmtId="165" fontId="27" fillId="0" borderId="0" xfId="45" applyNumberFormat="1" applyFont="1"/>
    <xf numFmtId="0" fontId="31" fillId="0" borderId="0" xfId="0" applyFont="1"/>
    <xf numFmtId="0" fontId="27" fillId="0" borderId="10" xfId="0" applyFont="1" applyBorder="1"/>
    <xf numFmtId="0" fontId="27" fillId="0" borderId="17" xfId="0" applyFont="1" applyBorder="1"/>
    <xf numFmtId="0" fontId="27" fillId="0" borderId="11" xfId="0" applyFont="1" applyBorder="1"/>
    <xf numFmtId="0" fontId="27" fillId="0" borderId="12" xfId="0" applyFont="1" applyBorder="1"/>
    <xf numFmtId="0" fontId="27" fillId="20" borderId="0" xfId="0" applyFont="1" applyFill="1"/>
    <xf numFmtId="0" fontId="27" fillId="0" borderId="0" xfId="0" applyFont="1" applyFill="1"/>
    <xf numFmtId="0" fontId="27" fillId="0" borderId="0" xfId="0" applyFont="1" applyBorder="1"/>
    <xf numFmtId="0" fontId="27" fillId="0" borderId="0" xfId="0" applyFont="1" applyFill="1" applyBorder="1" applyAlignment="1">
      <alignment vertical="top"/>
    </xf>
    <xf numFmtId="0" fontId="35" fillId="0" borderId="0" xfId="0" applyFont="1"/>
    <xf numFmtId="0" fontId="27" fillId="0" borderId="9" xfId="0" applyFont="1" applyBorder="1"/>
    <xf numFmtId="0" fontId="27" fillId="0" borderId="0" xfId="0" applyFont="1" applyFill="1" applyBorder="1" applyAlignment="1"/>
    <xf numFmtId="0" fontId="36" fillId="0" borderId="0" xfId="52" applyFont="1"/>
    <xf numFmtId="0" fontId="26" fillId="16" borderId="16" xfId="0" applyFont="1" applyFill="1" applyBorder="1" applyAlignment="1">
      <alignment horizontal="center"/>
    </xf>
    <xf numFmtId="0" fontId="26" fillId="16" borderId="21" xfId="0" applyFont="1" applyFill="1" applyBorder="1" applyAlignment="1">
      <alignment horizontal="center"/>
    </xf>
    <xf numFmtId="0" fontId="27" fillId="0" borderId="0" xfId="0" applyFont="1" applyAlignment="1">
      <alignment horizontal="left"/>
    </xf>
    <xf numFmtId="0" fontId="31" fillId="0" borderId="0" xfId="0" applyFont="1" applyAlignment="1">
      <alignment horizontal="right"/>
    </xf>
    <xf numFmtId="0" fontId="27" fillId="0" borderId="0" xfId="0" applyFont="1" applyAlignment="1">
      <alignment horizontal="center"/>
    </xf>
    <xf numFmtId="0" fontId="26" fillId="16" borderId="17" xfId="0" applyFont="1" applyFill="1" applyBorder="1"/>
    <xf numFmtId="0" fontId="26" fillId="16" borderId="12" xfId="0" applyFont="1" applyFill="1" applyBorder="1"/>
    <xf numFmtId="0" fontId="27" fillId="17" borderId="0" xfId="0" applyFont="1" applyFill="1" applyBorder="1" applyAlignment="1">
      <alignment horizontal="right"/>
    </xf>
    <xf numFmtId="0" fontId="26" fillId="16" borderId="18" xfId="0" applyFont="1" applyFill="1" applyBorder="1" applyAlignment="1">
      <alignment horizontal="center"/>
    </xf>
    <xf numFmtId="0" fontId="26" fillId="16" borderId="20" xfId="0" applyFont="1" applyFill="1" applyBorder="1" applyAlignment="1">
      <alignment horizontal="center"/>
    </xf>
    <xf numFmtId="0" fontId="26" fillId="16" borderId="12" xfId="0" applyFont="1" applyFill="1" applyBorder="1" applyAlignment="1">
      <alignment horizontal="center"/>
    </xf>
    <xf numFmtId="0" fontId="26" fillId="16" borderId="15" xfId="0" applyFont="1" applyFill="1" applyBorder="1" applyAlignment="1">
      <alignment horizontal="center"/>
    </xf>
    <xf numFmtId="0" fontId="27" fillId="0" borderId="0" xfId="0" applyFont="1" applyBorder="1" applyAlignment="1">
      <alignment horizontal="right"/>
    </xf>
    <xf numFmtId="42" fontId="27" fillId="0" borderId="18" xfId="0" applyNumberFormat="1" applyFont="1" applyBorder="1"/>
    <xf numFmtId="42" fontId="27" fillId="0" borderId="19" xfId="0" applyNumberFormat="1" applyFont="1" applyBorder="1"/>
    <xf numFmtId="0" fontId="27" fillId="0" borderId="10" xfId="0" applyFont="1" applyBorder="1" applyAlignment="1">
      <alignment horizontal="right"/>
    </xf>
    <xf numFmtId="42" fontId="27" fillId="0" borderId="20" xfId="0" applyNumberFormat="1" applyFont="1" applyBorder="1"/>
    <xf numFmtId="0" fontId="27" fillId="0" borderId="9" xfId="0" applyFont="1" applyBorder="1" applyAlignment="1">
      <alignment horizontal="right"/>
    </xf>
    <xf numFmtId="42" fontId="27" fillId="0" borderId="13" xfId="0" applyNumberFormat="1" applyFont="1" applyBorder="1"/>
    <xf numFmtId="42" fontId="27" fillId="0" borderId="15" xfId="0" applyNumberFormat="1" applyFont="1" applyBorder="1"/>
    <xf numFmtId="0" fontId="27" fillId="0" borderId="0" xfId="0" applyFont="1" applyFill="1" applyBorder="1" applyAlignment="1">
      <alignment horizontal="right"/>
    </xf>
    <xf numFmtId="0" fontId="27" fillId="0" borderId="10" xfId="0" applyFont="1" applyFill="1" applyBorder="1" applyAlignment="1">
      <alignment horizontal="right"/>
    </xf>
    <xf numFmtId="42" fontId="31" fillId="0" borderId="0" xfId="0" applyNumberFormat="1" applyFont="1"/>
    <xf numFmtId="166" fontId="27" fillId="0" borderId="0" xfId="0" applyNumberFormat="1" applyFont="1"/>
    <xf numFmtId="0" fontId="26" fillId="16" borderId="13" xfId="0" applyFont="1" applyFill="1" applyBorder="1" applyAlignment="1">
      <alignment horizontal="center"/>
    </xf>
    <xf numFmtId="0" fontId="39" fillId="0" borderId="0" xfId="0" applyFont="1" applyFill="1" applyBorder="1"/>
    <xf numFmtId="172" fontId="39" fillId="0" borderId="0" xfId="0" applyNumberFormat="1" applyFont="1" applyFill="1" applyBorder="1"/>
    <xf numFmtId="42" fontId="27" fillId="0" borderId="14" xfId="0" applyNumberFormat="1" applyFont="1" applyBorder="1"/>
    <xf numFmtId="172" fontId="38" fillId="0" borderId="0" xfId="0" applyNumberFormat="1" applyFont="1" applyFill="1" applyBorder="1"/>
    <xf numFmtId="0" fontId="26" fillId="16" borderId="13" xfId="0" applyFont="1" applyFill="1" applyBorder="1" applyAlignment="1">
      <alignment horizontal="center"/>
    </xf>
    <xf numFmtId="0" fontId="31" fillId="0" borderId="0" xfId="0" applyFont="1" applyAlignment="1">
      <alignment vertical="top"/>
    </xf>
    <xf numFmtId="0" fontId="27" fillId="0" borderId="0" xfId="0" applyFont="1" applyAlignment="1">
      <alignment vertical="top"/>
    </xf>
    <xf numFmtId="0" fontId="32" fillId="0" borderId="0" xfId="0" applyFont="1" applyAlignment="1">
      <alignment vertical="top"/>
    </xf>
    <xf numFmtId="0" fontId="28" fillId="0" borderId="0" xfId="0" applyFont="1" applyBorder="1" applyAlignment="1">
      <alignment horizontal="center" vertical="top"/>
    </xf>
    <xf numFmtId="0" fontId="32" fillId="0" borderId="0" xfId="0" applyFont="1" applyFill="1" applyBorder="1" applyAlignment="1">
      <alignment vertical="top"/>
    </xf>
    <xf numFmtId="0" fontId="41" fillId="0" borderId="0" xfId="0" applyFont="1"/>
    <xf numFmtId="0" fontId="42" fillId="0" borderId="0" xfId="0" applyFont="1"/>
    <xf numFmtId="0" fontId="27" fillId="0" borderId="17" xfId="0" applyFont="1" applyFill="1" applyBorder="1" applyAlignment="1">
      <alignment vertical="top"/>
    </xf>
    <xf numFmtId="0" fontId="27" fillId="0" borderId="13" xfId="0" applyFont="1" applyFill="1" applyBorder="1" applyAlignment="1">
      <alignment vertical="top"/>
    </xf>
    <xf numFmtId="0" fontId="27" fillId="0" borderId="11" xfId="0" applyFont="1" applyFill="1" applyBorder="1" applyAlignment="1">
      <alignment vertical="top"/>
    </xf>
    <xf numFmtId="0" fontId="27" fillId="0" borderId="14" xfId="0" applyFont="1" applyFill="1" applyBorder="1" applyAlignment="1">
      <alignment vertical="top"/>
    </xf>
    <xf numFmtId="0" fontId="27" fillId="0" borderId="12" xfId="0" applyFont="1" applyFill="1" applyBorder="1" applyAlignment="1">
      <alignment vertical="top"/>
    </xf>
    <xf numFmtId="0" fontId="27" fillId="0" borderId="15" xfId="0" applyFont="1" applyFill="1" applyBorder="1" applyAlignment="1">
      <alignment vertical="top"/>
    </xf>
    <xf numFmtId="0" fontId="31" fillId="20" borderId="0" xfId="0" applyFont="1" applyFill="1" applyAlignment="1">
      <alignment horizontal="center"/>
    </xf>
    <xf numFmtId="3" fontId="27" fillId="20" borderId="0" xfId="0" applyNumberFormat="1" applyFont="1" applyFill="1"/>
    <xf numFmtId="0" fontId="27" fillId="0" borderId="0" xfId="0" applyFont="1" applyBorder="1" applyAlignment="1">
      <alignment vertical="top"/>
    </xf>
    <xf numFmtId="0" fontId="27" fillId="0" borderId="12" xfId="0" applyFont="1" applyBorder="1" applyAlignment="1">
      <alignment vertical="top"/>
    </xf>
    <xf numFmtId="168" fontId="27" fillId="21" borderId="22" xfId="0" applyNumberFormat="1" applyFont="1" applyFill="1" applyBorder="1" applyAlignment="1">
      <alignment horizontal="right" vertical="top"/>
    </xf>
    <xf numFmtId="0" fontId="37" fillId="0" borderId="0" xfId="0" applyFont="1" applyAlignment="1">
      <alignment vertical="top"/>
    </xf>
    <xf numFmtId="0" fontId="31" fillId="0" borderId="0" xfId="0" applyFont="1" applyAlignment="1">
      <alignment wrapText="1"/>
    </xf>
    <xf numFmtId="0" fontId="44" fillId="0" borderId="0" xfId="0" applyFont="1"/>
    <xf numFmtId="0" fontId="41" fillId="0" borderId="0" xfId="0" applyFont="1" applyBorder="1"/>
    <xf numFmtId="0" fontId="46" fillId="0" borderId="0" xfId="0" applyFont="1"/>
    <xf numFmtId="0" fontId="41" fillId="0" borderId="0" xfId="0" applyFont="1" applyFill="1" applyBorder="1"/>
    <xf numFmtId="0" fontId="41" fillId="0" borderId="0" xfId="0" applyFont="1" applyAlignment="1">
      <alignment horizontal="center"/>
    </xf>
    <xf numFmtId="0" fontId="44" fillId="0" borderId="0" xfId="0" applyFont="1" applyAlignment="1">
      <alignment horizontal="right"/>
    </xf>
    <xf numFmtId="0" fontId="48" fillId="0" borderId="0" xfId="0" applyFont="1"/>
    <xf numFmtId="0" fontId="41" fillId="0" borderId="0" xfId="0" applyFont="1" applyAlignment="1">
      <alignment horizontal="right"/>
    </xf>
    <xf numFmtId="0" fontId="47" fillId="0" borderId="0" xfId="0" applyFont="1"/>
    <xf numFmtId="0" fontId="43" fillId="0" borderId="22" xfId="0" applyFont="1" applyBorder="1" applyAlignment="1">
      <alignment vertical="center" wrapText="1"/>
    </xf>
    <xf numFmtId="0" fontId="43" fillId="0" borderId="21" xfId="0" applyFont="1" applyBorder="1" applyAlignment="1">
      <alignment horizontal="center" vertical="center"/>
    </xf>
    <xf numFmtId="0" fontId="43" fillId="0" borderId="22" xfId="0" applyFont="1" applyBorder="1" applyAlignment="1">
      <alignment vertical="center"/>
    </xf>
    <xf numFmtId="0" fontId="41" fillId="0" borderId="0" xfId="0" applyFont="1" applyAlignment="1">
      <alignment vertical="center"/>
    </xf>
    <xf numFmtId="0" fontId="43" fillId="0" borderId="18" xfId="0" applyFont="1" applyBorder="1"/>
    <xf numFmtId="0" fontId="43" fillId="0" borderId="13" xfId="0" applyFont="1" applyBorder="1" applyAlignment="1">
      <alignment horizontal="center"/>
    </xf>
    <xf numFmtId="0" fontId="43" fillId="0" borderId="9" xfId="0" applyFont="1" applyBorder="1" applyAlignment="1">
      <alignment horizontal="center"/>
    </xf>
    <xf numFmtId="0" fontId="49" fillId="0" borderId="0" xfId="0" applyFont="1"/>
    <xf numFmtId="0" fontId="49" fillId="0" borderId="19" xfId="0" applyFont="1" applyBorder="1"/>
    <xf numFmtId="0" fontId="41" fillId="0" borderId="11" xfId="0" applyFont="1" applyBorder="1"/>
    <xf numFmtId="0" fontId="41" fillId="0" borderId="14" xfId="0" applyFont="1" applyBorder="1"/>
    <xf numFmtId="9" fontId="41" fillId="0" borderId="0" xfId="0" applyNumberFormat="1" applyFont="1"/>
    <xf numFmtId="0" fontId="41" fillId="18" borderId="11" xfId="0" applyFont="1" applyFill="1" applyBorder="1"/>
    <xf numFmtId="0" fontId="41" fillId="18" borderId="0" xfId="0" applyFont="1" applyFill="1" applyBorder="1"/>
    <xf numFmtId="0" fontId="41" fillId="18" borderId="14" xfId="0" applyFont="1" applyFill="1" applyBorder="1"/>
    <xf numFmtId="9" fontId="41" fillId="18" borderId="11" xfId="0" applyNumberFormat="1" applyFont="1" applyFill="1" applyBorder="1"/>
    <xf numFmtId="9" fontId="41" fillId="18" borderId="0" xfId="0" applyNumberFormat="1" applyFont="1" applyFill="1" applyBorder="1"/>
    <xf numFmtId="9" fontId="41" fillId="18" borderId="14" xfId="0" applyNumberFormat="1" applyFont="1" applyFill="1" applyBorder="1"/>
    <xf numFmtId="1" fontId="41" fillId="0" borderId="14" xfId="0" applyNumberFormat="1" applyFont="1" applyBorder="1"/>
    <xf numFmtId="1" fontId="41" fillId="18" borderId="11" xfId="0" applyNumberFormat="1" applyFont="1" applyFill="1" applyBorder="1"/>
    <xf numFmtId="1" fontId="41" fillId="18" borderId="0" xfId="0" applyNumberFormat="1" applyFont="1" applyFill="1" applyBorder="1"/>
    <xf numFmtId="1" fontId="41" fillId="18" borderId="14" xfId="0" applyNumberFormat="1" applyFont="1" applyFill="1" applyBorder="1"/>
    <xf numFmtId="166" fontId="41" fillId="0" borderId="14" xfId="0" applyNumberFormat="1" applyFont="1" applyBorder="1"/>
    <xf numFmtId="2" fontId="41" fillId="18" borderId="11" xfId="0" applyNumberFormat="1" applyFont="1" applyFill="1" applyBorder="1"/>
    <xf numFmtId="2" fontId="41" fillId="18" borderId="0" xfId="0" applyNumberFormat="1" applyFont="1" applyFill="1" applyBorder="1"/>
    <xf numFmtId="2" fontId="41" fillId="18" borderId="14" xfId="0" applyNumberFormat="1" applyFont="1" applyFill="1" applyBorder="1"/>
    <xf numFmtId="166" fontId="41" fillId="0" borderId="0" xfId="0" applyNumberFormat="1" applyFont="1" applyBorder="1"/>
    <xf numFmtId="166" fontId="41" fillId="0" borderId="0" xfId="0" applyNumberFormat="1" applyFont="1"/>
    <xf numFmtId="0" fontId="49" fillId="0" borderId="20" xfId="0" applyFont="1" applyBorder="1"/>
    <xf numFmtId="0" fontId="41" fillId="0" borderId="12" xfId="0" applyFont="1" applyBorder="1"/>
    <xf numFmtId="0" fontId="41" fillId="0" borderId="10" xfId="0" applyFont="1" applyBorder="1"/>
    <xf numFmtId="0" fontId="41" fillId="0" borderId="15" xfId="0" applyFont="1" applyBorder="1"/>
    <xf numFmtId="0" fontId="41" fillId="18" borderId="12" xfId="0" applyFont="1" applyFill="1" applyBorder="1"/>
    <xf numFmtId="0" fontId="41" fillId="18" borderId="10" xfId="0" applyFont="1" applyFill="1" applyBorder="1"/>
    <xf numFmtId="0" fontId="41" fillId="18" borderId="15" xfId="0" applyFont="1" applyFill="1" applyBorder="1"/>
    <xf numFmtId="0" fontId="46" fillId="0" borderId="0" xfId="0" applyFont="1" applyFill="1" applyBorder="1"/>
    <xf numFmtId="9" fontId="41" fillId="0" borderId="14" xfId="0" applyNumberFormat="1" applyFont="1" applyBorder="1"/>
    <xf numFmtId="0" fontId="41" fillId="0" borderId="18" xfId="0" applyFont="1" applyBorder="1"/>
    <xf numFmtId="0" fontId="41" fillId="0" borderId="19" xfId="0" applyFont="1" applyBorder="1"/>
    <xf numFmtId="9" fontId="41" fillId="0" borderId="0" xfId="0" applyNumberFormat="1" applyFont="1" applyBorder="1"/>
    <xf numFmtId="1" fontId="41" fillId="0" borderId="0" xfId="0" applyNumberFormat="1" applyFont="1" applyBorder="1"/>
    <xf numFmtId="2" fontId="41" fillId="0" borderId="14" xfId="0" applyNumberFormat="1" applyFont="1" applyBorder="1"/>
    <xf numFmtId="2" fontId="41" fillId="0" borderId="0" xfId="0" applyNumberFormat="1" applyFont="1" applyBorder="1"/>
    <xf numFmtId="0" fontId="41" fillId="0" borderId="20" xfId="0" applyFont="1" applyBorder="1"/>
    <xf numFmtId="0" fontId="43" fillId="0" borderId="17" xfId="0" applyFont="1" applyBorder="1"/>
    <xf numFmtId="0" fontId="41" fillId="0" borderId="13" xfId="0" applyFont="1" applyBorder="1"/>
    <xf numFmtId="0" fontId="49" fillId="0" borderId="12" xfId="0" applyFont="1" applyBorder="1"/>
    <xf numFmtId="0" fontId="46" fillId="0" borderId="0" xfId="0" applyFont="1" applyFill="1"/>
    <xf numFmtId="9" fontId="46" fillId="0" borderId="0" xfId="0" applyNumberFormat="1" applyFont="1" applyFill="1"/>
    <xf numFmtId="171" fontId="28" fillId="0" borderId="9" xfId="29" applyNumberFormat="1" applyFont="1" applyFill="1" applyBorder="1"/>
    <xf numFmtId="171" fontId="28" fillId="0" borderId="0" xfId="29" applyNumberFormat="1" applyFont="1" applyFill="1" applyBorder="1"/>
    <xf numFmtId="171" fontId="28" fillId="0" borderId="10" xfId="29" applyNumberFormat="1" applyFont="1" applyFill="1" applyBorder="1"/>
    <xf numFmtId="0" fontId="27" fillId="17" borderId="13" xfId="0" applyFont="1" applyFill="1" applyBorder="1" applyAlignment="1">
      <alignment horizontal="right"/>
    </xf>
    <xf numFmtId="0" fontId="27" fillId="17" borderId="10" xfId="0" applyFont="1" applyFill="1" applyBorder="1" applyAlignment="1">
      <alignment horizontal="right"/>
    </xf>
    <xf numFmtId="0" fontId="27" fillId="17" borderId="15" xfId="0" applyFont="1" applyFill="1" applyBorder="1" applyAlignment="1">
      <alignment horizontal="right"/>
    </xf>
    <xf numFmtId="166" fontId="27" fillId="0" borderId="14" xfId="0" applyNumberFormat="1" applyFont="1" applyBorder="1" applyAlignment="1">
      <alignment horizontal="left" vertical="center"/>
    </xf>
    <xf numFmtId="166" fontId="27" fillId="0" borderId="15" xfId="0" applyNumberFormat="1" applyFont="1" applyBorder="1" applyAlignment="1">
      <alignment horizontal="left" vertical="center"/>
    </xf>
    <xf numFmtId="166" fontId="27" fillId="0" borderId="13" xfId="0" applyNumberFormat="1" applyFont="1" applyBorder="1" applyAlignment="1">
      <alignment horizontal="left" vertical="center"/>
    </xf>
    <xf numFmtId="166" fontId="27" fillId="0" borderId="11" xfId="0" applyNumberFormat="1" applyFont="1" applyBorder="1" applyAlignment="1">
      <alignment horizontal="right" vertical="center"/>
    </xf>
    <xf numFmtId="166" fontId="27" fillId="0" borderId="12" xfId="0" applyNumberFormat="1" applyFont="1" applyBorder="1" applyAlignment="1">
      <alignment horizontal="right" vertical="center"/>
    </xf>
    <xf numFmtId="166" fontId="27" fillId="0" borderId="17" xfId="0" applyNumberFormat="1" applyFont="1" applyBorder="1" applyAlignment="1">
      <alignment horizontal="right" vertical="center"/>
    </xf>
    <xf numFmtId="0" fontId="27" fillId="0" borderId="11" xfId="0" applyFont="1" applyBorder="1" applyAlignment="1">
      <alignment horizontal="right"/>
    </xf>
    <xf numFmtId="0" fontId="27" fillId="0" borderId="17" xfId="0" applyFont="1" applyBorder="1" applyAlignment="1">
      <alignment horizontal="right"/>
    </xf>
    <xf numFmtId="0" fontId="27" fillId="17" borderId="11" xfId="0" applyFont="1" applyFill="1" applyBorder="1" applyAlignment="1">
      <alignment horizontal="right"/>
    </xf>
    <xf numFmtId="0" fontId="27" fillId="17" borderId="12" xfId="0" applyFont="1" applyFill="1" applyBorder="1" applyAlignment="1">
      <alignment horizontal="right"/>
    </xf>
    <xf numFmtId="1" fontId="27" fillId="0" borderId="0" xfId="0" applyNumberFormat="1" applyFont="1" applyBorder="1" applyAlignment="1">
      <alignment horizontal="right"/>
    </xf>
    <xf numFmtId="1" fontId="27" fillId="0" borderId="9" xfId="0" applyNumberFormat="1" applyFont="1" applyBorder="1" applyAlignment="1">
      <alignment horizontal="right"/>
    </xf>
    <xf numFmtId="167" fontId="27" fillId="0" borderId="18" xfId="0" applyNumberFormat="1" applyFont="1" applyFill="1" applyBorder="1" applyAlignment="1">
      <alignment horizontal="right"/>
    </xf>
    <xf numFmtId="167" fontId="27" fillId="0" borderId="18" xfId="0" applyNumberFormat="1" applyFont="1" applyBorder="1" applyAlignment="1">
      <alignment horizontal="right"/>
    </xf>
    <xf numFmtId="166" fontId="27" fillId="0" borderId="17" xfId="0" applyNumberFormat="1" applyFont="1" applyFill="1" applyBorder="1" applyAlignment="1">
      <alignment horizontal="right" vertical="center"/>
    </xf>
    <xf numFmtId="2" fontId="27" fillId="0" borderId="20" xfId="0" applyNumberFormat="1" applyFont="1" applyFill="1" applyBorder="1" applyAlignment="1">
      <alignment horizontal="right"/>
    </xf>
    <xf numFmtId="2" fontId="27" fillId="0" borderId="20" xfId="0" applyNumberFormat="1" applyFont="1" applyBorder="1" applyAlignment="1">
      <alignment horizontal="right"/>
    </xf>
    <xf numFmtId="166" fontId="27" fillId="0" borderId="12" xfId="0" applyNumberFormat="1" applyFont="1" applyFill="1" applyBorder="1" applyAlignment="1">
      <alignment horizontal="right" vertical="center"/>
    </xf>
    <xf numFmtId="2" fontId="27" fillId="0" borderId="19" xfId="0" applyNumberFormat="1" applyFont="1" applyFill="1" applyBorder="1" applyAlignment="1">
      <alignment horizontal="right"/>
    </xf>
    <xf numFmtId="2" fontId="27" fillId="0" borderId="19" xfId="0" applyNumberFormat="1" applyFont="1" applyBorder="1" applyAlignment="1">
      <alignment horizontal="right"/>
    </xf>
    <xf numFmtId="166" fontId="27" fillId="0" borderId="19" xfId="0" applyNumberFormat="1" applyFont="1" applyFill="1" applyBorder="1" applyAlignment="1">
      <alignment horizontal="right" vertical="center"/>
    </xf>
    <xf numFmtId="166" fontId="27" fillId="0" borderId="19" xfId="0" applyNumberFormat="1" applyFont="1" applyFill="1" applyBorder="1" applyAlignment="1">
      <alignment horizontal="right"/>
    </xf>
    <xf numFmtId="166" fontId="27" fillId="0" borderId="20" xfId="0" applyNumberFormat="1" applyFont="1" applyFill="1" applyBorder="1" applyAlignment="1">
      <alignment horizontal="right"/>
    </xf>
    <xf numFmtId="166" fontId="27" fillId="0" borderId="18" xfId="0" applyNumberFormat="1" applyFont="1" applyFill="1" applyBorder="1" applyAlignment="1">
      <alignment horizontal="right" vertical="center"/>
    </xf>
    <xf numFmtId="0" fontId="27" fillId="17" borderId="18" xfId="0" applyFont="1" applyFill="1" applyBorder="1" applyAlignment="1">
      <alignment horizontal="right"/>
    </xf>
    <xf numFmtId="0" fontId="27" fillId="17" borderId="20" xfId="0" applyFont="1" applyFill="1" applyBorder="1" applyAlignment="1">
      <alignment horizontal="right"/>
    </xf>
    <xf numFmtId="0" fontId="28" fillId="0" borderId="0" xfId="0" applyFont="1" applyBorder="1" applyAlignment="1">
      <alignment horizontal="right"/>
    </xf>
    <xf numFmtId="0" fontId="28" fillId="0" borderId="9" xfId="0" applyFont="1" applyFill="1" applyBorder="1" applyAlignment="1">
      <alignment horizontal="right"/>
    </xf>
    <xf numFmtId="0" fontId="28" fillId="0" borderId="0" xfId="0" applyFont="1" applyFill="1" applyBorder="1" applyAlignment="1">
      <alignment horizontal="right"/>
    </xf>
    <xf numFmtId="166" fontId="27" fillId="0" borderId="10" xfId="0" applyNumberFormat="1" applyFont="1" applyBorder="1" applyAlignment="1">
      <alignment horizontal="right"/>
    </xf>
    <xf numFmtId="166" fontId="27" fillId="0" borderId="0" xfId="0" applyNumberFormat="1" applyFont="1" applyBorder="1" applyAlignment="1">
      <alignment horizontal="right"/>
    </xf>
    <xf numFmtId="3" fontId="27" fillId="0" borderId="17" xfId="0" applyNumberFormat="1" applyFont="1" applyBorder="1" applyAlignment="1">
      <alignment horizontal="right" vertical="center"/>
    </xf>
    <xf numFmtId="3" fontId="27" fillId="0" borderId="12" xfId="0" applyNumberFormat="1" applyFont="1" applyBorder="1" applyAlignment="1">
      <alignment horizontal="right" vertical="center"/>
    </xf>
    <xf numFmtId="170" fontId="27" fillId="0" borderId="11" xfId="0" applyNumberFormat="1" applyFont="1" applyFill="1" applyBorder="1" applyAlignment="1">
      <alignment horizontal="right"/>
    </xf>
    <xf numFmtId="1" fontId="27" fillId="0" borderId="14" xfId="0" applyNumberFormat="1" applyFont="1" applyBorder="1" applyAlignment="1">
      <alignment horizontal="right"/>
    </xf>
    <xf numFmtId="168" fontId="27" fillId="0" borderId="17" xfId="29" applyNumberFormat="1" applyFont="1" applyFill="1" applyBorder="1" applyAlignment="1" applyProtection="1">
      <alignment horizontal="right" vertical="center"/>
      <protection locked="0"/>
    </xf>
    <xf numFmtId="168" fontId="31" fillId="0" borderId="13" xfId="0" applyNumberFormat="1" applyFont="1" applyFill="1" applyBorder="1" applyAlignment="1">
      <alignment horizontal="right"/>
    </xf>
    <xf numFmtId="168" fontId="27" fillId="0" borderId="11" xfId="29" applyNumberFormat="1" applyFont="1" applyFill="1" applyBorder="1" applyAlignment="1" applyProtection="1">
      <alignment horizontal="right" vertical="center"/>
      <protection locked="0"/>
    </xf>
    <xf numFmtId="168" fontId="27" fillId="0" borderId="0" xfId="0" applyNumberFormat="1" applyFont="1" applyFill="1" applyBorder="1" applyAlignment="1">
      <alignment horizontal="right"/>
    </xf>
    <xf numFmtId="165" fontId="27" fillId="0" borderId="11" xfId="0" applyNumberFormat="1" applyFont="1" applyBorder="1" applyAlignment="1">
      <alignment horizontal="right"/>
    </xf>
    <xf numFmtId="168" fontId="27" fillId="0" borderId="0" xfId="29" applyNumberFormat="1" applyFont="1" applyFill="1" applyBorder="1" applyAlignment="1" applyProtection="1">
      <alignment horizontal="right" vertical="center"/>
      <protection locked="0"/>
    </xf>
    <xf numFmtId="168" fontId="27" fillId="0" borderId="14" xfId="0" applyNumberFormat="1" applyFont="1" applyFill="1" applyBorder="1" applyAlignment="1">
      <alignment horizontal="right"/>
    </xf>
    <xf numFmtId="168" fontId="31" fillId="0" borderId="14" xfId="0" applyNumberFormat="1" applyFont="1" applyFill="1" applyBorder="1" applyAlignment="1">
      <alignment horizontal="right"/>
    </xf>
    <xf numFmtId="165" fontId="27" fillId="0" borderId="11" xfId="45" applyNumberFormat="1" applyFont="1" applyBorder="1" applyAlignment="1">
      <alignment horizontal="right"/>
    </xf>
    <xf numFmtId="170" fontId="27" fillId="0" borderId="12" xfId="0" applyNumberFormat="1" applyFont="1" applyFill="1" applyBorder="1" applyAlignment="1">
      <alignment horizontal="right"/>
    </xf>
    <xf numFmtId="1" fontId="27" fillId="0" borderId="15" xfId="0" applyNumberFormat="1" applyFont="1" applyBorder="1" applyAlignment="1">
      <alignment horizontal="right"/>
    </xf>
    <xf numFmtId="168" fontId="27" fillId="0" borderId="12" xfId="29" applyNumberFormat="1" applyFont="1" applyFill="1" applyBorder="1" applyAlignment="1" applyProtection="1">
      <alignment horizontal="right" vertical="center"/>
      <protection locked="0"/>
    </xf>
    <xf numFmtId="165" fontId="27" fillId="0" borderId="12" xfId="0" applyNumberFormat="1" applyFont="1" applyBorder="1" applyAlignment="1">
      <alignment horizontal="right"/>
    </xf>
    <xf numFmtId="168" fontId="27" fillId="0" borderId="10" xfId="29" applyNumberFormat="1" applyFont="1" applyFill="1" applyBorder="1" applyAlignment="1" applyProtection="1">
      <alignment horizontal="right" vertical="center"/>
      <protection locked="0"/>
    </xf>
    <xf numFmtId="168" fontId="27" fillId="0" borderId="15" xfId="0" applyNumberFormat="1" applyFont="1" applyFill="1" applyBorder="1" applyAlignment="1">
      <alignment horizontal="right"/>
    </xf>
    <xf numFmtId="168" fontId="31" fillId="0" borderId="15" xfId="0" applyNumberFormat="1" applyFont="1" applyFill="1" applyBorder="1" applyAlignment="1">
      <alignment horizontal="right"/>
    </xf>
    <xf numFmtId="0" fontId="30" fillId="16" borderId="28" xfId="0" applyFont="1" applyFill="1" applyBorder="1" applyAlignment="1">
      <alignment horizontal="center" vertical="center" wrapText="1"/>
    </xf>
    <xf numFmtId="0" fontId="30" fillId="16" borderId="17" xfId="0" applyFont="1" applyFill="1" applyBorder="1" applyAlignment="1">
      <alignment horizontal="center" vertical="center" wrapText="1"/>
    </xf>
    <xf numFmtId="0" fontId="26" fillId="16" borderId="28" xfId="0" applyFont="1" applyFill="1" applyBorder="1" applyAlignment="1">
      <alignment horizontal="center" vertical="center" wrapText="1"/>
    </xf>
    <xf numFmtId="3" fontId="27" fillId="0" borderId="10" xfId="0" applyNumberFormat="1" applyFont="1" applyFill="1" applyBorder="1" applyAlignment="1">
      <alignment horizontal="right"/>
    </xf>
    <xf numFmtId="0" fontId="27" fillId="0" borderId="20" xfId="0" applyFont="1" applyBorder="1" applyAlignment="1">
      <alignment horizontal="left" vertical="center" wrapText="1"/>
    </xf>
    <xf numFmtId="0" fontId="27" fillId="0" borderId="27" xfId="0" applyFont="1" applyBorder="1" applyAlignment="1">
      <alignment horizontal="left" vertical="center" wrapText="1"/>
    </xf>
    <xf numFmtId="0" fontId="27" fillId="0" borderId="22" xfId="0" applyFont="1" applyBorder="1" applyAlignment="1">
      <alignment horizontal="left" vertical="center" wrapText="1"/>
    </xf>
    <xf numFmtId="0" fontId="27" fillId="0" borderId="25" xfId="0" applyFont="1" applyBorder="1" applyAlignment="1">
      <alignment horizontal="left" vertical="center" wrapText="1"/>
    </xf>
    <xf numFmtId="0" fontId="41" fillId="0" borderId="0" xfId="0" applyFont="1" applyAlignment="1">
      <alignment horizontal="left" vertical="top"/>
    </xf>
    <xf numFmtId="0" fontId="42" fillId="0" borderId="0" xfId="0" applyFont="1" applyAlignment="1">
      <alignment horizontal="left" vertical="top"/>
    </xf>
    <xf numFmtId="0" fontId="45" fillId="16" borderId="23" xfId="0" applyFont="1" applyFill="1" applyBorder="1" applyAlignment="1">
      <alignment horizontal="left" vertical="top"/>
    </xf>
    <xf numFmtId="0" fontId="45" fillId="16" borderId="16" xfId="0" applyFont="1" applyFill="1" applyBorder="1" applyAlignment="1">
      <alignment horizontal="left" vertical="top"/>
    </xf>
    <xf numFmtId="0" fontId="45" fillId="16" borderId="21" xfId="0" applyFont="1" applyFill="1" applyBorder="1" applyAlignment="1">
      <alignment horizontal="left" vertical="top"/>
    </xf>
    <xf numFmtId="166" fontId="41" fillId="0" borderId="17" xfId="0" applyNumberFormat="1" applyFont="1" applyBorder="1" applyAlignment="1">
      <alignment horizontal="left" vertical="top"/>
    </xf>
    <xf numFmtId="173" fontId="41" fillId="0" borderId="9" xfId="0" applyNumberFormat="1" applyFont="1" applyBorder="1" applyAlignment="1">
      <alignment horizontal="left" vertical="top"/>
    </xf>
    <xf numFmtId="0" fontId="41" fillId="0" borderId="13" xfId="0" applyFont="1" applyBorder="1" applyAlignment="1">
      <alignment horizontal="left" vertical="top"/>
    </xf>
    <xf numFmtId="166" fontId="41" fillId="0" borderId="11" xfId="0" applyNumberFormat="1" applyFont="1" applyBorder="1" applyAlignment="1">
      <alignment horizontal="left" vertical="top"/>
    </xf>
    <xf numFmtId="173" fontId="41" fillId="0" borderId="0" xfId="0" applyNumberFormat="1" applyFont="1" applyBorder="1" applyAlignment="1">
      <alignment horizontal="left" vertical="top"/>
    </xf>
    <xf numFmtId="0" fontId="41" fillId="0" borderId="14" xfId="0" applyFont="1" applyBorder="1" applyAlignment="1">
      <alignment horizontal="left" vertical="top"/>
    </xf>
    <xf numFmtId="0" fontId="41" fillId="0" borderId="14" xfId="0" applyFont="1" applyBorder="1" applyAlignment="1">
      <alignment horizontal="left" vertical="top" wrapText="1"/>
    </xf>
    <xf numFmtId="0" fontId="41" fillId="0" borderId="0" xfId="0" applyFont="1" applyBorder="1" applyAlignment="1">
      <alignment horizontal="left" vertical="top"/>
    </xf>
    <xf numFmtId="166" fontId="41" fillId="0" borderId="12" xfId="0" applyNumberFormat="1" applyFont="1" applyBorder="1" applyAlignment="1">
      <alignment horizontal="left" vertical="top"/>
    </xf>
    <xf numFmtId="0" fontId="41" fillId="0" borderId="10" xfId="0" applyFont="1" applyBorder="1" applyAlignment="1">
      <alignment horizontal="left" vertical="top"/>
    </xf>
    <xf numFmtId="0" fontId="41" fillId="0" borderId="15" xfId="0" applyFont="1" applyBorder="1" applyAlignment="1">
      <alignment horizontal="left" vertical="top"/>
    </xf>
    <xf numFmtId="0" fontId="41" fillId="0" borderId="0" xfId="0" applyFont="1" applyAlignment="1">
      <alignment vertical="top"/>
    </xf>
    <xf numFmtId="0" fontId="42" fillId="0" borderId="0" xfId="0" applyFont="1" applyAlignment="1">
      <alignment vertical="top"/>
    </xf>
    <xf numFmtId="0" fontId="41" fillId="0" borderId="0" xfId="0" applyFont="1" applyAlignment="1">
      <alignment vertical="top" wrapText="1"/>
    </xf>
    <xf numFmtId="0" fontId="50" fillId="0" borderId="17" xfId="0" applyFont="1" applyFill="1" applyBorder="1" applyAlignment="1">
      <alignment vertical="top"/>
    </xf>
    <xf numFmtId="0" fontId="50" fillId="0" borderId="11" xfId="0" applyFont="1" applyFill="1" applyBorder="1" applyAlignment="1">
      <alignment vertical="top"/>
    </xf>
    <xf numFmtId="0" fontId="51" fillId="0" borderId="11" xfId="0" applyFont="1" applyFill="1" applyBorder="1" applyAlignment="1">
      <alignment vertical="top"/>
    </xf>
    <xf numFmtId="0" fontId="52" fillId="0" borderId="11" xfId="0" applyFont="1" applyFill="1" applyBorder="1" applyAlignment="1">
      <alignment vertical="top"/>
    </xf>
    <xf numFmtId="171" fontId="56" fillId="0" borderId="0" xfId="29" applyNumberFormat="1" applyFont="1" applyFill="1" applyBorder="1"/>
    <xf numFmtId="0" fontId="27" fillId="0" borderId="26" xfId="0" applyFont="1" applyFill="1" applyBorder="1" applyAlignment="1">
      <alignment horizontal="left" vertical="center" wrapText="1"/>
    </xf>
    <xf numFmtId="0" fontId="27" fillId="0" borderId="24" xfId="0" applyFont="1" applyFill="1" applyBorder="1" applyAlignment="1">
      <alignment horizontal="left" vertical="center" wrapText="1"/>
    </xf>
    <xf numFmtId="0" fontId="26" fillId="16" borderId="9" xfId="0" applyFont="1" applyFill="1" applyBorder="1" applyAlignment="1">
      <alignment wrapText="1"/>
    </xf>
    <xf numFmtId="0" fontId="26" fillId="16" borderId="10" xfId="0" applyFont="1" applyFill="1" applyBorder="1" applyAlignment="1">
      <alignment wrapText="1"/>
    </xf>
    <xf numFmtId="0" fontId="26" fillId="16" borderId="10" xfId="0" applyFont="1" applyFill="1" applyBorder="1" applyAlignment="1">
      <alignment horizontal="center" wrapText="1"/>
    </xf>
    <xf numFmtId="44" fontId="41" fillId="0" borderId="0" xfId="29" applyFont="1" applyAlignment="1">
      <alignment horizontal="left"/>
    </xf>
    <xf numFmtId="44" fontId="27" fillId="0" borderId="0" xfId="29" applyFont="1" applyAlignment="1">
      <alignment horizontal="left"/>
    </xf>
    <xf numFmtId="44" fontId="26" fillId="16" borderId="13" xfId="29" applyFont="1" applyFill="1" applyBorder="1" applyAlignment="1">
      <alignment horizontal="left" wrapText="1"/>
    </xf>
    <xf numFmtId="44" fontId="26" fillId="16" borderId="15" xfId="29" applyFont="1" applyFill="1" applyBorder="1" applyAlignment="1">
      <alignment horizontal="left" wrapText="1"/>
    </xf>
    <xf numFmtId="44" fontId="27" fillId="0" borderId="14" xfId="29" applyFont="1" applyBorder="1" applyAlignment="1">
      <alignment horizontal="left"/>
    </xf>
    <xf numFmtId="44" fontId="27" fillId="0" borderId="15" xfId="29" applyFont="1" applyBorder="1" applyAlignment="1">
      <alignment horizontal="left"/>
    </xf>
    <xf numFmtId="44" fontId="27" fillId="0" borderId="13" xfId="29" applyFont="1" applyBorder="1" applyAlignment="1">
      <alignment horizontal="left"/>
    </xf>
    <xf numFmtId="44" fontId="27" fillId="0" borderId="0" xfId="29" applyFont="1" applyFill="1" applyBorder="1" applyAlignment="1">
      <alignment horizontal="left"/>
    </xf>
    <xf numFmtId="0" fontId="31" fillId="20" borderId="0" xfId="0" applyFont="1" applyFill="1" applyAlignment="1">
      <alignment horizontal="left"/>
    </xf>
    <xf numFmtId="0" fontId="27" fillId="20" borderId="0" xfId="0" applyFont="1" applyFill="1" applyAlignment="1">
      <alignment horizontal="left"/>
    </xf>
    <xf numFmtId="0" fontId="34" fillId="20" borderId="0" xfId="0" applyFont="1" applyFill="1"/>
    <xf numFmtId="0" fontId="27" fillId="20" borderId="0" xfId="0" applyFont="1" applyFill="1" applyAlignment="1">
      <alignment horizontal="center"/>
    </xf>
    <xf numFmtId="0" fontId="27" fillId="0" borderId="11" xfId="0" applyFont="1" applyFill="1" applyBorder="1"/>
    <xf numFmtId="169" fontId="28" fillId="0" borderId="0" xfId="29" applyNumberFormat="1" applyFont="1" applyFill="1" applyBorder="1" applyAlignment="1">
      <alignment horizontal="right"/>
    </xf>
    <xf numFmtId="44" fontId="27" fillId="0" borderId="14" xfId="29" applyFont="1" applyFill="1" applyBorder="1" applyAlignment="1">
      <alignment horizontal="left"/>
    </xf>
    <xf numFmtId="0" fontId="27" fillId="0" borderId="0" xfId="0" applyFont="1" applyFill="1" applyAlignment="1">
      <alignment horizontal="left"/>
    </xf>
    <xf numFmtId="166" fontId="27" fillId="0" borderId="0" xfId="0" applyNumberFormat="1" applyFont="1" applyFill="1" applyBorder="1" applyAlignment="1">
      <alignment horizontal="right"/>
    </xf>
    <xf numFmtId="166" fontId="27" fillId="0" borderId="10" xfId="0" applyNumberFormat="1" applyFont="1" applyFill="1" applyBorder="1" applyAlignment="1">
      <alignment horizontal="right"/>
    </xf>
    <xf numFmtId="44" fontId="27" fillId="0" borderId="15" xfId="29" applyFont="1" applyFill="1" applyBorder="1" applyAlignment="1">
      <alignment horizontal="left"/>
    </xf>
    <xf numFmtId="0" fontId="27" fillId="0" borderId="17" xfId="0" applyFont="1" applyFill="1" applyBorder="1"/>
    <xf numFmtId="0" fontId="27" fillId="0" borderId="9" xfId="0" applyFont="1" applyFill="1" applyBorder="1" applyAlignment="1">
      <alignment horizontal="right"/>
    </xf>
    <xf numFmtId="44" fontId="27" fillId="0" borderId="13" xfId="29" applyFont="1" applyFill="1" applyBorder="1" applyAlignment="1">
      <alignment horizontal="left"/>
    </xf>
    <xf numFmtId="0" fontId="27" fillId="0" borderId="12" xfId="0" applyFont="1" applyFill="1" applyBorder="1"/>
    <xf numFmtId="0" fontId="27" fillId="0" borderId="10" xfId="0" applyFont="1" applyFill="1" applyBorder="1"/>
    <xf numFmtId="0" fontId="27" fillId="0" borderId="9" xfId="0" applyFont="1" applyFill="1" applyBorder="1" applyAlignment="1">
      <alignment horizontal="left"/>
    </xf>
    <xf numFmtId="3" fontId="27" fillId="0" borderId="9" xfId="0" applyNumberFormat="1" applyFont="1" applyFill="1" applyBorder="1" applyAlignment="1">
      <alignment horizontal="right"/>
    </xf>
    <xf numFmtId="44" fontId="27" fillId="0" borderId="9" xfId="29" applyFont="1" applyFill="1" applyBorder="1" applyAlignment="1">
      <alignment horizontal="left"/>
    </xf>
    <xf numFmtId="0" fontId="27" fillId="0" borderId="10" xfId="0" applyFont="1" applyFill="1" applyBorder="1" applyAlignment="1">
      <alignment horizontal="left"/>
    </xf>
    <xf numFmtId="44" fontId="27" fillId="0" borderId="10" xfId="29" applyFont="1" applyFill="1" applyBorder="1" applyAlignment="1">
      <alignment horizontal="left"/>
    </xf>
    <xf numFmtId="166" fontId="28" fillId="0" borderId="9" xfId="0" applyNumberFormat="1" applyFont="1" applyFill="1" applyBorder="1" applyAlignment="1">
      <alignment horizontal="right" vertical="center"/>
    </xf>
    <xf numFmtId="166" fontId="28" fillId="0" borderId="10" xfId="0" applyNumberFormat="1" applyFont="1" applyFill="1" applyBorder="1" applyAlignment="1">
      <alignment horizontal="right"/>
    </xf>
    <xf numFmtId="0" fontId="26" fillId="16" borderId="15" xfId="0" applyFont="1" applyFill="1" applyBorder="1" applyAlignment="1">
      <alignment horizontal="center" wrapText="1"/>
    </xf>
    <xf numFmtId="168" fontId="27" fillId="0" borderId="28" xfId="29" applyNumberFormat="1" applyFont="1" applyFill="1" applyBorder="1" applyAlignment="1" applyProtection="1">
      <alignment horizontal="right" vertical="center"/>
      <protection locked="0"/>
    </xf>
    <xf numFmtId="9" fontId="27" fillId="0" borderId="0" xfId="45" applyFont="1" applyFill="1" applyBorder="1" applyAlignment="1" applyProtection="1">
      <alignment horizontal="right" vertical="center"/>
      <protection locked="0"/>
    </xf>
    <xf numFmtId="9" fontId="27" fillId="0" borderId="10" xfId="45" applyFont="1" applyFill="1" applyBorder="1" applyAlignment="1" applyProtection="1">
      <alignment horizontal="right" vertical="center"/>
      <protection locked="0"/>
    </xf>
    <xf numFmtId="168" fontId="27" fillId="21" borderId="14" xfId="0" applyNumberFormat="1" applyFont="1" applyFill="1" applyBorder="1" applyAlignment="1">
      <alignment horizontal="right" vertical="top"/>
    </xf>
    <xf numFmtId="168" fontId="27" fillId="21" borderId="15" xfId="0" applyNumberFormat="1" applyFont="1" applyFill="1" applyBorder="1" applyAlignment="1">
      <alignment horizontal="right" vertical="top"/>
    </xf>
    <xf numFmtId="3" fontId="60" fillId="0" borderId="18" xfId="0" applyNumberFormat="1" applyFont="1" applyFill="1" applyBorder="1" applyAlignment="1">
      <alignment horizontal="right" vertical="top"/>
    </xf>
    <xf numFmtId="42" fontId="27" fillId="0" borderId="18" xfId="0" applyNumberFormat="1" applyFont="1" applyFill="1" applyBorder="1" applyAlignment="1">
      <alignment vertical="top"/>
    </xf>
    <xf numFmtId="3" fontId="60" fillId="0" borderId="19" xfId="0" applyNumberFormat="1" applyFont="1" applyFill="1" applyBorder="1" applyAlignment="1">
      <alignment horizontal="right" vertical="top"/>
    </xf>
    <xf numFmtId="42" fontId="27" fillId="0" borderId="19" xfId="0" applyNumberFormat="1" applyFont="1" applyFill="1" applyBorder="1" applyAlignment="1">
      <alignment vertical="top"/>
    </xf>
    <xf numFmtId="0" fontId="27" fillId="17" borderId="11" xfId="0" applyFont="1" applyFill="1" applyBorder="1" applyAlignment="1">
      <alignment vertical="top"/>
    </xf>
    <xf numFmtId="0" fontId="27" fillId="17" borderId="0" xfId="0" applyFont="1" applyFill="1" applyBorder="1" applyAlignment="1">
      <alignment vertical="top"/>
    </xf>
    <xf numFmtId="42" fontId="27" fillId="0" borderId="20" xfId="0" applyNumberFormat="1" applyFont="1" applyFill="1" applyBorder="1" applyAlignment="1">
      <alignment vertical="top"/>
    </xf>
    <xf numFmtId="0" fontId="27" fillId="17" borderId="12" xfId="0" applyFont="1" applyFill="1" applyBorder="1" applyAlignment="1">
      <alignment vertical="top"/>
    </xf>
    <xf numFmtId="0" fontId="27" fillId="17" borderId="10" xfId="0" applyFont="1" applyFill="1" applyBorder="1" applyAlignment="1">
      <alignment vertical="top"/>
    </xf>
    <xf numFmtId="0" fontId="27" fillId="0" borderId="0" xfId="0" applyFont="1" applyFill="1" applyAlignment="1">
      <alignment vertical="top"/>
    </xf>
    <xf numFmtId="42" fontId="27" fillId="0" borderId="0" xfId="0" applyNumberFormat="1" applyFont="1" applyAlignment="1">
      <alignment vertical="top"/>
    </xf>
    <xf numFmtId="171" fontId="27" fillId="0" borderId="0" xfId="0" applyNumberFormat="1" applyFont="1" applyAlignment="1">
      <alignment vertical="top"/>
    </xf>
    <xf numFmtId="168" fontId="27" fillId="0" borderId="0" xfId="0" applyNumberFormat="1" applyFont="1" applyAlignment="1">
      <alignment horizontal="right"/>
    </xf>
    <xf numFmtId="0" fontId="41" fillId="0" borderId="18" xfId="0" applyFont="1" applyBorder="1" applyAlignment="1">
      <alignment horizontal="left" vertical="top" wrapText="1"/>
    </xf>
    <xf numFmtId="0" fontId="41" fillId="0" borderId="19" xfId="0" applyFont="1" applyBorder="1" applyAlignment="1">
      <alignment horizontal="left" vertical="top" wrapText="1"/>
    </xf>
    <xf numFmtId="0" fontId="41" fillId="0" borderId="20" xfId="0" applyFont="1" applyBorder="1" applyAlignment="1">
      <alignment horizontal="left" vertical="top" wrapText="1"/>
    </xf>
    <xf numFmtId="0" fontId="27" fillId="0" borderId="17" xfId="0" applyFont="1" applyFill="1" applyBorder="1" applyAlignment="1">
      <alignment horizontal="left" vertical="top"/>
    </xf>
    <xf numFmtId="164" fontId="37" fillId="0" borderId="18" xfId="0" applyNumberFormat="1" applyFont="1" applyBorder="1" applyAlignment="1">
      <alignment horizontal="right" vertical="top"/>
    </xf>
    <xf numFmtId="0" fontId="27" fillId="0" borderId="11" xfId="0" applyFont="1" applyFill="1" applyBorder="1" applyAlignment="1">
      <alignment horizontal="left" vertical="top"/>
    </xf>
    <xf numFmtId="164" fontId="37" fillId="0" borderId="19" xfId="0" applyNumberFormat="1" applyFont="1" applyBorder="1" applyAlignment="1">
      <alignment horizontal="right" vertical="top"/>
    </xf>
    <xf numFmtId="0" fontId="27" fillId="0" borderId="12" xfId="0" applyFont="1" applyFill="1" applyBorder="1" applyAlignment="1">
      <alignment horizontal="left" vertical="top"/>
    </xf>
    <xf numFmtId="164" fontId="37" fillId="0" borderId="20" xfId="0" applyNumberFormat="1" applyFont="1" applyBorder="1" applyAlignment="1">
      <alignment horizontal="right" vertical="top"/>
    </xf>
    <xf numFmtId="3" fontId="27" fillId="0" borderId="0" xfId="0" applyNumberFormat="1" applyFont="1" applyBorder="1" applyAlignment="1">
      <alignment vertical="top"/>
    </xf>
    <xf numFmtId="0" fontId="58" fillId="0" borderId="0" xfId="0" applyFont="1" applyAlignment="1">
      <alignment vertical="top"/>
    </xf>
    <xf numFmtId="0" fontId="26" fillId="16" borderId="22" xfId="0" applyFont="1" applyFill="1" applyBorder="1" applyAlignment="1">
      <alignment vertical="top" wrapText="1"/>
    </xf>
    <xf numFmtId="0" fontId="26" fillId="16" borderId="23" xfId="0" applyFont="1" applyFill="1" applyBorder="1" applyAlignment="1">
      <alignment horizontal="center" vertical="top" wrapText="1"/>
    </xf>
    <xf numFmtId="0" fontId="26" fillId="16" borderId="21" xfId="0" applyFont="1" applyFill="1" applyBorder="1" applyAlignment="1">
      <alignment horizontal="center" vertical="top" wrapText="1"/>
    </xf>
    <xf numFmtId="0" fontId="27" fillId="0" borderId="19" xfId="0" applyFont="1" applyFill="1" applyBorder="1" applyAlignment="1">
      <alignment horizontal="left" vertical="top"/>
    </xf>
    <xf numFmtId="5" fontId="27" fillId="0" borderId="17" xfId="0" applyNumberFormat="1" applyFont="1" applyFill="1" applyBorder="1" applyAlignment="1">
      <alignment horizontal="right" vertical="top"/>
    </xf>
    <xf numFmtId="3" fontId="60" fillId="0" borderId="13" xfId="0" applyNumberFormat="1" applyFont="1" applyFill="1" applyBorder="1" applyAlignment="1">
      <alignment horizontal="right" vertical="top"/>
    </xf>
    <xf numFmtId="5" fontId="27" fillId="0" borderId="11" xfId="0" applyNumberFormat="1" applyFont="1" applyFill="1" applyBorder="1" applyAlignment="1">
      <alignment horizontal="right" vertical="top"/>
    </xf>
    <xf numFmtId="3" fontId="60" fillId="0" borderId="14" xfId="0" applyNumberFormat="1" applyFont="1" applyFill="1" applyBorder="1" applyAlignment="1">
      <alignment horizontal="right" vertical="top"/>
    </xf>
    <xf numFmtId="0" fontId="27" fillId="0" borderId="20" xfId="0" applyFont="1" applyFill="1" applyBorder="1" applyAlignment="1">
      <alignment horizontal="left" vertical="top"/>
    </xf>
    <xf numFmtId="5" fontId="27" fillId="0" borderId="12" xfId="0" applyNumberFormat="1" applyFont="1" applyFill="1" applyBorder="1" applyAlignment="1">
      <alignment horizontal="right" vertical="top"/>
    </xf>
    <xf numFmtId="3" fontId="60" fillId="0" borderId="15" xfId="0" applyNumberFormat="1" applyFont="1" applyFill="1" applyBorder="1" applyAlignment="1">
      <alignment horizontal="right" vertical="top"/>
    </xf>
    <xf numFmtId="42" fontId="27" fillId="0" borderId="9" xfId="0" applyNumberFormat="1" applyFont="1" applyFill="1" applyBorder="1" applyAlignment="1">
      <alignment horizontal="right" vertical="top"/>
    </xf>
    <xf numFmtId="0" fontId="27" fillId="0" borderId="0" xfId="0" applyFont="1" applyBorder="1" applyAlignment="1">
      <alignment horizontal="right" vertical="top"/>
    </xf>
    <xf numFmtId="0" fontId="26" fillId="16" borderId="16" xfId="0" applyFont="1" applyFill="1" applyBorder="1" applyAlignment="1">
      <alignment horizontal="center" vertical="top" wrapText="1"/>
    </xf>
    <xf numFmtId="0" fontId="27" fillId="0" borderId="19" xfId="0" applyFont="1" applyFill="1" applyBorder="1" applyAlignment="1">
      <alignment vertical="top"/>
    </xf>
    <xf numFmtId="42" fontId="27" fillId="17" borderId="9" xfId="0" applyNumberFormat="1" applyFont="1" applyFill="1" applyBorder="1" applyAlignment="1">
      <alignment horizontal="right" vertical="top"/>
    </xf>
    <xf numFmtId="42" fontId="27" fillId="0" borderId="18" xfId="0" applyNumberFormat="1" applyFont="1" applyFill="1" applyBorder="1" applyAlignment="1">
      <alignment horizontal="right" vertical="top"/>
    </xf>
    <xf numFmtId="9" fontId="63" fillId="0" borderId="0" xfId="45" applyFont="1" applyFill="1" applyBorder="1" applyAlignment="1">
      <alignment vertical="top"/>
    </xf>
    <xf numFmtId="42" fontId="27" fillId="0" borderId="0" xfId="0" applyNumberFormat="1" applyFont="1" applyFill="1" applyBorder="1" applyAlignment="1">
      <alignment horizontal="right" vertical="top"/>
    </xf>
    <xf numFmtId="42" fontId="27" fillId="17" borderId="0" xfId="0" applyNumberFormat="1" applyFont="1" applyFill="1" applyBorder="1" applyAlignment="1">
      <alignment horizontal="right" vertical="top"/>
    </xf>
    <xf numFmtId="42" fontId="27" fillId="0" borderId="19" xfId="0" applyNumberFormat="1" applyFont="1" applyFill="1" applyBorder="1" applyAlignment="1">
      <alignment horizontal="right" vertical="top"/>
    </xf>
    <xf numFmtId="0" fontId="27" fillId="0" borderId="20" xfId="0" applyFont="1" applyFill="1" applyBorder="1" applyAlignment="1">
      <alignment vertical="top"/>
    </xf>
    <xf numFmtId="42" fontId="27" fillId="0" borderId="10" xfId="0" applyNumberFormat="1" applyFont="1" applyFill="1" applyBorder="1" applyAlignment="1">
      <alignment horizontal="right" vertical="top"/>
    </xf>
    <xf numFmtId="42" fontId="27" fillId="0" borderId="20" xfId="0" applyNumberFormat="1" applyFont="1" applyFill="1" applyBorder="1" applyAlignment="1">
      <alignment horizontal="right" vertical="top"/>
    </xf>
    <xf numFmtId="0" fontId="26" fillId="16" borderId="23" xfId="0" applyFont="1" applyFill="1" applyBorder="1" applyAlignment="1">
      <alignment vertical="top" wrapText="1"/>
    </xf>
    <xf numFmtId="0" fontId="26" fillId="16" borderId="22" xfId="0" applyFont="1" applyFill="1" applyBorder="1" applyAlignment="1">
      <alignment horizontal="center" vertical="top" wrapText="1"/>
    </xf>
    <xf numFmtId="167" fontId="27" fillId="0" borderId="0" xfId="0" applyNumberFormat="1" applyFont="1" applyBorder="1" applyAlignment="1">
      <alignment horizontal="right" vertical="top"/>
    </xf>
    <xf numFmtId="167" fontId="27" fillId="0" borderId="10" xfId="0" applyNumberFormat="1" applyFont="1" applyBorder="1" applyAlignment="1">
      <alignment horizontal="right" vertical="top"/>
    </xf>
    <xf numFmtId="42" fontId="27" fillId="17" borderId="28" xfId="0" applyNumberFormat="1" applyFont="1" applyFill="1" applyBorder="1" applyAlignment="1">
      <alignment horizontal="right" vertical="top"/>
    </xf>
    <xf numFmtId="1" fontId="27" fillId="0" borderId="0" xfId="0" applyNumberFormat="1" applyFont="1" applyAlignment="1">
      <alignment vertical="top"/>
    </xf>
    <xf numFmtId="3" fontId="27" fillId="0" borderId="19" xfId="0" applyNumberFormat="1" applyFont="1" applyFill="1" applyBorder="1" applyAlignment="1">
      <alignment horizontal="right" vertical="top"/>
    </xf>
    <xf numFmtId="3" fontId="27" fillId="0" borderId="20" xfId="0" applyNumberFormat="1" applyFont="1" applyFill="1" applyBorder="1" applyAlignment="1">
      <alignment horizontal="right" vertical="top"/>
    </xf>
    <xf numFmtId="3" fontId="27" fillId="0" borderId="0" xfId="0" applyNumberFormat="1" applyFont="1" applyAlignment="1">
      <alignment vertical="top"/>
    </xf>
    <xf numFmtId="3" fontId="33" fillId="0" borderId="0" xfId="0" applyNumberFormat="1" applyFont="1" applyAlignment="1">
      <alignment vertical="top"/>
    </xf>
    <xf numFmtId="164" fontId="27" fillId="0" borderId="18" xfId="0" applyNumberFormat="1" applyFont="1" applyBorder="1" applyAlignment="1">
      <alignment horizontal="right" vertical="top"/>
    </xf>
    <xf numFmtId="164" fontId="27" fillId="0" borderId="19" xfId="0" applyNumberFormat="1" applyFont="1" applyBorder="1" applyAlignment="1">
      <alignment horizontal="right" vertical="top"/>
    </xf>
    <xf numFmtId="164" fontId="27" fillId="0" borderId="20" xfId="0" applyNumberFormat="1" applyFont="1" applyBorder="1" applyAlignment="1">
      <alignment horizontal="right" vertical="top"/>
    </xf>
    <xf numFmtId="0" fontId="27" fillId="0" borderId="0" xfId="0" applyFont="1" applyBorder="1" applyAlignment="1">
      <alignment horizontal="left" vertical="top" wrapText="1"/>
    </xf>
    <xf numFmtId="0" fontId="31" fillId="0" borderId="0" xfId="0" applyFont="1" applyFill="1" applyAlignment="1">
      <alignment horizontal="left" vertical="top"/>
    </xf>
    <xf numFmtId="10" fontId="32" fillId="0" borderId="0" xfId="45" applyNumberFormat="1" applyFont="1" applyFill="1" applyBorder="1" applyAlignment="1" applyProtection="1">
      <alignment horizontal="right" vertical="top"/>
      <protection locked="0"/>
    </xf>
    <xf numFmtId="0" fontId="27" fillId="0" borderId="10" xfId="0" applyFont="1" applyBorder="1" applyAlignment="1">
      <alignment vertical="top"/>
    </xf>
    <xf numFmtId="0" fontId="26" fillId="16" borderId="23" xfId="0" applyFont="1" applyFill="1" applyBorder="1" applyAlignment="1">
      <alignment horizontal="left" vertical="top"/>
    </xf>
    <xf numFmtId="0" fontId="26" fillId="16" borderId="22" xfId="0" applyFont="1" applyFill="1" applyBorder="1" applyAlignment="1">
      <alignment horizontal="center" vertical="top"/>
    </xf>
    <xf numFmtId="0" fontId="26" fillId="16" borderId="21" xfId="0" applyFont="1" applyFill="1" applyBorder="1" applyAlignment="1">
      <alignment horizontal="center" vertical="top"/>
    </xf>
    <xf numFmtId="0" fontId="27" fillId="0" borderId="17" xfId="0" applyFont="1" applyBorder="1" applyAlignment="1">
      <alignment vertical="top"/>
    </xf>
    <xf numFmtId="170" fontId="57" fillId="0" borderId="18" xfId="0" applyNumberFormat="1" applyFont="1" applyFill="1" applyBorder="1" applyAlignment="1">
      <alignment horizontal="right" vertical="top"/>
    </xf>
    <xf numFmtId="0" fontId="27" fillId="0" borderId="11" xfId="0" applyFont="1" applyBorder="1" applyAlignment="1">
      <alignment vertical="top"/>
    </xf>
    <xf numFmtId="170" fontId="57" fillId="0" borderId="19" xfId="0" applyNumberFormat="1" applyFont="1" applyFill="1" applyBorder="1" applyAlignment="1">
      <alignment horizontal="right" vertical="top"/>
    </xf>
    <xf numFmtId="170" fontId="57" fillId="0" borderId="20" xfId="0" applyNumberFormat="1" applyFont="1" applyFill="1" applyBorder="1" applyAlignment="1">
      <alignment horizontal="right" vertical="top"/>
    </xf>
    <xf numFmtId="0" fontId="33" fillId="0" borderId="0" xfId="0" applyFont="1" applyAlignment="1">
      <alignment vertical="top"/>
    </xf>
    <xf numFmtId="0" fontId="59" fillId="16" borderId="17" xfId="0" applyFont="1" applyFill="1" applyBorder="1" applyAlignment="1">
      <alignment vertical="top"/>
    </xf>
    <xf numFmtId="0" fontId="26" fillId="16" borderId="9" xfId="0" applyFont="1" applyFill="1" applyBorder="1" applyAlignment="1">
      <alignment horizontal="center" vertical="top"/>
    </xf>
    <xf numFmtId="0" fontId="31" fillId="16" borderId="9" xfId="0" applyFont="1" applyFill="1" applyBorder="1" applyAlignment="1">
      <alignment horizontal="center" vertical="top"/>
    </xf>
    <xf numFmtId="0" fontId="31" fillId="16" borderId="13" xfId="0" applyFont="1" applyFill="1" applyBorder="1" applyAlignment="1">
      <alignment horizontal="center" vertical="top"/>
    </xf>
    <xf numFmtId="0" fontId="26" fillId="16" borderId="12" xfId="0" applyFont="1" applyFill="1" applyBorder="1" applyAlignment="1">
      <alignment vertical="top"/>
    </xf>
    <xf numFmtId="0" fontId="26" fillId="16" borderId="12" xfId="0" applyFont="1" applyFill="1" applyBorder="1" applyAlignment="1">
      <alignment horizontal="center" vertical="top"/>
    </xf>
    <xf numFmtId="0" fontId="26" fillId="16" borderId="10" xfId="0" applyFont="1" applyFill="1" applyBorder="1" applyAlignment="1">
      <alignment horizontal="center" vertical="top"/>
    </xf>
    <xf numFmtId="0" fontId="26" fillId="16" borderId="15" xfId="0" applyFont="1" applyFill="1" applyBorder="1" applyAlignment="1">
      <alignment horizontal="center" vertical="top"/>
    </xf>
    <xf numFmtId="0" fontId="26" fillId="16" borderId="10" xfId="0" applyFont="1" applyFill="1" applyBorder="1" applyAlignment="1">
      <alignment horizontal="left" vertical="top"/>
    </xf>
    <xf numFmtId="0" fontId="31" fillId="16" borderId="10" xfId="0" applyFont="1" applyFill="1" applyBorder="1" applyAlignment="1">
      <alignment horizontal="center" vertical="top"/>
    </xf>
    <xf numFmtId="0" fontId="31" fillId="16" borderId="15" xfId="0" applyFont="1" applyFill="1" applyBorder="1" applyAlignment="1">
      <alignment horizontal="center" vertical="top"/>
    </xf>
    <xf numFmtId="3" fontId="57" fillId="0" borderId="11" xfId="0" applyNumberFormat="1" applyFont="1" applyFill="1" applyBorder="1" applyAlignment="1">
      <alignment horizontal="right" vertical="top"/>
    </xf>
    <xf numFmtId="3" fontId="57" fillId="0" borderId="0" xfId="0" applyNumberFormat="1" applyFont="1" applyFill="1" applyBorder="1" applyAlignment="1">
      <alignment horizontal="right" vertical="top"/>
    </xf>
    <xf numFmtId="9" fontId="27" fillId="0" borderId="11" xfId="45" applyFont="1" applyBorder="1" applyAlignment="1">
      <alignment horizontal="right" vertical="top"/>
    </xf>
    <xf numFmtId="9" fontId="27" fillId="0" borderId="14" xfId="45" applyFont="1" applyBorder="1" applyAlignment="1">
      <alignment horizontal="right" vertical="top"/>
    </xf>
    <xf numFmtId="9" fontId="27" fillId="0" borderId="11" xfId="45" applyFont="1" applyFill="1" applyBorder="1" applyAlignment="1">
      <alignment horizontal="right" vertical="top"/>
    </xf>
    <xf numFmtId="9" fontId="27" fillId="0" borderId="14" xfId="45" applyFont="1" applyFill="1" applyBorder="1" applyAlignment="1">
      <alignment horizontal="right" vertical="top"/>
    </xf>
    <xf numFmtId="3" fontId="57" fillId="17" borderId="0" xfId="0" applyNumberFormat="1" applyFont="1" applyFill="1" applyBorder="1" applyAlignment="1">
      <alignment horizontal="right" vertical="top"/>
    </xf>
    <xf numFmtId="3" fontId="57" fillId="17" borderId="11" xfId="0" applyNumberFormat="1" applyFont="1" applyFill="1" applyBorder="1" applyAlignment="1">
      <alignment horizontal="right" vertical="top"/>
    </xf>
    <xf numFmtId="0" fontId="27" fillId="0" borderId="0" xfId="0" applyFont="1" applyBorder="1" applyAlignment="1">
      <alignment horizontal="left" vertical="top"/>
    </xf>
    <xf numFmtId="3" fontId="57" fillId="0" borderId="12" xfId="0" applyNumberFormat="1" applyFont="1" applyFill="1" applyBorder="1" applyAlignment="1">
      <alignment horizontal="right" vertical="top"/>
    </xf>
    <xf numFmtId="9" fontId="27" fillId="0" borderId="12" xfId="45" applyFont="1" applyFill="1" applyBorder="1" applyAlignment="1">
      <alignment horizontal="right" vertical="top"/>
    </xf>
    <xf numFmtId="9" fontId="27" fillId="0" borderId="15" xfId="45" applyFont="1" applyFill="1" applyBorder="1" applyAlignment="1">
      <alignment horizontal="right" vertical="top"/>
    </xf>
    <xf numFmtId="3" fontId="27" fillId="0" borderId="23" xfId="0" applyNumberFormat="1" applyFont="1" applyFill="1" applyBorder="1" applyAlignment="1">
      <alignment horizontal="right" vertical="top"/>
    </xf>
    <xf numFmtId="3" fontId="27" fillId="0" borderId="21" xfId="0" applyNumberFormat="1" applyFont="1" applyFill="1" applyBorder="1" applyAlignment="1">
      <alignment horizontal="right" vertical="top"/>
    </xf>
    <xf numFmtId="9" fontId="27" fillId="0" borderId="23" xfId="45" applyFont="1" applyBorder="1" applyAlignment="1">
      <alignment horizontal="right" vertical="top"/>
    </xf>
    <xf numFmtId="9" fontId="27" fillId="0" borderId="21" xfId="45" applyFont="1" applyBorder="1" applyAlignment="1">
      <alignment horizontal="right" vertical="top"/>
    </xf>
    <xf numFmtId="0" fontId="27" fillId="0" borderId="23" xfId="0" applyFont="1" applyBorder="1" applyAlignment="1">
      <alignment vertical="top"/>
    </xf>
    <xf numFmtId="0" fontId="27" fillId="0" borderId="16" xfId="0" applyFont="1" applyBorder="1" applyAlignment="1">
      <alignment vertical="top"/>
    </xf>
    <xf numFmtId="0" fontId="27" fillId="0" borderId="21" xfId="0" applyFont="1" applyBorder="1" applyAlignment="1">
      <alignment vertical="top"/>
    </xf>
    <xf numFmtId="0" fontId="27" fillId="0" borderId="0" xfId="0" applyFont="1" applyBorder="1" applyAlignment="1">
      <alignment horizontal="center" vertical="top"/>
    </xf>
    <xf numFmtId="9" fontId="27" fillId="0" borderId="0" xfId="45" applyFont="1" applyFill="1" applyBorder="1" applyAlignment="1">
      <alignment horizontal="center" vertical="top"/>
    </xf>
    <xf numFmtId="3" fontId="58" fillId="0" borderId="0" xfId="0" applyNumberFormat="1" applyFont="1" applyAlignment="1">
      <alignment vertical="top"/>
    </xf>
    <xf numFmtId="0" fontId="26" fillId="16" borderId="12" xfId="0" applyFont="1" applyFill="1" applyBorder="1" applyAlignment="1">
      <alignment horizontal="left" vertical="top"/>
    </xf>
    <xf numFmtId="0" fontId="35" fillId="0" borderId="0" xfId="0" applyFont="1" applyAlignment="1">
      <alignment vertical="top"/>
    </xf>
    <xf numFmtId="0" fontId="27" fillId="0" borderId="18" xfId="0" applyFont="1" applyBorder="1" applyAlignment="1">
      <alignment horizontal="left" vertical="top"/>
    </xf>
    <xf numFmtId="0" fontId="27" fillId="0" borderId="19" xfId="0" applyFont="1" applyBorder="1" applyAlignment="1">
      <alignment horizontal="left" vertical="top"/>
    </xf>
    <xf numFmtId="0" fontId="27" fillId="0" borderId="20" xfId="0" applyFont="1" applyBorder="1" applyAlignment="1">
      <alignment horizontal="left" vertical="top"/>
    </xf>
    <xf numFmtId="43" fontId="32" fillId="0" borderId="0" xfId="50" applyFont="1" applyFill="1" applyBorder="1" applyAlignment="1">
      <alignment horizontal="center" vertical="top"/>
    </xf>
    <xf numFmtId="0" fontId="26" fillId="16" borderId="21" xfId="0" applyFont="1" applyFill="1" applyBorder="1" applyAlignment="1">
      <alignment horizontal="left" vertical="top" wrapText="1"/>
    </xf>
    <xf numFmtId="166" fontId="27" fillId="0" borderId="17" xfId="0" applyNumberFormat="1" applyFont="1" applyFill="1" applyBorder="1" applyAlignment="1">
      <alignment horizontal="right" vertical="top"/>
    </xf>
    <xf numFmtId="166" fontId="27" fillId="0" borderId="13" xfId="0" applyNumberFormat="1" applyFont="1" applyFill="1" applyBorder="1" applyAlignment="1">
      <alignment horizontal="right" vertical="top"/>
    </xf>
    <xf numFmtId="0" fontId="57" fillId="0" borderId="13" xfId="0" applyFont="1" applyFill="1" applyBorder="1" applyAlignment="1">
      <alignment horizontal="right" vertical="top"/>
    </xf>
    <xf numFmtId="0" fontId="27" fillId="0" borderId="18" xfId="0" applyFont="1" applyBorder="1" applyAlignment="1">
      <alignment horizontal="center" vertical="top"/>
    </xf>
    <xf numFmtId="166" fontId="27" fillId="0" borderId="11" xfId="0" applyNumberFormat="1" applyFont="1" applyFill="1" applyBorder="1" applyAlignment="1">
      <alignment horizontal="right" vertical="top"/>
    </xf>
    <xf numFmtId="166" fontId="27" fillId="0" borderId="14" xfId="0" applyNumberFormat="1" applyFont="1" applyFill="1" applyBorder="1" applyAlignment="1">
      <alignment horizontal="right" vertical="top"/>
    </xf>
    <xf numFmtId="0" fontId="57" fillId="0" borderId="14" xfId="0" applyFont="1" applyFill="1" applyBorder="1" applyAlignment="1">
      <alignment horizontal="right" vertical="top"/>
    </xf>
    <xf numFmtId="167" fontId="27" fillId="0" borderId="0" xfId="0" applyNumberFormat="1" applyFont="1" applyBorder="1" applyAlignment="1">
      <alignment horizontal="center" vertical="top"/>
    </xf>
    <xf numFmtId="0" fontId="27" fillId="0" borderId="19" xfId="0" applyFont="1" applyBorder="1" applyAlignment="1">
      <alignment horizontal="center" vertical="top"/>
    </xf>
    <xf numFmtId="166" fontId="27" fillId="0" borderId="12" xfId="0" applyNumberFormat="1" applyFont="1" applyFill="1" applyBorder="1" applyAlignment="1">
      <alignment horizontal="right" vertical="top"/>
    </xf>
    <xf numFmtId="166" fontId="27" fillId="0" borderId="15" xfId="0" applyNumberFormat="1" applyFont="1" applyFill="1" applyBorder="1" applyAlignment="1">
      <alignment horizontal="right" vertical="top"/>
    </xf>
    <xf numFmtId="0" fontId="57" fillId="0" borderId="15" xfId="0" applyFont="1" applyFill="1" applyBorder="1" applyAlignment="1">
      <alignment horizontal="right" vertical="top"/>
    </xf>
    <xf numFmtId="0" fontId="27" fillId="0" borderId="20" xfId="0" applyFont="1" applyBorder="1" applyAlignment="1">
      <alignment horizontal="center" vertical="top"/>
    </xf>
    <xf numFmtId="166" fontId="27" fillId="0" borderId="0" xfId="0" applyNumberFormat="1" applyFont="1" applyFill="1" applyBorder="1" applyAlignment="1">
      <alignment horizontal="right" vertical="top"/>
    </xf>
    <xf numFmtId="0" fontId="57" fillId="0" borderId="0" xfId="0" applyFont="1" applyFill="1" applyBorder="1" applyAlignment="1">
      <alignment horizontal="right" vertical="top"/>
    </xf>
    <xf numFmtId="0" fontId="27" fillId="0" borderId="16" xfId="0" applyFont="1" applyFill="1" applyBorder="1" applyAlignment="1">
      <alignment vertical="top"/>
    </xf>
    <xf numFmtId="9" fontId="57" fillId="0" borderId="16" xfId="45" applyFont="1" applyFill="1" applyBorder="1" applyAlignment="1">
      <alignment horizontal="center" vertical="top"/>
    </xf>
    <xf numFmtId="9" fontId="28" fillId="0" borderId="0" xfId="45" applyFont="1" applyFill="1" applyBorder="1" applyAlignment="1">
      <alignment horizontal="center" vertical="top"/>
    </xf>
    <xf numFmtId="0" fontId="26" fillId="16" borderId="23" xfId="0" applyFont="1" applyFill="1" applyBorder="1" applyAlignment="1">
      <alignment horizontal="center" vertical="top"/>
    </xf>
    <xf numFmtId="0" fontId="26" fillId="16" borderId="16" xfId="0" applyFont="1" applyFill="1" applyBorder="1" applyAlignment="1">
      <alignment horizontal="center" vertical="top"/>
    </xf>
    <xf numFmtId="0" fontId="26" fillId="16" borderId="28" xfId="0" applyFont="1" applyFill="1" applyBorder="1" applyAlignment="1">
      <alignment horizontal="left" vertical="top"/>
    </xf>
    <xf numFmtId="0" fontId="26" fillId="16" borderId="13" xfId="0" applyFont="1" applyFill="1" applyBorder="1" applyAlignment="1">
      <alignment horizontal="left" vertical="top"/>
    </xf>
    <xf numFmtId="0" fontId="27" fillId="17" borderId="14" xfId="0" applyFont="1" applyFill="1" applyBorder="1" applyAlignment="1">
      <alignment vertical="top"/>
    </xf>
    <xf numFmtId="0" fontId="27" fillId="0" borderId="28" xfId="0" applyFont="1" applyBorder="1" applyAlignment="1">
      <alignment vertical="top"/>
    </xf>
    <xf numFmtId="0" fontId="27" fillId="0" borderId="13" xfId="0" applyFont="1" applyBorder="1" applyAlignment="1">
      <alignment vertical="top"/>
    </xf>
    <xf numFmtId="9" fontId="57" fillId="0" borderId="11" xfId="45" applyFont="1" applyFill="1" applyBorder="1" applyAlignment="1">
      <alignment horizontal="right" vertical="top"/>
    </xf>
    <xf numFmtId="9" fontId="57" fillId="0" borderId="0" xfId="45" applyFont="1" applyFill="1" applyBorder="1" applyAlignment="1">
      <alignment horizontal="right" vertical="top"/>
    </xf>
    <xf numFmtId="0" fontId="27" fillId="0" borderId="14" xfId="0" applyFont="1" applyBorder="1" applyAlignment="1">
      <alignment vertical="top"/>
    </xf>
    <xf numFmtId="9" fontId="57" fillId="0" borderId="14" xfId="45" applyFont="1" applyFill="1" applyBorder="1" applyAlignment="1">
      <alignment horizontal="right" vertical="top"/>
    </xf>
    <xf numFmtId="0" fontId="27" fillId="17" borderId="15" xfId="0" applyFont="1" applyFill="1" applyBorder="1" applyAlignment="1">
      <alignment vertical="top"/>
    </xf>
    <xf numFmtId="0" fontId="27" fillId="0" borderId="15" xfId="0" applyFont="1" applyBorder="1" applyAlignment="1">
      <alignment vertical="top"/>
    </xf>
    <xf numFmtId="3" fontId="31" fillId="0" borderId="0" xfId="0" applyNumberFormat="1" applyFont="1" applyAlignment="1">
      <alignment horizontal="right" vertical="top"/>
    </xf>
    <xf numFmtId="3" fontId="58" fillId="0" borderId="0" xfId="0" applyNumberFormat="1" applyFont="1" applyFill="1" applyBorder="1" applyAlignment="1">
      <alignment horizontal="right" vertical="top"/>
    </xf>
    <xf numFmtId="166" fontId="27" fillId="0" borderId="0" xfId="0" applyNumberFormat="1" applyFont="1" applyAlignment="1">
      <alignment horizontal="right" vertical="top"/>
    </xf>
    <xf numFmtId="167" fontId="57" fillId="0" borderId="19" xfId="0" applyNumberFormat="1" applyFont="1" applyFill="1" applyBorder="1" applyAlignment="1">
      <alignment horizontal="right" vertical="top"/>
    </xf>
    <xf numFmtId="3" fontId="57" fillId="0" borderId="19" xfId="0" applyNumberFormat="1" applyFont="1" applyFill="1" applyBorder="1" applyAlignment="1">
      <alignment horizontal="right" vertical="top"/>
    </xf>
    <xf numFmtId="3" fontId="57" fillId="0" borderId="20" xfId="0" applyNumberFormat="1" applyFont="1" applyFill="1" applyBorder="1" applyAlignment="1">
      <alignment horizontal="right" vertical="top"/>
    </xf>
    <xf numFmtId="169" fontId="27" fillId="0" borderId="0" xfId="50" applyNumberFormat="1" applyFont="1" applyAlignment="1">
      <alignment horizontal="right" vertical="top"/>
    </xf>
    <xf numFmtId="1" fontId="27" fillId="0" borderId="0" xfId="0" applyNumberFormat="1" applyFont="1" applyAlignment="1">
      <alignment horizontal="right" vertical="top"/>
    </xf>
    <xf numFmtId="0" fontId="27" fillId="0" borderId="0" xfId="0" applyFont="1" applyAlignment="1">
      <alignment horizontal="right" vertical="top"/>
    </xf>
    <xf numFmtId="1" fontId="27" fillId="0" borderId="0" xfId="0" applyNumberFormat="1" applyFont="1" applyFill="1" applyAlignment="1">
      <alignment vertical="top"/>
    </xf>
    <xf numFmtId="0" fontId="27" fillId="0" borderId="0" xfId="0" applyFont="1" applyFill="1" applyAlignment="1">
      <alignment horizontal="right" vertical="top"/>
    </xf>
    <xf numFmtId="2" fontId="27" fillId="0" borderId="0" xfId="51" applyNumberFormat="1" applyFont="1" applyAlignment="1">
      <alignment vertical="top"/>
    </xf>
    <xf numFmtId="1" fontId="27" fillId="0" borderId="11" xfId="51" applyNumberFormat="1" applyFont="1" applyBorder="1" applyAlignment="1">
      <alignment horizontal="left" vertical="top"/>
    </xf>
    <xf numFmtId="3" fontId="27" fillId="0" borderId="19" xfId="51" applyNumberFormat="1" applyFont="1" applyBorder="1" applyAlignment="1">
      <alignment horizontal="right" vertical="top"/>
    </xf>
    <xf numFmtId="2" fontId="27" fillId="0" borderId="11" xfId="51" applyNumberFormat="1" applyFont="1" applyBorder="1" applyAlignment="1">
      <alignment horizontal="left" vertical="top"/>
    </xf>
    <xf numFmtId="2" fontId="27" fillId="0" borderId="12" xfId="51" applyNumberFormat="1" applyFont="1" applyBorder="1" applyAlignment="1">
      <alignment horizontal="left" vertical="top"/>
    </xf>
    <xf numFmtId="3" fontId="27" fillId="17" borderId="18" xfId="0" applyNumberFormat="1" applyFont="1" applyFill="1" applyBorder="1" applyAlignment="1">
      <alignment horizontal="right" vertical="top"/>
    </xf>
    <xf numFmtId="3" fontId="27" fillId="0" borderId="20" xfId="51" applyNumberFormat="1" applyFont="1" applyBorder="1" applyAlignment="1">
      <alignment horizontal="right" vertical="top"/>
    </xf>
    <xf numFmtId="3" fontId="27" fillId="0" borderId="0" xfId="0" applyNumberFormat="1" applyFont="1" applyAlignment="1">
      <alignment horizontal="right" vertical="top"/>
    </xf>
    <xf numFmtId="3" fontId="27" fillId="0" borderId="0" xfId="51" applyNumberFormat="1" applyFont="1" applyAlignment="1">
      <alignment horizontal="right" vertical="top"/>
    </xf>
    <xf numFmtId="2" fontId="33" fillId="0" borderId="0" xfId="51" applyNumberFormat="1" applyFont="1" applyAlignment="1">
      <alignment vertical="top"/>
    </xf>
    <xf numFmtId="3" fontId="33" fillId="0" borderId="0" xfId="51" applyNumberFormat="1" applyFont="1" applyAlignment="1">
      <alignment horizontal="right" vertical="top"/>
    </xf>
    <xf numFmtId="3" fontId="33" fillId="0" borderId="0" xfId="0" applyNumberFormat="1" applyFont="1" applyAlignment="1">
      <alignment horizontal="right" vertical="top"/>
    </xf>
    <xf numFmtId="9" fontId="27" fillId="0" borderId="0" xfId="45" applyNumberFormat="1" applyFont="1" applyAlignment="1">
      <alignment horizontal="right" vertical="top"/>
    </xf>
    <xf numFmtId="0" fontId="27" fillId="0" borderId="0" xfId="0" applyFont="1" applyFill="1" applyBorder="1" applyAlignment="1">
      <alignment horizontal="left"/>
    </xf>
    <xf numFmtId="0" fontId="28" fillId="0" borderId="11" xfId="0" applyFont="1" applyFill="1" applyBorder="1"/>
    <xf numFmtId="9" fontId="28" fillId="0" borderId="0" xfId="45" applyFont="1" applyFill="1" applyBorder="1"/>
    <xf numFmtId="0" fontId="28" fillId="0" borderId="12" xfId="0" applyFont="1" applyFill="1" applyBorder="1"/>
    <xf numFmtId="166" fontId="27" fillId="0" borderId="0" xfId="0" applyNumberFormat="1" applyFont="1" applyFill="1" applyBorder="1"/>
    <xf numFmtId="166" fontId="29" fillId="0" borderId="11" xfId="0" applyNumberFormat="1" applyFont="1" applyFill="1" applyBorder="1"/>
    <xf numFmtId="9" fontId="29" fillId="0" borderId="0" xfId="45" applyFont="1" applyFill="1" applyBorder="1"/>
    <xf numFmtId="3" fontId="26" fillId="16" borderId="9" xfId="0" applyNumberFormat="1" applyFont="1" applyFill="1" applyBorder="1" applyAlignment="1">
      <alignment horizontal="right" vertical="top" wrapText="1"/>
    </xf>
    <xf numFmtId="3" fontId="26" fillId="16" borderId="13" xfId="0" applyNumberFormat="1" applyFont="1" applyFill="1" applyBorder="1" applyAlignment="1">
      <alignment horizontal="right" vertical="top" wrapText="1"/>
    </xf>
    <xf numFmtId="0" fontId="27" fillId="17" borderId="19" xfId="0" applyFont="1" applyFill="1" applyBorder="1" applyAlignment="1">
      <alignment vertical="top"/>
    </xf>
    <xf numFmtId="1" fontId="25" fillId="17" borderId="19" xfId="0" applyNumberFormat="1" applyFont="1" applyFill="1" applyBorder="1" applyAlignment="1">
      <alignment vertical="top"/>
    </xf>
    <xf numFmtId="1" fontId="27" fillId="17" borderId="19" xfId="0" applyNumberFormat="1" applyFont="1" applyFill="1" applyBorder="1" applyAlignment="1">
      <alignment vertical="top"/>
    </xf>
    <xf numFmtId="9" fontId="27" fillId="0" borderId="18" xfId="45" applyNumberFormat="1" applyFont="1" applyFill="1" applyBorder="1" applyAlignment="1">
      <alignment horizontal="right" vertical="top"/>
    </xf>
    <xf numFmtId="9" fontId="27" fillId="17" borderId="18" xfId="45" applyNumberFormat="1" applyFont="1" applyFill="1" applyBorder="1" applyAlignment="1">
      <alignment horizontal="right" vertical="top"/>
    </xf>
    <xf numFmtId="9" fontId="27" fillId="0" borderId="19" xfId="45" applyNumberFormat="1" applyFont="1" applyFill="1" applyBorder="1" applyAlignment="1">
      <alignment horizontal="right" vertical="top"/>
    </xf>
    <xf numFmtId="9" fontId="32" fillId="17" borderId="19" xfId="45" applyNumberFormat="1" applyFont="1" applyFill="1" applyBorder="1" applyAlignment="1">
      <alignment horizontal="right" vertical="top"/>
    </xf>
    <xf numFmtId="165" fontId="27" fillId="0" borderId="19" xfId="45" applyNumberFormat="1" applyFont="1" applyFill="1" applyBorder="1" applyAlignment="1">
      <alignment horizontal="right" vertical="top"/>
    </xf>
    <xf numFmtId="9" fontId="27" fillId="17" borderId="19" xfId="0" applyNumberFormat="1" applyFont="1" applyFill="1" applyBorder="1" applyAlignment="1">
      <alignment horizontal="right" vertical="top"/>
    </xf>
    <xf numFmtId="9" fontId="27" fillId="0" borderId="20" xfId="45" applyNumberFormat="1" applyFont="1" applyFill="1" applyBorder="1" applyAlignment="1">
      <alignment horizontal="right" vertical="top"/>
    </xf>
    <xf numFmtId="42" fontId="26" fillId="22" borderId="0" xfId="0" applyNumberFormat="1" applyFont="1" applyFill="1" applyBorder="1" applyAlignment="1">
      <alignment horizontal="right" vertical="top"/>
    </xf>
    <xf numFmtId="0" fontId="26" fillId="16" borderId="18" xfId="0" applyFont="1" applyFill="1" applyBorder="1" applyAlignment="1">
      <alignment horizontal="center" vertical="top" wrapText="1"/>
    </xf>
    <xf numFmtId="3" fontId="27" fillId="0" borderId="0" xfId="50" applyNumberFormat="1" applyFont="1" applyAlignment="1">
      <alignment horizontal="right" vertical="top"/>
    </xf>
    <xf numFmtId="3" fontId="27" fillId="0" borderId="18" xfId="0" applyNumberFormat="1" applyFont="1" applyFill="1" applyBorder="1" applyAlignment="1">
      <alignment horizontal="right" vertical="top"/>
    </xf>
    <xf numFmtId="0" fontId="64" fillId="23" borderId="17" xfId="0" applyFont="1" applyFill="1" applyBorder="1"/>
    <xf numFmtId="0" fontId="64" fillId="23" borderId="28" xfId="0" applyFont="1" applyFill="1" applyBorder="1"/>
    <xf numFmtId="0" fontId="64" fillId="23" borderId="13" xfId="0" applyFont="1" applyFill="1" applyBorder="1"/>
    <xf numFmtId="0" fontId="64" fillId="23" borderId="18" xfId="0" applyFont="1" applyFill="1" applyBorder="1" applyAlignment="1">
      <alignment horizontal="center"/>
    </xf>
    <xf numFmtId="0" fontId="64" fillId="23" borderId="12" xfId="0" applyFont="1" applyFill="1" applyBorder="1"/>
    <xf numFmtId="0" fontId="64" fillId="23" borderId="10" xfId="0" applyFont="1" applyFill="1" applyBorder="1"/>
    <xf numFmtId="0" fontId="64" fillId="23" borderId="15" xfId="0" applyFont="1" applyFill="1" applyBorder="1"/>
    <xf numFmtId="22" fontId="65" fillId="23" borderId="12" xfId="0" applyNumberFormat="1" applyFont="1" applyFill="1" applyBorder="1" applyAlignment="1">
      <alignment horizontal="center" vertical="center"/>
    </xf>
    <xf numFmtId="22" fontId="65" fillId="23" borderId="15" xfId="0" applyNumberFormat="1" applyFont="1" applyFill="1" applyBorder="1" applyAlignment="1">
      <alignment horizontal="center" vertical="center"/>
    </xf>
    <xf numFmtId="0" fontId="1" fillId="23" borderId="20" xfId="0" applyFont="1" applyFill="1" applyBorder="1"/>
    <xf numFmtId="0" fontId="64" fillId="0" borderId="12" xfId="0" applyFont="1" applyBorder="1"/>
    <xf numFmtId="0" fontId="64" fillId="0" borderId="10" xfId="0" applyFont="1" applyBorder="1"/>
    <xf numFmtId="0" fontId="64" fillId="0" borderId="15" xfId="0" applyFont="1" applyBorder="1"/>
    <xf numFmtId="174" fontId="1" fillId="0" borderId="11" xfId="0" applyNumberFormat="1" applyFont="1" applyBorder="1"/>
    <xf numFmtId="174" fontId="1" fillId="0" borderId="14" xfId="0" applyNumberFormat="1" applyFont="1" applyBorder="1"/>
    <xf numFmtId="0" fontId="1" fillId="0" borderId="20" xfId="0" applyFont="1" applyBorder="1"/>
    <xf numFmtId="0" fontId="1" fillId="0" borderId="18" xfId="0" applyFont="1" applyBorder="1"/>
    <xf numFmtId="0" fontId="1" fillId="0" borderId="17" xfId="0" applyFont="1" applyBorder="1"/>
    <xf numFmtId="174" fontId="1" fillId="0" borderId="17" xfId="0" applyNumberFormat="1" applyFont="1" applyBorder="1"/>
    <xf numFmtId="174" fontId="66" fillId="0" borderId="13" xfId="0" applyNumberFormat="1" applyFont="1" applyBorder="1"/>
    <xf numFmtId="2" fontId="1" fillId="0" borderId="18" xfId="0" applyNumberFormat="1" applyFont="1" applyBorder="1"/>
    <xf numFmtId="0" fontId="1" fillId="0" borderId="19" xfId="0" applyFont="1" applyBorder="1"/>
    <xf numFmtId="0" fontId="1" fillId="0" borderId="11" xfId="0" applyFont="1" applyBorder="1"/>
    <xf numFmtId="174" fontId="66" fillId="0" borderId="14" xfId="0" applyNumberFormat="1" applyFont="1" applyBorder="1"/>
    <xf numFmtId="2" fontId="1" fillId="0" borderId="19" xfId="0" applyNumberFormat="1" applyFont="1" applyBorder="1"/>
    <xf numFmtId="174" fontId="1" fillId="17" borderId="11" xfId="0" applyNumberFormat="1" applyFont="1" applyFill="1" applyBorder="1"/>
    <xf numFmtId="174" fontId="66" fillId="17" borderId="14" xfId="0" applyNumberFormat="1" applyFont="1" applyFill="1" applyBorder="1"/>
    <xf numFmtId="2" fontId="1" fillId="17" borderId="19" xfId="0" applyNumberFormat="1" applyFont="1" applyFill="1" applyBorder="1"/>
    <xf numFmtId="0" fontId="1" fillId="0" borderId="12" xfId="0" applyFont="1" applyBorder="1"/>
    <xf numFmtId="174" fontId="1" fillId="0" borderId="12" xfId="0" applyNumberFormat="1" applyFont="1" applyBorder="1"/>
    <xf numFmtId="174" fontId="66" fillId="0" borderId="15" xfId="0" applyNumberFormat="1" applyFont="1" applyBorder="1"/>
    <xf numFmtId="2" fontId="1" fillId="0" borderId="20" xfId="0" applyNumberFormat="1" applyFont="1" applyBorder="1"/>
    <xf numFmtId="174" fontId="1" fillId="17" borderId="17" xfId="0" applyNumberFormat="1" applyFont="1" applyFill="1" applyBorder="1"/>
    <xf numFmtId="174" fontId="66" fillId="17" borderId="13" xfId="0" applyNumberFormat="1" applyFont="1" applyFill="1" applyBorder="1"/>
    <xf numFmtId="2" fontId="1" fillId="17" borderId="18" xfId="0" applyNumberFormat="1" applyFont="1" applyFill="1" applyBorder="1"/>
    <xf numFmtId="174" fontId="1" fillId="17" borderId="12" xfId="0" applyNumberFormat="1" applyFont="1" applyFill="1" applyBorder="1"/>
    <xf numFmtId="174" fontId="66" fillId="17" borderId="15" xfId="0" applyNumberFormat="1" applyFont="1" applyFill="1" applyBorder="1"/>
    <xf numFmtId="2" fontId="1" fillId="17" borderId="20" xfId="0" applyNumberFormat="1" applyFont="1" applyFill="1" applyBorder="1"/>
    <xf numFmtId="0" fontId="1" fillId="0" borderId="0" xfId="0" applyFont="1"/>
    <xf numFmtId="174" fontId="1" fillId="0" borderId="23" xfId="0" applyNumberFormat="1" applyFont="1" applyBorder="1"/>
    <xf numFmtId="174" fontId="66" fillId="0" borderId="21" xfId="0" applyNumberFormat="1" applyFont="1" applyBorder="1"/>
    <xf numFmtId="0" fontId="34" fillId="0" borderId="0" xfId="0" applyFont="1" applyAlignment="1">
      <alignment vertical="top"/>
    </xf>
    <xf numFmtId="170" fontId="27" fillId="0" borderId="18" xfId="0" applyNumberFormat="1" applyFont="1" applyFill="1" applyBorder="1" applyAlignment="1">
      <alignment horizontal="right" vertical="top"/>
    </xf>
    <xf numFmtId="170" fontId="27" fillId="0" borderId="19" xfId="0" applyNumberFormat="1" applyFont="1" applyFill="1" applyBorder="1" applyAlignment="1">
      <alignment horizontal="right" vertical="top"/>
    </xf>
    <xf numFmtId="0" fontId="27" fillId="0" borderId="20" xfId="0" applyFont="1" applyBorder="1" applyAlignment="1">
      <alignment vertical="top"/>
    </xf>
    <xf numFmtId="9" fontId="1" fillId="0" borderId="18" xfId="45" applyFont="1" applyBorder="1"/>
    <xf numFmtId="9" fontId="1" fillId="0" borderId="19" xfId="45" applyFont="1" applyBorder="1"/>
    <xf numFmtId="9" fontId="1" fillId="0" borderId="20" xfId="45" applyFont="1" applyBorder="1"/>
    <xf numFmtId="174" fontId="1" fillId="0" borderId="0" xfId="0" applyNumberFormat="1" applyFont="1" applyBorder="1"/>
    <xf numFmtId="174" fontId="66" fillId="0" borderId="0" xfId="0" applyNumberFormat="1" applyFont="1" applyBorder="1"/>
    <xf numFmtId="2" fontId="1" fillId="0" borderId="0" xfId="0" applyNumberFormat="1" applyFont="1" applyBorder="1"/>
    <xf numFmtId="3" fontId="1" fillId="0" borderId="0" xfId="0" applyNumberFormat="1" applyFont="1"/>
    <xf numFmtId="2" fontId="1" fillId="0" borderId="0" xfId="0" applyNumberFormat="1" applyFont="1"/>
    <xf numFmtId="174" fontId="27" fillId="0" borderId="18" xfId="0" applyNumberFormat="1" applyFont="1" applyBorder="1" applyAlignment="1">
      <alignment vertical="top"/>
    </xf>
    <xf numFmtId="174" fontId="27" fillId="0" borderId="19" xfId="0" applyNumberFormat="1" applyFont="1" applyBorder="1" applyAlignment="1">
      <alignment vertical="top"/>
    </xf>
    <xf numFmtId="174" fontId="27" fillId="0" borderId="20" xfId="0" applyNumberFormat="1" applyFont="1" applyBorder="1" applyAlignment="1">
      <alignment vertical="top"/>
    </xf>
    <xf numFmtId="3" fontId="27" fillId="0" borderId="19" xfId="0" applyNumberFormat="1" applyFont="1" applyBorder="1" applyAlignment="1">
      <alignment vertical="top"/>
    </xf>
    <xf numFmtId="3" fontId="27" fillId="0" borderId="20" xfId="0" applyNumberFormat="1" applyFont="1" applyBorder="1" applyAlignment="1">
      <alignment vertical="top"/>
    </xf>
    <xf numFmtId="3" fontId="31" fillId="0" borderId="0" xfId="50" applyNumberFormat="1" applyFont="1" applyAlignment="1">
      <alignment horizontal="right" vertical="top"/>
    </xf>
    <xf numFmtId="3" fontId="40" fillId="0" borderId="0" xfId="50" applyNumberFormat="1" applyFont="1" applyAlignment="1">
      <alignment horizontal="right" vertical="top"/>
    </xf>
    <xf numFmtId="0" fontId="64" fillId="0" borderId="0" xfId="0" applyFont="1"/>
    <xf numFmtId="42" fontId="27" fillId="0" borderId="13" xfId="0" applyNumberFormat="1" applyFont="1" applyFill="1" applyBorder="1" applyAlignment="1">
      <alignment horizontal="right" vertical="top"/>
    </xf>
    <xf numFmtId="42" fontId="27" fillId="0" borderId="14" xfId="0" applyNumberFormat="1" applyFont="1" applyFill="1" applyBorder="1" applyAlignment="1">
      <alignment horizontal="right" vertical="top"/>
    </xf>
    <xf numFmtId="42" fontId="27" fillId="0" borderId="15" xfId="0" applyNumberFormat="1" applyFont="1" applyFill="1" applyBorder="1" applyAlignment="1">
      <alignment horizontal="right" vertical="top"/>
    </xf>
    <xf numFmtId="9" fontId="1" fillId="17" borderId="19" xfId="45" applyFont="1" applyFill="1" applyBorder="1"/>
    <xf numFmtId="3" fontId="27" fillId="17" borderId="19" xfId="0" applyNumberFormat="1" applyFont="1" applyFill="1" applyBorder="1" applyAlignment="1">
      <alignment horizontal="right" vertical="top"/>
    </xf>
    <xf numFmtId="174" fontId="27" fillId="17" borderId="19" xfId="0" applyNumberFormat="1" applyFont="1" applyFill="1" applyBorder="1" applyAlignment="1">
      <alignment vertical="top"/>
    </xf>
    <xf numFmtId="4" fontId="1" fillId="0" borderId="0" xfId="0" applyNumberFormat="1" applyFont="1"/>
    <xf numFmtId="167" fontId="57" fillId="0" borderId="20" xfId="0" applyNumberFormat="1" applyFont="1" applyFill="1" applyBorder="1" applyAlignment="1">
      <alignment horizontal="right" vertical="top"/>
    </xf>
    <xf numFmtId="1" fontId="27" fillId="0" borderId="19" xfId="0" applyNumberFormat="1" applyFont="1" applyFill="1" applyBorder="1" applyAlignment="1">
      <alignment vertical="top"/>
    </xf>
    <xf numFmtId="1" fontId="27" fillId="0" borderId="20" xfId="0" applyNumberFormat="1" applyFont="1" applyFill="1" applyBorder="1" applyAlignment="1">
      <alignment vertical="top"/>
    </xf>
    <xf numFmtId="1" fontId="25" fillId="0" borderId="19" xfId="0" applyNumberFormat="1" applyFont="1" applyFill="1" applyBorder="1" applyAlignment="1">
      <alignment vertical="top"/>
    </xf>
    <xf numFmtId="1" fontId="25" fillId="0" borderId="20" xfId="0" applyNumberFormat="1" applyFont="1" applyFill="1" applyBorder="1" applyAlignment="1">
      <alignment vertical="top"/>
    </xf>
    <xf numFmtId="3" fontId="27" fillId="0" borderId="19" xfId="51" applyNumberFormat="1" applyFont="1" applyFill="1" applyBorder="1" applyAlignment="1">
      <alignment horizontal="right" vertical="top"/>
    </xf>
    <xf numFmtId="9" fontId="27" fillId="0" borderId="18" xfId="45" applyFont="1" applyFill="1" applyBorder="1"/>
    <xf numFmtId="9" fontId="27" fillId="0" borderId="19" xfId="45" applyFont="1" applyFill="1" applyBorder="1"/>
    <xf numFmtId="9" fontId="27" fillId="0" borderId="20" xfId="45" applyFont="1" applyFill="1" applyBorder="1"/>
    <xf numFmtId="3" fontId="31" fillId="0" borderId="0" xfId="0" applyNumberFormat="1" applyFont="1" applyAlignment="1">
      <alignment vertical="top"/>
    </xf>
    <xf numFmtId="9" fontId="27" fillId="0" borderId="18" xfId="45" applyNumberFormat="1" applyFont="1" applyFill="1" applyBorder="1" applyAlignment="1">
      <alignment horizontal="right"/>
    </xf>
    <xf numFmtId="9" fontId="27" fillId="0" borderId="19" xfId="45" applyNumberFormat="1" applyFont="1" applyFill="1" applyBorder="1" applyAlignment="1">
      <alignment horizontal="right"/>
    </xf>
    <xf numFmtId="9" fontId="27" fillId="0" borderId="20" xfId="45" applyNumberFormat="1" applyFont="1" applyFill="1" applyBorder="1" applyAlignment="1">
      <alignment horizontal="right"/>
    </xf>
    <xf numFmtId="168" fontId="27" fillId="0" borderId="18" xfId="0" applyNumberFormat="1" applyFont="1" applyBorder="1"/>
    <xf numFmtId="168" fontId="27" fillId="0" borderId="19" xfId="0" applyNumberFormat="1" applyFont="1" applyBorder="1"/>
    <xf numFmtId="168" fontId="27" fillId="0" borderId="20" xfId="0" applyNumberFormat="1" applyFont="1" applyBorder="1"/>
    <xf numFmtId="42" fontId="27" fillId="17" borderId="19" xfId="0" applyNumberFormat="1" applyFont="1" applyFill="1" applyBorder="1" applyAlignment="1">
      <alignment horizontal="right" vertical="top"/>
    </xf>
    <xf numFmtId="0" fontId="67" fillId="16" borderId="23" xfId="0" applyFont="1" applyFill="1" applyBorder="1" applyAlignment="1">
      <alignment horizontal="center" vertical="top" wrapText="1"/>
    </xf>
    <xf numFmtId="3" fontId="57" fillId="24" borderId="19" xfId="0" applyNumberFormat="1" applyFont="1" applyFill="1" applyBorder="1" applyAlignment="1">
      <alignment horizontal="right" vertical="top"/>
    </xf>
    <xf numFmtId="0" fontId="27" fillId="24" borderId="0" xfId="0" applyFont="1" applyFill="1" applyAlignment="1">
      <alignment vertical="top"/>
    </xf>
    <xf numFmtId="0" fontId="37" fillId="0" borderId="0" xfId="0" applyFont="1" applyFill="1" applyBorder="1" applyAlignment="1">
      <alignment horizontal="right" vertical="top"/>
    </xf>
    <xf numFmtId="169" fontId="37" fillId="0" borderId="0" xfId="50" applyNumberFormat="1" applyFont="1" applyFill="1" applyBorder="1" applyAlignment="1">
      <alignment horizontal="center" vertical="top"/>
    </xf>
    <xf numFmtId="3" fontId="57" fillId="24" borderId="11" xfId="0" applyNumberFormat="1" applyFont="1" applyFill="1" applyBorder="1" applyAlignment="1">
      <alignment horizontal="right" vertical="top"/>
    </xf>
    <xf numFmtId="9" fontId="27" fillId="0" borderId="0" xfId="45" applyFont="1" applyAlignment="1">
      <alignment vertical="top"/>
    </xf>
    <xf numFmtId="0" fontId="67" fillId="16" borderId="21" xfId="0" applyFont="1" applyFill="1" applyBorder="1" applyAlignment="1">
      <alignment horizontal="center" vertical="top" wrapText="1"/>
    </xf>
    <xf numFmtId="9" fontId="57" fillId="0" borderId="29" xfId="45" applyFont="1" applyFill="1" applyBorder="1" applyAlignment="1">
      <alignment vertical="top"/>
    </xf>
    <xf numFmtId="9" fontId="57" fillId="0" borderId="30" xfId="45" applyFont="1" applyFill="1" applyBorder="1" applyAlignment="1">
      <alignment vertical="top"/>
    </xf>
    <xf numFmtId="9" fontId="57" fillId="0" borderId="31" xfId="45" applyFont="1" applyFill="1" applyBorder="1" applyAlignment="1">
      <alignment vertical="top"/>
    </xf>
    <xf numFmtId="0" fontId="67" fillId="16" borderId="22" xfId="0" applyFont="1" applyFill="1" applyBorder="1" applyAlignment="1">
      <alignment horizontal="center" vertical="top" wrapText="1"/>
    </xf>
    <xf numFmtId="1" fontId="27" fillId="0" borderId="19" xfId="0" applyNumberFormat="1" applyFont="1" applyBorder="1" applyAlignment="1">
      <alignment horizontal="right" vertical="center"/>
    </xf>
    <xf numFmtId="1" fontId="27" fillId="0" borderId="20" xfId="0" applyNumberFormat="1" applyFont="1" applyBorder="1" applyAlignment="1">
      <alignment horizontal="right" vertical="center"/>
    </xf>
    <xf numFmtId="1" fontId="27" fillId="0" borderId="18" xfId="0" applyNumberFormat="1" applyFont="1" applyBorder="1" applyAlignment="1">
      <alignment horizontal="right" vertical="center"/>
    </xf>
    <xf numFmtId="1" fontId="27" fillId="0" borderId="10" xfId="0" applyNumberFormat="1" applyFont="1" applyBorder="1" applyAlignment="1">
      <alignment horizontal="right"/>
    </xf>
    <xf numFmtId="1" fontId="27" fillId="17" borderId="9" xfId="0" applyNumberFormat="1" applyFont="1" applyFill="1" applyBorder="1" applyAlignment="1">
      <alignment horizontal="right"/>
    </xf>
    <xf numFmtId="1" fontId="27" fillId="17" borderId="13" xfId="0" applyNumberFormat="1" applyFont="1" applyFill="1" applyBorder="1" applyAlignment="1">
      <alignment horizontal="right"/>
    </xf>
    <xf numFmtId="1" fontId="27" fillId="17" borderId="0" xfId="0" applyNumberFormat="1" applyFont="1" applyFill="1" applyBorder="1" applyAlignment="1">
      <alignment horizontal="right"/>
    </xf>
    <xf numFmtId="1" fontId="27" fillId="17" borderId="14" xfId="0" applyNumberFormat="1" applyFont="1" applyFill="1" applyBorder="1" applyAlignment="1">
      <alignment horizontal="right"/>
    </xf>
    <xf numFmtId="1" fontId="27" fillId="17" borderId="10" xfId="0" applyNumberFormat="1" applyFont="1" applyFill="1" applyBorder="1" applyAlignment="1">
      <alignment horizontal="right"/>
    </xf>
    <xf numFmtId="1" fontId="27" fillId="17" borderId="15" xfId="0" applyNumberFormat="1" applyFont="1" applyFill="1" applyBorder="1" applyAlignment="1">
      <alignment horizontal="right"/>
    </xf>
    <xf numFmtId="171" fontId="56" fillId="19" borderId="0" xfId="29" applyNumberFormat="1" applyFont="1" applyFill="1" applyBorder="1"/>
    <xf numFmtId="1" fontId="27" fillId="25" borderId="19" xfId="0" applyNumberFormat="1" applyFont="1" applyFill="1" applyBorder="1" applyAlignment="1">
      <alignment vertical="top"/>
    </xf>
    <xf numFmtId="0" fontId="27" fillId="0" borderId="0" xfId="0" applyFont="1" applyBorder="1" applyAlignment="1">
      <alignment horizontal="left" vertical="top" wrapText="1"/>
    </xf>
    <xf numFmtId="0" fontId="27" fillId="0" borderId="14" xfId="0" applyFont="1" applyBorder="1" applyAlignment="1">
      <alignment horizontal="left" vertical="top" wrapText="1"/>
    </xf>
    <xf numFmtId="4" fontId="57" fillId="0" borderId="11" xfId="0" applyNumberFormat="1" applyFont="1" applyFill="1" applyBorder="1" applyAlignment="1">
      <alignment horizontal="right" vertical="top"/>
    </xf>
    <xf numFmtId="4" fontId="57" fillId="0" borderId="0" xfId="0" applyNumberFormat="1" applyFont="1" applyFill="1" applyBorder="1" applyAlignment="1">
      <alignment horizontal="right" vertical="top"/>
    </xf>
    <xf numFmtId="2" fontId="27" fillId="0" borderId="17" xfId="0" applyNumberFormat="1" applyFont="1" applyFill="1" applyBorder="1" applyAlignment="1">
      <alignment horizontal="right" vertical="top"/>
    </xf>
    <xf numFmtId="2" fontId="27" fillId="0" borderId="13" xfId="0" applyNumberFormat="1" applyFont="1" applyFill="1" applyBorder="1" applyAlignment="1">
      <alignment horizontal="right" vertical="top"/>
    </xf>
    <xf numFmtId="2" fontId="27" fillId="0" borderId="11" xfId="0" applyNumberFormat="1" applyFont="1" applyFill="1" applyBorder="1" applyAlignment="1">
      <alignment horizontal="right" vertical="top"/>
    </xf>
    <xf numFmtId="2" fontId="27" fillId="0" borderId="14" xfId="0" applyNumberFormat="1" applyFont="1" applyFill="1" applyBorder="1" applyAlignment="1">
      <alignment horizontal="right" vertical="top"/>
    </xf>
    <xf numFmtId="2" fontId="27" fillId="0" borderId="12" xfId="0" applyNumberFormat="1" applyFont="1" applyFill="1" applyBorder="1" applyAlignment="1">
      <alignment horizontal="right" vertical="top"/>
    </xf>
    <xf numFmtId="2" fontId="27" fillId="0" borderId="15" xfId="0" applyNumberFormat="1" applyFont="1" applyFill="1" applyBorder="1" applyAlignment="1">
      <alignment horizontal="right" vertical="top"/>
    </xf>
    <xf numFmtId="4" fontId="57" fillId="0" borderId="12" xfId="0" applyNumberFormat="1" applyFont="1" applyFill="1" applyBorder="1" applyAlignment="1">
      <alignment horizontal="right" vertical="top"/>
    </xf>
    <xf numFmtId="4" fontId="57" fillId="0" borderId="10" xfId="0" applyNumberFormat="1" applyFont="1" applyFill="1" applyBorder="1" applyAlignment="1">
      <alignment horizontal="right" vertical="top"/>
    </xf>
    <xf numFmtId="9" fontId="28" fillId="19" borderId="0" xfId="45" applyFont="1" applyFill="1" applyBorder="1"/>
    <xf numFmtId="9" fontId="28" fillId="19" borderId="10" xfId="45" applyFont="1" applyFill="1" applyBorder="1"/>
    <xf numFmtId="171" fontId="56" fillId="24" borderId="0" xfId="29" applyNumberFormat="1" applyFont="1" applyFill="1" applyBorder="1"/>
    <xf numFmtId="171" fontId="56" fillId="24" borderId="10" xfId="29" applyNumberFormat="1" applyFont="1" applyFill="1" applyBorder="1"/>
    <xf numFmtId="0" fontId="27" fillId="0" borderId="24" xfId="0" applyFont="1" applyFill="1" applyBorder="1" applyAlignment="1">
      <alignment horizontal="left" vertical="center" wrapText="1"/>
    </xf>
    <xf numFmtId="0" fontId="27" fillId="0" borderId="22" xfId="0" applyFont="1" applyBorder="1" applyAlignment="1">
      <alignment horizontal="left" vertical="center" wrapText="1"/>
    </xf>
    <xf numFmtId="0" fontId="26" fillId="16" borderId="17" xfId="0" applyFont="1" applyFill="1" applyBorder="1" applyAlignment="1">
      <alignment horizontal="center"/>
    </xf>
    <xf numFmtId="0" fontId="25" fillId="0" borderId="0" xfId="0" applyFont="1" applyAlignment="1">
      <alignment vertical="center"/>
    </xf>
    <xf numFmtId="0" fontId="27" fillId="0" borderId="0" xfId="0" applyFont="1" applyAlignment="1">
      <alignment vertical="center"/>
    </xf>
    <xf numFmtId="176" fontId="27" fillId="0" borderId="0" xfId="0" applyNumberFormat="1" applyFont="1"/>
    <xf numFmtId="176" fontId="27" fillId="0" borderId="10" xfId="0" applyNumberFormat="1" applyFont="1" applyBorder="1"/>
    <xf numFmtId="177" fontId="27" fillId="0" borderId="0" xfId="29" applyNumberFormat="1" applyFont="1" applyFill="1" applyBorder="1"/>
    <xf numFmtId="171" fontId="27" fillId="0" borderId="0" xfId="29" applyNumberFormat="1" applyFont="1" applyFill="1" applyBorder="1"/>
    <xf numFmtId="177" fontId="27" fillId="0" borderId="10" xfId="29" applyNumberFormat="1" applyFont="1" applyFill="1" applyBorder="1"/>
    <xf numFmtId="0" fontId="26" fillId="16" borderId="17" xfId="0" applyFont="1" applyFill="1" applyBorder="1" applyAlignment="1">
      <alignment vertical="center"/>
    </xf>
    <xf numFmtId="0" fontId="26" fillId="16" borderId="28" xfId="0" applyFont="1" applyFill="1" applyBorder="1" applyAlignment="1">
      <alignment vertical="center"/>
    </xf>
    <xf numFmtId="0" fontId="26" fillId="16" borderId="28" xfId="0" applyFont="1" applyFill="1" applyBorder="1" applyAlignment="1">
      <alignment horizontal="center" vertical="center"/>
    </xf>
    <xf numFmtId="0" fontId="26" fillId="16" borderId="0" xfId="0" applyFont="1" applyFill="1" applyBorder="1" applyAlignment="1">
      <alignment horizontal="center" vertical="center" wrapText="1"/>
    </xf>
    <xf numFmtId="0" fontId="26" fillId="16" borderId="0" xfId="0" applyFont="1" applyFill="1" applyBorder="1" applyAlignment="1">
      <alignment horizontal="center" vertical="center"/>
    </xf>
    <xf numFmtId="0" fontId="26" fillId="16" borderId="17" xfId="0" applyFont="1" applyFill="1" applyBorder="1" applyAlignment="1">
      <alignment horizontal="center" vertical="center"/>
    </xf>
    <xf numFmtId="0" fontId="26" fillId="16" borderId="13" xfId="0" applyFont="1" applyFill="1" applyBorder="1" applyAlignment="1">
      <alignment horizontal="center" vertical="center"/>
    </xf>
    <xf numFmtId="175" fontId="26" fillId="16" borderId="0" xfId="0" applyNumberFormat="1" applyFont="1" applyFill="1" applyBorder="1" applyAlignment="1">
      <alignment horizontal="center" vertical="center" wrapText="1"/>
    </xf>
    <xf numFmtId="0" fontId="26" fillId="16" borderId="11" xfId="0" applyFont="1" applyFill="1" applyBorder="1" applyAlignment="1">
      <alignment vertical="center"/>
    </xf>
    <xf numFmtId="0" fontId="26" fillId="16" borderId="0" xfId="0" applyFont="1" applyFill="1" applyBorder="1" applyAlignment="1">
      <alignment vertical="center"/>
    </xf>
    <xf numFmtId="0" fontId="26" fillId="16" borderId="14" xfId="0" applyFont="1" applyFill="1" applyBorder="1" applyAlignment="1">
      <alignment horizontal="center" vertical="center"/>
    </xf>
    <xf numFmtId="171" fontId="27" fillId="0" borderId="15" xfId="29" applyNumberFormat="1" applyFont="1" applyFill="1" applyBorder="1"/>
    <xf numFmtId="171" fontId="27" fillId="0" borderId="0" xfId="0" applyNumberFormat="1" applyFont="1"/>
    <xf numFmtId="0" fontId="26" fillId="16" borderId="18" xfId="0" applyFont="1" applyFill="1" applyBorder="1" applyAlignment="1">
      <alignment horizontal="center" vertical="center" wrapText="1"/>
    </xf>
    <xf numFmtId="0" fontId="26" fillId="16" borderId="19" xfId="0" applyFont="1" applyFill="1" applyBorder="1" applyAlignment="1">
      <alignment horizontal="center" vertical="center" wrapText="1"/>
    </xf>
    <xf numFmtId="166" fontId="27" fillId="0" borderId="18" xfId="0" applyNumberFormat="1" applyFont="1" applyBorder="1" applyAlignment="1">
      <alignment horizontal="center"/>
    </xf>
    <xf numFmtId="166" fontId="27" fillId="0" borderId="14" xfId="0" applyNumberFormat="1" applyFont="1" applyBorder="1" applyAlignment="1">
      <alignment horizontal="center" vertical="center"/>
    </xf>
    <xf numFmtId="166" fontId="27" fillId="0" borderId="15" xfId="0" applyNumberFormat="1" applyFont="1" applyBorder="1" applyAlignment="1">
      <alignment horizontal="center" vertical="center"/>
    </xf>
    <xf numFmtId="166" fontId="27" fillId="0" borderId="20" xfId="0" applyNumberFormat="1" applyFont="1" applyBorder="1" applyAlignment="1">
      <alignment horizontal="center" vertical="center"/>
    </xf>
    <xf numFmtId="166" fontId="27" fillId="0" borderId="13" xfId="0" applyNumberFormat="1" applyFont="1" applyBorder="1" applyAlignment="1">
      <alignment horizontal="center" vertical="center"/>
    </xf>
    <xf numFmtId="2" fontId="27" fillId="0" borderId="17" xfId="0" applyNumberFormat="1" applyFont="1" applyBorder="1"/>
    <xf numFmtId="2" fontId="27" fillId="0" borderId="28" xfId="0" applyNumberFormat="1" applyFont="1" applyBorder="1"/>
    <xf numFmtId="2" fontId="27" fillId="0" borderId="13" xfId="0" applyNumberFormat="1" applyFont="1" applyBorder="1"/>
    <xf numFmtId="2" fontId="27" fillId="0" borderId="11" xfId="0" applyNumberFormat="1" applyFont="1" applyBorder="1"/>
    <xf numFmtId="2" fontId="27" fillId="0" borderId="0" xfId="0" applyNumberFormat="1" applyFont="1" applyBorder="1"/>
    <xf numFmtId="2" fontId="27" fillId="0" borderId="14" xfId="0" applyNumberFormat="1" applyFont="1" applyBorder="1"/>
    <xf numFmtId="2" fontId="27" fillId="0" borderId="12" xfId="0" applyNumberFormat="1" applyFont="1" applyBorder="1"/>
    <xf numFmtId="2" fontId="27" fillId="0" borderId="10" xfId="0" applyNumberFormat="1" applyFont="1" applyBorder="1"/>
    <xf numFmtId="2" fontId="27" fillId="0" borderId="15" xfId="0" applyNumberFormat="1" applyFont="1" applyBorder="1"/>
    <xf numFmtId="2" fontId="31" fillId="0" borderId="23" xfId="0" applyNumberFormat="1" applyFont="1" applyBorder="1"/>
    <xf numFmtId="2" fontId="31" fillId="0" borderId="16" xfId="0" applyNumberFormat="1" applyFont="1" applyBorder="1"/>
    <xf numFmtId="2" fontId="31" fillId="0" borderId="21" xfId="0" applyNumberFormat="1" applyFont="1" applyBorder="1"/>
    <xf numFmtId="2" fontId="27" fillId="0" borderId="18" xfId="0" applyNumberFormat="1" applyFont="1" applyBorder="1"/>
    <xf numFmtId="2" fontId="27" fillId="0" borderId="19" xfId="0" applyNumberFormat="1" applyFont="1" applyBorder="1"/>
    <xf numFmtId="2" fontId="27" fillId="0" borderId="20" xfId="0" applyNumberFormat="1" applyFont="1" applyBorder="1"/>
    <xf numFmtId="166" fontId="27" fillId="0" borderId="18" xfId="29" applyNumberFormat="1" applyFont="1" applyFill="1" applyBorder="1" applyAlignment="1" applyProtection="1">
      <alignment horizontal="right" vertical="center"/>
      <protection locked="0"/>
    </xf>
    <xf numFmtId="166" fontId="27" fillId="0" borderId="19" xfId="29" applyNumberFormat="1" applyFont="1" applyFill="1" applyBorder="1" applyAlignment="1" applyProtection="1">
      <alignment horizontal="right" vertical="center"/>
      <protection locked="0"/>
    </xf>
    <xf numFmtId="166" fontId="27" fillId="0" borderId="20" xfId="29" applyNumberFormat="1" applyFont="1" applyFill="1" applyBorder="1" applyAlignment="1" applyProtection="1">
      <alignment horizontal="right" vertical="center"/>
      <protection locked="0"/>
    </xf>
    <xf numFmtId="178" fontId="27" fillId="0" borderId="0" xfId="0" applyNumberFormat="1" applyFont="1" applyFill="1" applyBorder="1" applyAlignment="1">
      <alignment horizontal="right"/>
    </xf>
    <xf numFmtId="165" fontId="27" fillId="0" borderId="0" xfId="45" applyNumberFormat="1" applyFont="1" applyBorder="1" applyAlignment="1">
      <alignment horizontal="right"/>
    </xf>
    <xf numFmtId="165" fontId="27" fillId="0" borderId="0" xfId="0" applyNumberFormat="1" applyFont="1" applyBorder="1" applyAlignment="1">
      <alignment horizontal="right"/>
    </xf>
    <xf numFmtId="0" fontId="26" fillId="16" borderId="13" xfId="0" applyFont="1" applyFill="1" applyBorder="1" applyAlignment="1">
      <alignment horizontal="left" vertical="center"/>
    </xf>
    <xf numFmtId="0" fontId="41" fillId="0" borderId="17" xfId="0" applyFont="1" applyBorder="1" applyAlignment="1">
      <alignment horizontal="left"/>
    </xf>
    <xf numFmtId="166" fontId="28" fillId="0" borderId="18" xfId="0" applyNumberFormat="1" applyFont="1" applyFill="1" applyBorder="1"/>
    <xf numFmtId="0" fontId="41" fillId="0" borderId="11" xfId="0" applyFont="1" applyBorder="1" applyAlignment="1">
      <alignment horizontal="left"/>
    </xf>
    <xf numFmtId="166" fontId="28" fillId="0" borderId="19" xfId="0" applyNumberFormat="1" applyFont="1" applyFill="1" applyBorder="1"/>
    <xf numFmtId="0" fontId="41" fillId="0" borderId="12" xfId="0" applyFont="1" applyBorder="1" applyAlignment="1">
      <alignment horizontal="left"/>
    </xf>
    <xf numFmtId="166" fontId="28" fillId="0" borderId="20" xfId="0" applyNumberFormat="1" applyFont="1" applyFill="1" applyBorder="1"/>
    <xf numFmtId="0" fontId="26" fillId="16" borderId="15" xfId="0" applyFont="1" applyFill="1" applyBorder="1" applyAlignment="1">
      <alignment horizontal="left" vertical="center"/>
    </xf>
    <xf numFmtId="0" fontId="26" fillId="16" borderId="15" xfId="0" applyFont="1" applyFill="1" applyBorder="1" applyAlignment="1">
      <alignment horizontal="center" vertical="center"/>
    </xf>
    <xf numFmtId="10" fontId="57" fillId="0" borderId="13" xfId="45" applyNumberFormat="1" applyFont="1" applyFill="1" applyBorder="1" applyAlignment="1">
      <alignment vertical="top"/>
    </xf>
    <xf numFmtId="10" fontId="57" fillId="0" borderId="14" xfId="45" applyNumberFormat="1" applyFont="1" applyFill="1" applyBorder="1" applyAlignment="1">
      <alignment vertical="top"/>
    </xf>
    <xf numFmtId="175" fontId="57" fillId="0" borderId="14" xfId="0" applyNumberFormat="1" applyFont="1" applyFill="1" applyBorder="1" applyAlignment="1">
      <alignment horizontal="right" vertical="top"/>
    </xf>
    <xf numFmtId="1" fontId="57" fillId="0" borderId="14" xfId="0" applyNumberFormat="1" applyFont="1" applyFill="1" applyBorder="1" applyAlignment="1">
      <alignment vertical="top"/>
    </xf>
    <xf numFmtId="10" fontId="57" fillId="0" borderId="14" xfId="45" applyNumberFormat="1" applyFont="1" applyFill="1" applyBorder="1" applyAlignment="1" applyProtection="1">
      <alignment horizontal="right" vertical="top"/>
      <protection locked="0"/>
    </xf>
    <xf numFmtId="0" fontId="27" fillId="0" borderId="12" xfId="0" applyFont="1" applyFill="1" applyBorder="1" applyAlignment="1">
      <alignment horizontal="right" vertical="top"/>
    </xf>
    <xf numFmtId="10" fontId="57" fillId="0" borderId="15" xfId="45" applyNumberFormat="1" applyFont="1" applyFill="1" applyBorder="1" applyAlignment="1" applyProtection="1">
      <alignment horizontal="right" vertical="top"/>
      <protection locked="0"/>
    </xf>
    <xf numFmtId="0" fontId="27" fillId="0" borderId="22" xfId="0" applyFont="1" applyFill="1" applyBorder="1" applyAlignment="1">
      <alignment horizontal="left" vertical="center" wrapText="1"/>
    </xf>
    <xf numFmtId="0" fontId="27" fillId="0" borderId="25" xfId="0" applyFont="1" applyFill="1" applyBorder="1" applyAlignment="1">
      <alignment horizontal="left" vertical="center" wrapText="1"/>
    </xf>
    <xf numFmtId="3" fontId="57" fillId="0" borderId="22" xfId="0" applyNumberFormat="1" applyFont="1" applyFill="1" applyBorder="1" applyAlignment="1">
      <alignment horizontal="right" vertical="top"/>
    </xf>
    <xf numFmtId="0" fontId="53" fillId="0" borderId="12" xfId="0" applyFont="1" applyFill="1" applyBorder="1" applyAlignment="1">
      <alignment vertical="top"/>
    </xf>
    <xf numFmtId="166" fontId="27" fillId="0" borderId="18" xfId="0" applyNumberFormat="1" applyFont="1" applyFill="1" applyBorder="1"/>
    <xf numFmtId="166" fontId="27" fillId="0" borderId="19" xfId="0" applyNumberFormat="1" applyFont="1" applyFill="1" applyBorder="1"/>
    <xf numFmtId="166" fontId="27" fillId="0" borderId="20" xfId="0" applyNumberFormat="1" applyFont="1" applyFill="1" applyBorder="1"/>
    <xf numFmtId="0" fontId="26" fillId="16" borderId="9" xfId="0" applyFont="1" applyFill="1" applyBorder="1" applyAlignment="1">
      <alignment horizontal="center" wrapText="1"/>
    </xf>
    <xf numFmtId="2" fontId="27" fillId="0" borderId="0" xfId="0" applyNumberFormat="1" applyFont="1" applyFill="1" applyBorder="1" applyAlignment="1">
      <alignment horizontal="right"/>
    </xf>
    <xf numFmtId="0" fontId="27" fillId="0" borderId="24" xfId="0" applyFont="1" applyFill="1" applyBorder="1" applyAlignment="1">
      <alignment horizontal="left" vertical="center" wrapText="1"/>
    </xf>
    <xf numFmtId="0" fontId="27" fillId="0" borderId="22" xfId="0" applyFont="1" applyBorder="1" applyAlignment="1">
      <alignment horizontal="left" vertical="center" wrapText="1"/>
    </xf>
    <xf numFmtId="0" fontId="41" fillId="0" borderId="12" xfId="0" applyFont="1" applyBorder="1" applyAlignment="1">
      <alignment horizontal="left" vertical="top" wrapText="1"/>
    </xf>
    <xf numFmtId="0" fontId="41" fillId="0" borderId="15" xfId="0" applyFont="1" applyBorder="1" applyAlignment="1">
      <alignment horizontal="left" vertical="top" wrapText="1"/>
    </xf>
    <xf numFmtId="0" fontId="27" fillId="0" borderId="23" xfId="0" quotePrefix="1" applyFont="1" applyBorder="1" applyAlignment="1">
      <alignment horizontal="left" vertical="top" wrapText="1"/>
    </xf>
    <xf numFmtId="0" fontId="27" fillId="0" borderId="21" xfId="0" quotePrefix="1" applyFont="1" applyBorder="1" applyAlignment="1">
      <alignment horizontal="left" vertical="top" wrapText="1"/>
    </xf>
    <xf numFmtId="0" fontId="27" fillId="0" borderId="13" xfId="0" applyFont="1" applyFill="1" applyBorder="1" applyAlignment="1">
      <alignment horizontal="left" vertical="top" wrapText="1"/>
    </xf>
    <xf numFmtId="0" fontId="27" fillId="0" borderId="14" xfId="0" applyFont="1" applyFill="1" applyBorder="1" applyAlignment="1">
      <alignment horizontal="left" vertical="top" wrapText="1"/>
    </xf>
    <xf numFmtId="0" fontId="27" fillId="0" borderId="15" xfId="0" applyFont="1" applyFill="1" applyBorder="1" applyAlignment="1">
      <alignment horizontal="left" vertical="top" wrapText="1"/>
    </xf>
    <xf numFmtId="0" fontId="27" fillId="0" borderId="13" xfId="0" applyFont="1" applyBorder="1" applyAlignment="1">
      <alignment horizontal="left" vertical="top" wrapText="1"/>
    </xf>
    <xf numFmtId="0" fontId="27" fillId="0" borderId="14" xfId="0" applyFont="1" applyBorder="1" applyAlignment="1">
      <alignment horizontal="left" vertical="top" wrapText="1"/>
    </xf>
    <xf numFmtId="0" fontId="27" fillId="0" borderId="15" xfId="0" applyFont="1" applyBorder="1" applyAlignment="1">
      <alignment horizontal="left" vertical="top" wrapText="1"/>
    </xf>
    <xf numFmtId="0" fontId="27" fillId="0" borderId="0" xfId="0" applyFont="1" applyBorder="1" applyAlignment="1">
      <alignment horizontal="left" vertical="top" wrapText="1"/>
    </xf>
    <xf numFmtId="0" fontId="27" fillId="0" borderId="0" xfId="0" applyFont="1" applyBorder="1" applyAlignment="1">
      <alignment horizontal="left" vertical="top"/>
    </xf>
    <xf numFmtId="0" fontId="27" fillId="0" borderId="14" xfId="0" applyFont="1" applyBorder="1" applyAlignment="1">
      <alignment horizontal="left" vertical="top"/>
    </xf>
    <xf numFmtId="0" fontId="27" fillId="0" borderId="10" xfId="0" applyFont="1" applyBorder="1" applyAlignment="1">
      <alignment horizontal="left" vertical="top" wrapText="1"/>
    </xf>
    <xf numFmtId="0" fontId="27" fillId="0" borderId="10" xfId="0" applyFont="1" applyBorder="1" applyAlignment="1">
      <alignment horizontal="left" vertical="top"/>
    </xf>
    <xf numFmtId="0" fontId="27" fillId="0" borderId="15" xfId="0" applyFont="1" applyBorder="1" applyAlignment="1">
      <alignment horizontal="left" vertical="top"/>
    </xf>
    <xf numFmtId="0" fontId="26" fillId="16" borderId="17" xfId="0" applyFont="1" applyFill="1" applyBorder="1" applyAlignment="1">
      <alignment horizontal="center" vertical="top"/>
    </xf>
    <xf numFmtId="0" fontId="26" fillId="16" borderId="13" xfId="0" applyFont="1" applyFill="1" applyBorder="1" applyAlignment="1">
      <alignment horizontal="center" vertical="top"/>
    </xf>
    <xf numFmtId="0" fontId="26" fillId="16" borderId="9" xfId="0" applyFont="1" applyFill="1" applyBorder="1" applyAlignment="1">
      <alignment horizontal="center" vertical="top"/>
    </xf>
    <xf numFmtId="0" fontId="26" fillId="16" borderId="18" xfId="0" applyFont="1" applyFill="1" applyBorder="1" applyAlignment="1">
      <alignment horizontal="left" vertical="top" wrapText="1"/>
    </xf>
    <xf numFmtId="0" fontId="26" fillId="16" borderId="20" xfId="0" applyFont="1" applyFill="1" applyBorder="1" applyAlignment="1">
      <alignment horizontal="left" vertical="top" wrapText="1"/>
    </xf>
    <xf numFmtId="22" fontId="65" fillId="23" borderId="18" xfId="0" applyNumberFormat="1" applyFont="1" applyFill="1" applyBorder="1" applyAlignment="1">
      <alignment horizontal="center" vertical="center"/>
    </xf>
    <xf numFmtId="0" fontId="26" fillId="16" borderId="23" xfId="0" applyFont="1" applyFill="1" applyBorder="1" applyAlignment="1">
      <alignment horizontal="center"/>
    </xf>
    <xf numFmtId="0" fontId="26" fillId="16" borderId="16" xfId="0" applyFont="1" applyFill="1" applyBorder="1" applyAlignment="1">
      <alignment horizontal="center"/>
    </xf>
    <xf numFmtId="0" fontId="26" fillId="16" borderId="21" xfId="0" applyFont="1" applyFill="1" applyBorder="1" applyAlignment="1">
      <alignment horizontal="center"/>
    </xf>
    <xf numFmtId="0" fontId="27" fillId="0" borderId="18" xfId="0" applyFont="1" applyFill="1" applyBorder="1" applyAlignment="1">
      <alignment horizontal="left" vertical="center"/>
    </xf>
    <xf numFmtId="0" fontId="27" fillId="0" borderId="19" xfId="0" applyFont="1" applyFill="1" applyBorder="1" applyAlignment="1">
      <alignment horizontal="left" vertical="center"/>
    </xf>
    <xf numFmtId="0" fontId="27" fillId="0" borderId="20" xfId="0" applyFont="1" applyFill="1" applyBorder="1" applyAlignment="1">
      <alignment horizontal="left" vertical="center"/>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7" fillId="0" borderId="19" xfId="0" applyFont="1" applyBorder="1" applyAlignment="1">
      <alignment horizontal="left" vertical="center"/>
    </xf>
    <xf numFmtId="0" fontId="26" fillId="16" borderId="17" xfId="0" applyFont="1" applyFill="1" applyBorder="1" applyAlignment="1">
      <alignment horizontal="center"/>
    </xf>
    <xf numFmtId="0" fontId="26" fillId="16" borderId="28" xfId="0" applyFont="1" applyFill="1" applyBorder="1" applyAlignment="1">
      <alignment horizontal="center"/>
    </xf>
    <xf numFmtId="0" fontId="26" fillId="16" borderId="13" xfId="0" applyFont="1" applyFill="1" applyBorder="1" applyAlignment="1">
      <alignment horizontal="center"/>
    </xf>
    <xf numFmtId="1" fontId="27" fillId="0" borderId="19" xfId="0" applyNumberFormat="1" applyFont="1" applyBorder="1" applyAlignment="1">
      <alignment horizontal="right" vertical="center"/>
    </xf>
    <xf numFmtId="1" fontId="27" fillId="0" borderId="20" xfId="0" applyNumberFormat="1" applyFont="1" applyBorder="1" applyAlignment="1">
      <alignment horizontal="right" vertical="center"/>
    </xf>
    <xf numFmtId="1" fontId="27" fillId="0" borderId="18" xfId="0" applyNumberFormat="1" applyFont="1" applyBorder="1" applyAlignment="1">
      <alignment horizontal="right" vertical="center"/>
    </xf>
    <xf numFmtId="0" fontId="26" fillId="16" borderId="18" xfId="0" applyFont="1" applyFill="1" applyBorder="1" applyAlignment="1">
      <alignment horizontal="center"/>
    </xf>
    <xf numFmtId="0" fontId="26" fillId="16" borderId="20" xfId="0" applyFont="1" applyFill="1" applyBorder="1" applyAlignment="1">
      <alignment horizontal="center"/>
    </xf>
    <xf numFmtId="0" fontId="26" fillId="16" borderId="12" xfId="0" applyFont="1" applyFill="1" applyBorder="1" applyAlignment="1">
      <alignment horizontal="center"/>
    </xf>
    <xf numFmtId="0" fontId="26" fillId="16" borderId="15" xfId="0" applyFont="1" applyFill="1" applyBorder="1" applyAlignment="1">
      <alignment horizontal="center"/>
    </xf>
    <xf numFmtId="0" fontId="27" fillId="0" borderId="19" xfId="0" applyFont="1" applyBorder="1" applyAlignment="1">
      <alignment horizontal="right" vertical="center"/>
    </xf>
    <xf numFmtId="0" fontId="27" fillId="0" borderId="20" xfId="0" applyFont="1" applyBorder="1" applyAlignment="1">
      <alignment horizontal="right" vertical="center"/>
    </xf>
    <xf numFmtId="166" fontId="27" fillId="0" borderId="14" xfId="0" applyNumberFormat="1" applyFont="1" applyFill="1" applyBorder="1" applyAlignment="1">
      <alignment horizontal="right" vertical="center"/>
    </xf>
    <xf numFmtId="166" fontId="27" fillId="0" borderId="15" xfId="0" applyNumberFormat="1" applyFont="1" applyFill="1" applyBorder="1" applyAlignment="1">
      <alignment horizontal="right" vertical="center"/>
    </xf>
    <xf numFmtId="166" fontId="27" fillId="0" borderId="9" xfId="0" applyNumberFormat="1" applyFont="1" applyFill="1" applyBorder="1" applyAlignment="1">
      <alignment horizontal="right" vertical="center"/>
    </xf>
    <xf numFmtId="166" fontId="27" fillId="0" borderId="0" xfId="0" applyNumberFormat="1" applyFont="1" applyFill="1" applyBorder="1" applyAlignment="1">
      <alignment horizontal="right" vertical="center"/>
    </xf>
    <xf numFmtId="0" fontId="27" fillId="0" borderId="18" xfId="0" applyFont="1" applyBorder="1" applyAlignment="1">
      <alignment horizontal="right" vertical="center"/>
    </xf>
    <xf numFmtId="0" fontId="61" fillId="0" borderId="0" xfId="0" applyFont="1" applyFill="1" applyBorder="1" applyAlignment="1">
      <alignment horizontal="center" vertical="top" wrapText="1"/>
    </xf>
    <xf numFmtId="0" fontId="62" fillId="0" borderId="0" xfId="0" applyFont="1" applyFill="1" applyBorder="1" applyAlignment="1">
      <alignment horizontal="center" vertical="top" wrapText="1"/>
    </xf>
    <xf numFmtId="0" fontId="26" fillId="16" borderId="18" xfId="0" applyFont="1" applyFill="1" applyBorder="1" applyAlignment="1">
      <alignment horizontal="center" vertical="top" wrapText="1"/>
    </xf>
    <xf numFmtId="0" fontId="26" fillId="16" borderId="19" xfId="0" applyFont="1" applyFill="1" applyBorder="1" applyAlignment="1">
      <alignment horizontal="center" vertical="top" wrapText="1"/>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43" fillId="0" borderId="17" xfId="0" applyFont="1" applyBorder="1" applyAlignment="1">
      <alignment horizontal="center"/>
    </xf>
    <xf numFmtId="0" fontId="43" fillId="0" borderId="9" xfId="0" applyFont="1" applyBorder="1" applyAlignment="1">
      <alignment horizontal="center"/>
    </xf>
    <xf numFmtId="0" fontId="41" fillId="0" borderId="18" xfId="0" applyFont="1" applyBorder="1" applyAlignment="1">
      <alignment horizontal="left" vertical="center" wrapText="1"/>
    </xf>
    <xf numFmtId="0" fontId="41" fillId="0" borderId="19" xfId="0" applyFont="1" applyBorder="1" applyAlignment="1">
      <alignment horizontal="left" vertical="center" wrapText="1"/>
    </xf>
    <xf numFmtId="0" fontId="41" fillId="0" borderId="20" xfId="0" applyFont="1" applyBorder="1" applyAlignment="1">
      <alignment horizontal="left" vertical="center" wrapText="1"/>
    </xf>
    <xf numFmtId="0" fontId="49" fillId="0" borderId="17" xfId="0" applyFont="1" applyBorder="1" applyAlignment="1">
      <alignment horizontal="left" vertical="center" wrapText="1"/>
    </xf>
    <xf numFmtId="0" fontId="49" fillId="0" borderId="9" xfId="0" applyFont="1" applyBorder="1" applyAlignment="1">
      <alignment horizontal="left" vertical="center" wrapText="1"/>
    </xf>
    <xf numFmtId="0" fontId="49" fillId="0" borderId="13" xfId="0" applyFont="1" applyBorder="1" applyAlignment="1">
      <alignment horizontal="left" vertical="center" wrapText="1"/>
    </xf>
    <xf numFmtId="0" fontId="49" fillId="0" borderId="12" xfId="0" applyFont="1" applyBorder="1" applyAlignment="1">
      <alignment horizontal="left" vertical="center" wrapText="1"/>
    </xf>
    <xf numFmtId="0" fontId="49" fillId="0" borderId="10" xfId="0" applyFont="1" applyBorder="1" applyAlignment="1">
      <alignment horizontal="left" vertical="center" wrapText="1"/>
    </xf>
    <xf numFmtId="0" fontId="49" fillId="0" borderId="15" xfId="0" applyFont="1" applyBorder="1" applyAlignment="1">
      <alignment horizontal="left" vertical="center" wrapText="1"/>
    </xf>
  </cellXfs>
  <cellStyles count="53">
    <cellStyle name="=C:\WINNT\SYSTEM32\COMMAND.COM 2" xfId="1"/>
    <cellStyle name="20% - Accent1" xfId="2" builtinId="30" customBuiltin="1"/>
    <cellStyle name="20% - Accent2" xfId="3" builtinId="34" customBuiltin="1"/>
    <cellStyle name="20% - Accent3" xfId="4" builtinId="38" customBuiltin="1"/>
    <cellStyle name="20% - Accent4" xfId="5" builtinId="42" customBuiltin="1"/>
    <cellStyle name="20% - Accent5" xfId="6" builtinId="46" customBuiltin="1"/>
    <cellStyle name="20% - Accent6" xfId="7" builtinId="50" customBuiltin="1"/>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omma" xfId="50"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eading 4 2" xfId="36"/>
    <cellStyle name="Hyperlink" xfId="52" builtinId="8"/>
    <cellStyle name="Hyperlink 2" xfId="37"/>
    <cellStyle name="Input" xfId="38" builtinId="20" customBuiltin="1"/>
    <cellStyle name="Linked Cell" xfId="39" builtinId="24" customBuiltin="1"/>
    <cellStyle name="Neutral" xfId="40" builtinId="28" customBuiltin="1"/>
    <cellStyle name="Normal" xfId="0" builtinId="0"/>
    <cellStyle name="Normal 2" xfId="41"/>
    <cellStyle name="Normal 3" xfId="42"/>
    <cellStyle name="Normal_Profile Data 15Feb2010" xfId="51"/>
    <cellStyle name="Note" xfId="43" builtinId="10" customBuiltin="1"/>
    <cellStyle name="Output" xfId="44" builtinId="21" customBuiltin="1"/>
    <cellStyle name="Percent" xfId="45" builtinId="5"/>
    <cellStyle name="Percent 2" xfId="46"/>
    <cellStyle name="Title" xfId="47" builtinId="15" customBuiltin="1"/>
    <cellStyle name="Total" xfId="48" builtinId="25" customBuiltin="1"/>
    <cellStyle name="Warning Text" xfId="49"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66CC"/>
      <rgbColor rgb="00FFFF00"/>
      <rgbColor rgb="00FF00FF"/>
      <rgbColor rgb="0000FFFF"/>
      <rgbColor rgb="00800000"/>
      <rgbColor rgb="00008000"/>
      <rgbColor rgb="00000080"/>
      <rgbColor rgb="00808000"/>
      <rgbColor rgb="00800080"/>
      <rgbColor rgb="00008080"/>
      <rgbColor rgb="00E9E9E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CCFF"/>
      <rgbColor rgb="00CC99FF"/>
      <rgbColor rgb="00FFCC99"/>
      <rgbColor rgb="003366FF"/>
      <rgbColor rgb="0033CCCC"/>
      <rgbColor rgb="0099CC00"/>
      <rgbColor rgb="00FFCC00"/>
      <rgbColor rgb="00FFCC99"/>
      <rgbColor rgb="00FF6633"/>
      <rgbColor rgb="00666699"/>
      <rgbColor rgb="00999999"/>
      <rgbColor rgb="00003366"/>
      <rgbColor rgb="00339966"/>
      <rgbColor rgb="00003300"/>
      <rgbColor rgb="00333300"/>
      <rgbColor rgb="00993300"/>
      <rgbColor rgb="00993366"/>
      <rgbColor rgb="00333399"/>
      <rgbColor rgb="00333333"/>
    </indexedColors>
    <mruColors>
      <color rgb="FF0432FF"/>
      <color rgb="FF0070C1"/>
      <color rgb="FF0070C0"/>
      <color rgb="FF38FA87"/>
      <color rgb="FF0081C3"/>
      <color rgb="FFC4D545"/>
      <color rgb="FFFFFF66"/>
      <color rgb="FF0BF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12</xdr:col>
      <xdr:colOff>340995</xdr:colOff>
      <xdr:row>66</xdr:row>
      <xdr:rowOff>114935</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675" y="66675"/>
          <a:ext cx="7589520" cy="10735310"/>
        </a:xfrm>
        <a:prstGeom prst="rect">
          <a:avLst/>
        </a:prstGeom>
        <a:noFill/>
      </xdr:spPr>
    </xdr:pic>
    <xdr:clientData/>
  </xdr:twoCellAnchor>
  <xdr:twoCellAnchor>
    <xdr:from>
      <xdr:col>0</xdr:col>
      <xdr:colOff>428625</xdr:colOff>
      <xdr:row>1</xdr:row>
      <xdr:rowOff>152400</xdr:rowOff>
    </xdr:from>
    <xdr:to>
      <xdr:col>11</xdr:col>
      <xdr:colOff>390525</xdr:colOff>
      <xdr:row>16</xdr:row>
      <xdr:rowOff>47625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28625" y="314325"/>
          <a:ext cx="6667500" cy="23241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3000" b="0">
              <a:solidFill>
                <a:srgbClr val="023864"/>
              </a:solidFill>
              <a:latin typeface="Arial" panose="020B0604020202020204" pitchFamily="34" charset="0"/>
              <a:cs typeface="Arial" panose="020B0604020202020204" pitchFamily="34" charset="0"/>
            </a:rPr>
            <a:t>LRMC Model</a:t>
          </a:r>
          <a:endParaRPr lang="en-AU" sz="3000" b="0" baseline="0">
            <a:solidFill>
              <a:srgbClr val="023864"/>
            </a:solidFill>
            <a:latin typeface="Arial" panose="020B0604020202020204" pitchFamily="34" charset="0"/>
            <a:cs typeface="Arial" panose="020B0604020202020204" pitchFamily="34" charset="0"/>
          </a:endParaRPr>
        </a:p>
        <a:p>
          <a:pPr algn="r"/>
          <a:r>
            <a:rPr lang="en-AU" sz="3000" b="0" baseline="0">
              <a:solidFill>
                <a:srgbClr val="023864"/>
              </a:solidFill>
              <a:latin typeface="Arial" panose="020B0604020202020204" pitchFamily="34" charset="0"/>
              <a:cs typeface="Arial" panose="020B0604020202020204" pitchFamily="34" charset="0"/>
            </a:rPr>
            <a:t>2020-25</a:t>
          </a:r>
        </a:p>
        <a:p>
          <a:pPr algn="r"/>
          <a:r>
            <a:rPr lang="en-AU" sz="3000" b="0" baseline="0">
              <a:solidFill>
                <a:srgbClr val="023864"/>
              </a:solidFill>
              <a:latin typeface="Arial" panose="020B0604020202020204" pitchFamily="34" charset="0"/>
              <a:cs typeface="Arial" panose="020B0604020202020204" pitchFamily="34" charset="0"/>
            </a:rPr>
            <a:t>January 2019</a:t>
          </a:r>
          <a:endParaRPr lang="en-AU" sz="3000" b="0">
            <a:solidFill>
              <a:srgbClr val="023864"/>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36</xdr:row>
          <xdr:rowOff>104775</xdr:rowOff>
        </xdr:from>
        <xdr:to>
          <xdr:col>2</xdr:col>
          <xdr:colOff>3228975</xdr:colOff>
          <xdr:row>52</xdr:row>
          <xdr:rowOff>104775</xdr:rowOff>
        </xdr:to>
        <xdr:sp macro="" textlink="">
          <xdr:nvSpPr>
            <xdr:cNvPr id="4107" name="Object 11" hidden="1">
              <a:extLst>
                <a:ext uri="{63B3BB69-23CF-44E3-9099-C40C66FF867C}">
                  <a14:compatExt spid="_x0000_s4107"/>
                </a:ext>
                <a:ext uri="{FF2B5EF4-FFF2-40B4-BE49-F238E27FC236}">
                  <a16:creationId xmlns:a16="http://schemas.microsoft.com/office/drawing/2014/main" id="{00000000-0008-0000-0A00-00000B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xdr:row>
          <xdr:rowOff>76200</xdr:rowOff>
        </xdr:from>
        <xdr:to>
          <xdr:col>2</xdr:col>
          <xdr:colOff>3200400</xdr:colOff>
          <xdr:row>19</xdr:row>
          <xdr:rowOff>85725</xdr:rowOff>
        </xdr:to>
        <xdr:sp macro="" textlink="">
          <xdr:nvSpPr>
            <xdr:cNvPr id="4109" name="Object 13" hidden="1">
              <a:extLst>
                <a:ext uri="{63B3BB69-23CF-44E3-9099-C40C66FF867C}">
                  <a14:compatExt spid="_x0000_s4109"/>
                </a:ext>
                <a:ext uri="{FF2B5EF4-FFF2-40B4-BE49-F238E27FC236}">
                  <a16:creationId xmlns:a16="http://schemas.microsoft.com/office/drawing/2014/main" id="{00000000-0008-0000-0A00-00000D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xdr:row>
          <xdr:rowOff>114300</xdr:rowOff>
        </xdr:from>
        <xdr:to>
          <xdr:col>8</xdr:col>
          <xdr:colOff>3381375</xdr:colOff>
          <xdr:row>19</xdr:row>
          <xdr:rowOff>114300</xdr:rowOff>
        </xdr:to>
        <xdr:sp macro="" textlink="">
          <xdr:nvSpPr>
            <xdr:cNvPr id="4111" name="Object 15" hidden="1">
              <a:extLst>
                <a:ext uri="{63B3BB69-23CF-44E3-9099-C40C66FF867C}">
                  <a14:compatExt spid="_x0000_s4111"/>
                </a:ext>
                <a:ext uri="{FF2B5EF4-FFF2-40B4-BE49-F238E27FC236}">
                  <a16:creationId xmlns:a16="http://schemas.microsoft.com/office/drawing/2014/main" id="{00000000-0008-0000-0A00-00000F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38100</xdr:rowOff>
        </xdr:from>
        <xdr:to>
          <xdr:col>2</xdr:col>
          <xdr:colOff>3209925</xdr:colOff>
          <xdr:row>34</xdr:row>
          <xdr:rowOff>114300</xdr:rowOff>
        </xdr:to>
        <xdr:sp macro="" textlink="">
          <xdr:nvSpPr>
            <xdr:cNvPr id="4113" name="Object 17" hidden="1">
              <a:extLst>
                <a:ext uri="{63B3BB69-23CF-44E3-9099-C40C66FF867C}">
                  <a14:compatExt spid="_x0000_s4113"/>
                </a:ext>
                <a:ext uri="{FF2B5EF4-FFF2-40B4-BE49-F238E27FC236}">
                  <a16:creationId xmlns:a16="http://schemas.microsoft.com/office/drawing/2014/main" id="{00000000-0008-0000-0A00-000011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36</xdr:row>
          <xdr:rowOff>76200</xdr:rowOff>
        </xdr:from>
        <xdr:to>
          <xdr:col>5</xdr:col>
          <xdr:colOff>3190875</xdr:colOff>
          <xdr:row>52</xdr:row>
          <xdr:rowOff>114300</xdr:rowOff>
        </xdr:to>
        <xdr:sp macro="" textlink="">
          <xdr:nvSpPr>
            <xdr:cNvPr id="4118" name="Object 22" hidden="1">
              <a:extLst>
                <a:ext uri="{63B3BB69-23CF-44E3-9099-C40C66FF867C}">
                  <a14:compatExt spid="_x0000_s4118"/>
                </a:ext>
                <a:ext uri="{FF2B5EF4-FFF2-40B4-BE49-F238E27FC236}">
                  <a16:creationId xmlns:a16="http://schemas.microsoft.com/office/drawing/2014/main" id="{00000000-0008-0000-0A00-000016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xdr:row>
          <xdr:rowOff>38100</xdr:rowOff>
        </xdr:from>
        <xdr:to>
          <xdr:col>5</xdr:col>
          <xdr:colOff>3267075</xdr:colOff>
          <xdr:row>34</xdr:row>
          <xdr:rowOff>142875</xdr:rowOff>
        </xdr:to>
        <xdr:sp macro="" textlink="">
          <xdr:nvSpPr>
            <xdr:cNvPr id="4121" name="Object 25" hidden="1">
              <a:extLst>
                <a:ext uri="{63B3BB69-23CF-44E3-9099-C40C66FF867C}">
                  <a14:compatExt spid="_x0000_s4121"/>
                </a:ext>
                <a:ext uri="{FF2B5EF4-FFF2-40B4-BE49-F238E27FC236}">
                  <a16:creationId xmlns:a16="http://schemas.microsoft.com/office/drawing/2014/main" id="{00000000-0008-0000-0A00-000019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36</xdr:row>
          <xdr:rowOff>66675</xdr:rowOff>
        </xdr:from>
        <xdr:to>
          <xdr:col>8</xdr:col>
          <xdr:colOff>3381375</xdr:colOff>
          <xdr:row>52</xdr:row>
          <xdr:rowOff>123825</xdr:rowOff>
        </xdr:to>
        <xdr:sp macro="" textlink="">
          <xdr:nvSpPr>
            <xdr:cNvPr id="4122" name="Object 26" hidden="1">
              <a:extLst>
                <a:ext uri="{63B3BB69-23CF-44E3-9099-C40C66FF867C}">
                  <a14:compatExt spid="_x0000_s4122"/>
                </a:ext>
                <a:ext uri="{FF2B5EF4-FFF2-40B4-BE49-F238E27FC236}">
                  <a16:creationId xmlns:a16="http://schemas.microsoft.com/office/drawing/2014/main" id="{00000000-0008-0000-0A00-00001A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3" Type="http://schemas.openxmlformats.org/officeDocument/2006/relationships/vmlDrawing" Target="../drawings/vmlDrawing2.vml"/><Relationship Id="rId7" Type="http://schemas.openxmlformats.org/officeDocument/2006/relationships/image" Target="../media/image3.emf"/><Relationship Id="rId12" Type="http://schemas.openxmlformats.org/officeDocument/2006/relationships/oleObject" Target="../embeddings/oleObject5.bin"/><Relationship Id="rId17" Type="http://schemas.openxmlformats.org/officeDocument/2006/relationships/image" Target="../media/image8.emf"/><Relationship Id="rId2" Type="http://schemas.openxmlformats.org/officeDocument/2006/relationships/drawing" Target="../drawings/drawing2.xml"/><Relationship Id="rId16" Type="http://schemas.openxmlformats.org/officeDocument/2006/relationships/oleObject" Target="../embeddings/oleObject7.bin"/><Relationship Id="rId1" Type="http://schemas.openxmlformats.org/officeDocument/2006/relationships/printerSettings" Target="../printerSettings/printerSettings8.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
  <sheetViews>
    <sheetView tabSelected="1" zoomScaleNormal="100" workbookViewId="0"/>
  </sheetViews>
  <sheetFormatPr defaultRowHeight="12.7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pageSetUpPr fitToPage="1"/>
  </sheetPr>
  <dimension ref="B2:P63"/>
  <sheetViews>
    <sheetView showGridLines="0" zoomScaleNormal="100" workbookViewId="0"/>
  </sheetViews>
  <sheetFormatPr defaultColWidth="8.85546875" defaultRowHeight="15" x14ac:dyDescent="0.2"/>
  <cols>
    <col min="1" max="1" width="8.85546875" style="83"/>
    <col min="2" max="2" width="3.85546875" style="83" customWidth="1"/>
    <col min="3" max="3" width="23.28515625" style="83" customWidth="1"/>
    <col min="4" max="4" width="20.42578125" style="83" bestFit="1" customWidth="1"/>
    <col min="5" max="5" width="16" style="83" customWidth="1"/>
    <col min="6" max="6" width="17.7109375" style="83" customWidth="1"/>
    <col min="7" max="11" width="16" style="83" customWidth="1"/>
    <col min="12" max="12" width="18" style="83" customWidth="1"/>
    <col min="13" max="13" width="11.7109375" style="83" bestFit="1" customWidth="1"/>
    <col min="14" max="14" width="11.28515625" style="300" customWidth="1"/>
    <col min="15" max="15" width="10.42578125" style="83" customWidth="1"/>
    <col min="16" max="16" width="9.28515625" style="83" customWidth="1"/>
    <col min="17" max="17" width="11.7109375" style="83" customWidth="1"/>
    <col min="18" max="18" width="10.28515625" style="83" customWidth="1"/>
    <col min="19" max="16384" width="8.85546875" style="83"/>
  </cols>
  <sheetData>
    <row r="2" spans="2:14" x14ac:dyDescent="0.2">
      <c r="B2" s="82" t="s">
        <v>175</v>
      </c>
    </row>
    <row r="3" spans="2:14" x14ac:dyDescent="0.2">
      <c r="B3" s="314"/>
    </row>
    <row r="4" spans="2:14" x14ac:dyDescent="0.2">
      <c r="B4" s="82" t="s">
        <v>177</v>
      </c>
    </row>
    <row r="6" spans="2:14" ht="27.75" customHeight="1" x14ac:dyDescent="0.2">
      <c r="C6" s="315" t="s">
        <v>47</v>
      </c>
      <c r="D6" s="316" t="s">
        <v>318</v>
      </c>
      <c r="E6" s="317" t="s">
        <v>195</v>
      </c>
      <c r="F6" s="317" t="s">
        <v>176</v>
      </c>
      <c r="L6" s="300"/>
      <c r="N6" s="83"/>
    </row>
    <row r="7" spans="2:14" x14ac:dyDescent="0.2">
      <c r="C7" s="318" t="s">
        <v>0</v>
      </c>
      <c r="D7" s="319">
        <f>'Calcs - LRIC - $kW by voltage'!O7</f>
        <v>28.015243994109102</v>
      </c>
      <c r="E7" s="320">
        <f>'Inputs - tariff class'!D45</f>
        <v>4406.7203750142944</v>
      </c>
      <c r="F7" s="544">
        <f>D7*E7*1000</f>
        <v>123455346.51983742</v>
      </c>
      <c r="L7" s="300"/>
      <c r="N7" s="83"/>
    </row>
    <row r="8" spans="2:14" x14ac:dyDescent="0.2">
      <c r="C8" s="318" t="s">
        <v>1</v>
      </c>
      <c r="D8" s="321">
        <f>'Calcs - LRIC - $kW by voltage'!O8</f>
        <v>8.8845757117985205</v>
      </c>
      <c r="E8" s="322">
        <f>'Inputs - tariff class'!D46</f>
        <v>3102.4350757766729</v>
      </c>
      <c r="F8" s="545">
        <f t="shared" ref="F8:F14" si="0">D8*E8*1000</f>
        <v>27563819.32167723</v>
      </c>
      <c r="L8" s="300"/>
      <c r="N8" s="83"/>
    </row>
    <row r="9" spans="2:14" x14ac:dyDescent="0.2">
      <c r="C9" s="318" t="s">
        <v>2</v>
      </c>
      <c r="D9" s="321">
        <f>'Calcs - LRIC - $kW by voltage'!O9</f>
        <v>30.190747936039244</v>
      </c>
      <c r="E9" s="322">
        <f>'Inputs - tariff class'!D47</f>
        <v>3029.519061776673</v>
      </c>
      <c r="F9" s="545">
        <f t="shared" si="0"/>
        <v>91463446.36152564</v>
      </c>
      <c r="L9" s="300"/>
      <c r="N9" s="83"/>
    </row>
    <row r="10" spans="2:14" x14ac:dyDescent="0.2">
      <c r="C10" s="318" t="s">
        <v>3</v>
      </c>
      <c r="D10" s="321">
        <f>'Calcs - LRIC - $kW by voltage'!O10</f>
        <v>17.245504227503147</v>
      </c>
      <c r="E10" s="322">
        <f>'Inputs - tariff class'!D48</f>
        <v>2956.6030477766731</v>
      </c>
      <c r="F10" s="545">
        <f t="shared" si="0"/>
        <v>50988110.359481305</v>
      </c>
      <c r="L10" s="300"/>
      <c r="N10" s="83"/>
    </row>
    <row r="11" spans="2:14" x14ac:dyDescent="0.2">
      <c r="C11" s="318" t="s">
        <v>48</v>
      </c>
      <c r="D11" s="321">
        <f>'Calcs - LRIC - $kW by voltage'!O11</f>
        <v>20.968198746483935</v>
      </c>
      <c r="E11" s="322">
        <f>'Inputs - tariff class'!D49</f>
        <v>1267.1155919042885</v>
      </c>
      <c r="F11" s="545">
        <f t="shared" si="0"/>
        <v>26569131.565817751</v>
      </c>
      <c r="L11" s="300"/>
      <c r="N11" s="83"/>
    </row>
    <row r="12" spans="2:14" x14ac:dyDescent="0.2">
      <c r="C12" s="318" t="s">
        <v>5</v>
      </c>
      <c r="D12" s="321">
        <f>'Calcs - LRIC - $kW by voltage'!O12</f>
        <v>22.411189543954865</v>
      </c>
      <c r="E12" s="322">
        <f>'Inputs - tariff class'!D50</f>
        <v>3998.1410223476282</v>
      </c>
      <c r="F12" s="545">
        <f t="shared" si="0"/>
        <v>89603096.275294185</v>
      </c>
      <c r="L12" s="300"/>
      <c r="N12" s="83"/>
    </row>
    <row r="13" spans="2:14" x14ac:dyDescent="0.2">
      <c r="C13" s="318" t="s">
        <v>6</v>
      </c>
      <c r="D13" s="321">
        <f>'Calcs - LRIC - $kW by voltage'!O13</f>
        <v>19.736644784555004</v>
      </c>
      <c r="E13" s="322">
        <f>'Inputs - tariff class'!D51</f>
        <v>3543.2018456809615</v>
      </c>
      <c r="F13" s="545">
        <f t="shared" si="0"/>
        <v>69930916.228184804</v>
      </c>
      <c r="L13" s="300"/>
      <c r="N13" s="83"/>
    </row>
    <row r="14" spans="2:14" x14ac:dyDescent="0.2">
      <c r="C14" s="323" t="s">
        <v>7</v>
      </c>
      <c r="D14" s="324">
        <f>'Calcs - LRIC - $kW by voltage'!O14</f>
        <v>46.605870890564759</v>
      </c>
      <c r="E14" s="325">
        <f>'Inputs - tariff class'!D52</f>
        <v>3016.6935655103489</v>
      </c>
      <c r="F14" s="546">
        <f t="shared" si="0"/>
        <v>140595630.83057278</v>
      </c>
      <c r="L14" s="300"/>
      <c r="N14" s="83"/>
    </row>
    <row r="15" spans="2:14" ht="15" customHeight="1" x14ac:dyDescent="0.2">
      <c r="D15" s="326"/>
      <c r="E15" s="327"/>
      <c r="F15" s="326">
        <f>SUM(F7:F14)</f>
        <v>620169497.46239114</v>
      </c>
      <c r="L15" s="300"/>
      <c r="N15" s="83"/>
    </row>
    <row r="16" spans="2:14" ht="15" customHeight="1" x14ac:dyDescent="0.2"/>
    <row r="17" spans="2:16" ht="15" customHeight="1" x14ac:dyDescent="0.2">
      <c r="B17" s="82" t="s">
        <v>178</v>
      </c>
      <c r="E17" s="84"/>
    </row>
    <row r="18" spans="2:16" ht="15" customHeight="1" x14ac:dyDescent="0.2"/>
    <row r="19" spans="2:16" ht="15" customHeight="1" x14ac:dyDescent="0.2">
      <c r="C19" s="705" t="s">
        <v>150</v>
      </c>
      <c r="D19" s="328" t="s">
        <v>0</v>
      </c>
      <c r="E19" s="328" t="s">
        <v>1</v>
      </c>
      <c r="F19" s="328" t="s">
        <v>2</v>
      </c>
      <c r="G19" s="328" t="s">
        <v>3</v>
      </c>
      <c r="H19" s="328" t="s">
        <v>48</v>
      </c>
      <c r="I19" s="328" t="s">
        <v>5</v>
      </c>
      <c r="J19" s="328" t="s">
        <v>6</v>
      </c>
      <c r="K19" s="317" t="s">
        <v>7</v>
      </c>
      <c r="L19" s="736" t="s">
        <v>20</v>
      </c>
      <c r="P19" s="734"/>
    </row>
    <row r="20" spans="2:16" ht="15" customHeight="1" x14ac:dyDescent="0.2">
      <c r="C20" s="706"/>
      <c r="D20" s="479">
        <f>F7</f>
        <v>123455346.51983742</v>
      </c>
      <c r="E20" s="479">
        <f>F8</f>
        <v>27563819.32167723</v>
      </c>
      <c r="F20" s="479">
        <f>F9</f>
        <v>91463446.36152564</v>
      </c>
      <c r="G20" s="479">
        <f>F10</f>
        <v>50988110.359481305</v>
      </c>
      <c r="H20" s="479">
        <f>F11</f>
        <v>26569131.565817751</v>
      </c>
      <c r="I20" s="479">
        <f>F12</f>
        <v>89603096.275294185</v>
      </c>
      <c r="J20" s="479">
        <f>F13</f>
        <v>69930916.228184804</v>
      </c>
      <c r="K20" s="479">
        <f>F14</f>
        <v>140595630.83057278</v>
      </c>
      <c r="L20" s="737"/>
      <c r="P20" s="735"/>
    </row>
    <row r="21" spans="2:16" ht="15" customHeight="1" x14ac:dyDescent="0.2">
      <c r="C21" s="329" t="s">
        <v>86</v>
      </c>
      <c r="D21" s="326">
        <f>'Inputs - tariff class'!D73*D$20</f>
        <v>1041318.4201329595</v>
      </c>
      <c r="E21" s="330">
        <f>'Inputs - tariff class'!E73*E$20</f>
        <v>0</v>
      </c>
      <c r="F21" s="330">
        <f>'Inputs - tariff class'!F73*F$20</f>
        <v>0</v>
      </c>
      <c r="G21" s="330">
        <f>'Inputs - tariff class'!G73*G$20</f>
        <v>0</v>
      </c>
      <c r="H21" s="330">
        <f>'Inputs - tariff class'!H73*H$20</f>
        <v>0</v>
      </c>
      <c r="I21" s="330">
        <f>'Inputs - tariff class'!I73*I$20</f>
        <v>0</v>
      </c>
      <c r="J21" s="330">
        <f>'Inputs - tariff class'!J73*J$20</f>
        <v>0</v>
      </c>
      <c r="K21" s="343">
        <f>'Inputs - tariff class'!K73*K$20</f>
        <v>0</v>
      </c>
      <c r="L21" s="331">
        <f>SUM(D21:K21)</f>
        <v>1041318.4201329595</v>
      </c>
      <c r="P21" s="332"/>
    </row>
    <row r="22" spans="2:16" ht="15" customHeight="1" x14ac:dyDescent="0.2">
      <c r="C22" s="329" t="s">
        <v>87</v>
      </c>
      <c r="D22" s="333">
        <f>'Inputs - tariff class'!D74*D$20</f>
        <v>4085519.84657575</v>
      </c>
      <c r="E22" s="333">
        <f>'Inputs - tariff class'!E74*E$20</f>
        <v>1295655.6939711217</v>
      </c>
      <c r="F22" s="333">
        <f>'Inputs - tariff class'!F74*F$20</f>
        <v>2201388.9991747085</v>
      </c>
      <c r="G22" s="334">
        <f>'Inputs - tariff class'!G74*G$20</f>
        <v>0</v>
      </c>
      <c r="H22" s="334">
        <f>'Inputs - tariff class'!H74*H$20</f>
        <v>0</v>
      </c>
      <c r="I22" s="334">
        <f>'Inputs - tariff class'!I74*I$20</f>
        <v>0</v>
      </c>
      <c r="J22" s="334">
        <f>'Inputs - tariff class'!J74*J$20</f>
        <v>0</v>
      </c>
      <c r="K22" s="334">
        <f>'Inputs - tariff class'!K74*K$20</f>
        <v>0</v>
      </c>
      <c r="L22" s="335">
        <f t="shared" ref="L22:L29" si="1">SUM(D22:K22)</f>
        <v>7582564.5397215802</v>
      </c>
      <c r="P22" s="332"/>
    </row>
    <row r="23" spans="2:16" ht="15" customHeight="1" x14ac:dyDescent="0.2">
      <c r="C23" s="329" t="s">
        <v>319</v>
      </c>
      <c r="D23" s="333">
        <f>'Inputs - tariff class'!D75*D$20</f>
        <v>2493753.7475135941</v>
      </c>
      <c r="E23" s="333">
        <f>'Inputs - tariff class'!E75*E$20</f>
        <v>553597.20538993902</v>
      </c>
      <c r="F23" s="333">
        <f>'Inputs - tariff class'!F75*F$20</f>
        <v>1881183.1007110693</v>
      </c>
      <c r="G23" s="333">
        <f>'Inputs - tariff class'!G75*G$20</f>
        <v>1074565.9956735843</v>
      </c>
      <c r="H23" s="333">
        <f>'Inputs - tariff class'!H75*H$20</f>
        <v>559940.05492491147</v>
      </c>
      <c r="I23" s="334">
        <f>'Inputs - tariff class'!I75*I$20</f>
        <v>0</v>
      </c>
      <c r="J23" s="334">
        <f>'Inputs - tariff class'!J75*J$20</f>
        <v>0</v>
      </c>
      <c r="K23" s="334">
        <f>'Inputs - tariff class'!K75*K$20</f>
        <v>0</v>
      </c>
      <c r="L23" s="335">
        <f t="shared" si="1"/>
        <v>6563040.104213099</v>
      </c>
      <c r="P23" s="332"/>
    </row>
    <row r="24" spans="2:16" ht="15" customHeight="1" x14ac:dyDescent="0.2">
      <c r="C24" s="329" t="s">
        <v>88</v>
      </c>
      <c r="D24" s="334">
        <f>'Inputs - tariff class'!D76*D$20</f>
        <v>0</v>
      </c>
      <c r="E24" s="334">
        <f>'Inputs - tariff class'!E76*E$20</f>
        <v>0</v>
      </c>
      <c r="F24" s="334">
        <f>'Inputs - tariff class'!F76*F$20</f>
        <v>0</v>
      </c>
      <c r="G24" s="334">
        <f>'Inputs - tariff class'!G76*G$20</f>
        <v>0</v>
      </c>
      <c r="H24" s="334">
        <f>'Inputs - tariff class'!H76*H$20</f>
        <v>0</v>
      </c>
      <c r="I24" s="334">
        <f>'Inputs - tariff class'!I76*I$20</f>
        <v>0</v>
      </c>
      <c r="J24" s="334">
        <f>'Inputs - tariff class'!J76*J$20</f>
        <v>0</v>
      </c>
      <c r="K24" s="334">
        <f>'Inputs - tariff class'!K76*K$20</f>
        <v>0</v>
      </c>
      <c r="L24" s="567">
        <f t="shared" si="1"/>
        <v>0</v>
      </c>
      <c r="P24" s="332"/>
    </row>
    <row r="25" spans="2:16" ht="15" customHeight="1" x14ac:dyDescent="0.2">
      <c r="C25" s="329" t="s">
        <v>154</v>
      </c>
      <c r="D25" s="333">
        <f>'Inputs - tariff class'!D77*D$20</f>
        <v>3825858.2416895134</v>
      </c>
      <c r="E25" s="333">
        <f>'Inputs - tariff class'!E77*E$20</f>
        <v>849315.78866964078</v>
      </c>
      <c r="F25" s="333">
        <f>'Inputs - tariff class'!F77*F$20</f>
        <v>2886066.788735019</v>
      </c>
      <c r="G25" s="333">
        <f>'Inputs - tariff class'!G77*G$20</f>
        <v>1648573.8316728764</v>
      </c>
      <c r="H25" s="333">
        <f>'Inputs - tariff class'!H77*H$20</f>
        <v>859046.83897617809</v>
      </c>
      <c r="I25" s="334">
        <f>'Inputs - tariff class'!I77*I$20</f>
        <v>0</v>
      </c>
      <c r="J25" s="334">
        <f>'Inputs - tariff class'!J77*J$20</f>
        <v>0</v>
      </c>
      <c r="K25" s="334">
        <f>'Inputs - tariff class'!K77*K$20</f>
        <v>0</v>
      </c>
      <c r="L25" s="335">
        <f t="shared" si="1"/>
        <v>10068861.489743229</v>
      </c>
      <c r="P25" s="332"/>
    </row>
    <row r="26" spans="2:16" ht="15" customHeight="1" x14ac:dyDescent="0.2">
      <c r="C26" s="329" t="s">
        <v>155</v>
      </c>
      <c r="D26" s="333">
        <f>'Inputs - tariff class'!D78*D$20</f>
        <v>12745232.036795778</v>
      </c>
      <c r="E26" s="333">
        <f>'Inputs - tariff class'!E78*E$20</f>
        <v>2829359.0915507986</v>
      </c>
      <c r="F26" s="333">
        <f>'Inputs - tariff class'!F78*F$20</f>
        <v>9614467.8062807936</v>
      </c>
      <c r="G26" s="333">
        <f>'Inputs - tariff class'!G78*G$20</f>
        <v>5491958.8461232614</v>
      </c>
      <c r="H26" s="333">
        <f>'Inputs - tariff class'!H78*H$20</f>
        <v>2861776.5221725306</v>
      </c>
      <c r="I26" s="333">
        <f>'Inputs - tariff class'!I78*I$20</f>
        <v>10195728.119247438</v>
      </c>
      <c r="J26" s="334">
        <f>'Inputs - tariff class'!J78*J$20</f>
        <v>0</v>
      </c>
      <c r="K26" s="334">
        <f>'Inputs - tariff class'!K78*K$20</f>
        <v>0</v>
      </c>
      <c r="L26" s="335">
        <f t="shared" si="1"/>
        <v>43738522.422170602</v>
      </c>
      <c r="P26" s="332"/>
    </row>
    <row r="27" spans="2:16" ht="15" customHeight="1" x14ac:dyDescent="0.2">
      <c r="C27" s="329" t="s">
        <v>350</v>
      </c>
      <c r="D27" s="333">
        <f>'Inputs - tariff class'!D79*D$20</f>
        <v>14750257.933898468</v>
      </c>
      <c r="E27" s="333">
        <f>'Inputs - tariff class'!E79*E$20</f>
        <v>3274461.8746452443</v>
      </c>
      <c r="F27" s="333">
        <f>'Inputs - tariff class'!F79*F$20</f>
        <v>11126975.141007947</v>
      </c>
      <c r="G27" s="333">
        <f>'Inputs - tariff class'!G79*G$20</f>
        <v>6355930.5400483971</v>
      </c>
      <c r="H27" s="333">
        <f>'Inputs - tariff class'!H79*H$20</f>
        <v>3311979.0780860549</v>
      </c>
      <c r="I27" s="333">
        <f>'Inputs - tariff class'!I79*I$20</f>
        <v>11799676.863365291</v>
      </c>
      <c r="J27" s="333">
        <f>'Inputs - tariff class'!J79*J$20</f>
        <v>10391506.901854346</v>
      </c>
      <c r="K27" s="334">
        <f>'Inputs - tariff class'!K79*K$20</f>
        <v>0</v>
      </c>
      <c r="L27" s="335">
        <f t="shared" si="1"/>
        <v>61010788.332905747</v>
      </c>
      <c r="P27" s="332"/>
    </row>
    <row r="28" spans="2:16" ht="15" customHeight="1" x14ac:dyDescent="0.2">
      <c r="C28" s="329" t="s">
        <v>344</v>
      </c>
      <c r="D28" s="333">
        <f>'Inputs - tariff class'!D80*D$20</f>
        <v>14750257.933898468</v>
      </c>
      <c r="E28" s="333">
        <f>'Inputs - tariff class'!E80*E$20</f>
        <v>3274461.8746452443</v>
      </c>
      <c r="F28" s="333">
        <f>'Inputs - tariff class'!F80*F$20</f>
        <v>11126975.141007947</v>
      </c>
      <c r="G28" s="333">
        <f>'Inputs - tariff class'!G80*G$20</f>
        <v>6355930.5400483971</v>
      </c>
      <c r="H28" s="333">
        <f>'Inputs - tariff class'!H80*H$20</f>
        <v>3311979.0780860549</v>
      </c>
      <c r="I28" s="333">
        <f>'Inputs - tariff class'!I80*I$20</f>
        <v>11799676.863365291</v>
      </c>
      <c r="J28" s="333">
        <f>'Inputs - tariff class'!J80*J$20</f>
        <v>10391506.901854346</v>
      </c>
      <c r="K28" s="333">
        <f>'Inputs - tariff class'!K80*K$20</f>
        <v>24538376.92844487</v>
      </c>
      <c r="L28" s="335">
        <f t="shared" si="1"/>
        <v>85549165.261350617</v>
      </c>
      <c r="P28" s="332"/>
    </row>
    <row r="29" spans="2:16" ht="15" customHeight="1" x14ac:dyDescent="0.2">
      <c r="C29" s="336" t="s">
        <v>345</v>
      </c>
      <c r="D29" s="337">
        <f>'Inputs - tariff class'!D81*D$20</f>
        <v>69763148.359332904</v>
      </c>
      <c r="E29" s="337">
        <f>'Inputs - tariff class'!E81*E$20</f>
        <v>15486967.792805241</v>
      </c>
      <c r="F29" s="337">
        <f>'Inputs - tariff class'!F81*F$20</f>
        <v>52626389.384608157</v>
      </c>
      <c r="G29" s="337">
        <f>'Inputs - tariff class'!G81*G$20</f>
        <v>30061150.605914786</v>
      </c>
      <c r="H29" s="337">
        <f>'Inputs - tariff class'!H81*H$20</f>
        <v>15664409.993572017</v>
      </c>
      <c r="I29" s="337">
        <f>'Inputs - tariff class'!I81*I$20</f>
        <v>55808014.429316163</v>
      </c>
      <c r="J29" s="337">
        <f>'Inputs - tariff class'!J81*J$20</f>
        <v>49147902.424476117</v>
      </c>
      <c r="K29" s="337">
        <f>'Inputs - tariff class'!K81*K$20</f>
        <v>116057253.90212792</v>
      </c>
      <c r="L29" s="338">
        <f t="shared" si="1"/>
        <v>404615236.89215332</v>
      </c>
      <c r="P29" s="332"/>
    </row>
    <row r="30" spans="2:16" ht="15" customHeight="1" x14ac:dyDescent="0.2">
      <c r="D30" s="326">
        <f>SUM(D21:D29)</f>
        <v>123455346.51983742</v>
      </c>
      <c r="E30" s="326">
        <f t="shared" ref="E30:K30" si="2">SUM(E21:E29)</f>
        <v>27563819.32167723</v>
      </c>
      <c r="F30" s="326">
        <f t="shared" si="2"/>
        <v>91463446.36152564</v>
      </c>
      <c r="G30" s="326">
        <f t="shared" si="2"/>
        <v>50988110.359481305</v>
      </c>
      <c r="H30" s="326">
        <f t="shared" si="2"/>
        <v>26569131.565817747</v>
      </c>
      <c r="I30" s="326">
        <f t="shared" si="2"/>
        <v>89603096.275294185</v>
      </c>
      <c r="J30" s="326">
        <f t="shared" si="2"/>
        <v>69930916.228184804</v>
      </c>
      <c r="K30" s="326">
        <f t="shared" si="2"/>
        <v>140595630.83057278</v>
      </c>
      <c r="L30" s="333">
        <f>SUM(L21:L29)</f>
        <v>620169497.46239114</v>
      </c>
      <c r="P30" s="332"/>
    </row>
    <row r="31" spans="2:16" ht="15" customHeight="1" x14ac:dyDescent="0.2">
      <c r="P31" s="47"/>
    </row>
    <row r="32" spans="2:16" ht="15" customHeight="1" x14ac:dyDescent="0.2">
      <c r="B32" s="82" t="s">
        <v>358</v>
      </c>
      <c r="E32" s="348"/>
      <c r="N32" s="83"/>
    </row>
    <row r="33" spans="2:14" ht="15" customHeight="1" x14ac:dyDescent="0.2">
      <c r="E33" s="347"/>
      <c r="N33" s="83"/>
    </row>
    <row r="34" spans="2:14" ht="30" x14ac:dyDescent="0.2">
      <c r="C34" s="317" t="s">
        <v>47</v>
      </c>
      <c r="D34" s="317" t="s">
        <v>179</v>
      </c>
      <c r="E34" s="575" t="s">
        <v>356</v>
      </c>
      <c r="F34" s="317" t="s">
        <v>302</v>
      </c>
      <c r="G34" s="317" t="s">
        <v>151</v>
      </c>
      <c r="H34" s="317" t="s">
        <v>303</v>
      </c>
      <c r="N34" s="83"/>
    </row>
    <row r="35" spans="2:14" ht="15" customHeight="1" x14ac:dyDescent="0.2">
      <c r="C35" s="307" t="s">
        <v>277</v>
      </c>
      <c r="D35" s="292">
        <f>L$21</f>
        <v>1041318.4201329595</v>
      </c>
      <c r="E35" s="291">
        <f>'Inputs - tariff class'!E$30</f>
        <v>38.835454424057552</v>
      </c>
      <c r="F35" s="349">
        <f t="shared" ref="F35:F40" si="3">D35/E35/1000</f>
        <v>26.813602044215813</v>
      </c>
      <c r="G35" s="341">
        <f>'Inputs - tariff class'!F$30</f>
        <v>0.95</v>
      </c>
      <c r="H35" s="308">
        <f t="shared" ref="H35:H40" si="4">F35*G35</f>
        <v>25.472921942005019</v>
      </c>
      <c r="N35" s="83"/>
    </row>
    <row r="36" spans="2:14" ht="15" customHeight="1" x14ac:dyDescent="0.2">
      <c r="C36" s="309" t="s">
        <v>269</v>
      </c>
      <c r="D36" s="294">
        <f>L$22+L$24</f>
        <v>7582564.5397215802</v>
      </c>
      <c r="E36" s="293">
        <f>'Inputs - tariff class'!E$31+'Inputs - tariff class'!E$33</f>
        <v>152.3674379831065</v>
      </c>
      <c r="F36" s="350">
        <f t="shared" si="3"/>
        <v>49.764993361391852</v>
      </c>
      <c r="G36" s="341">
        <f>'Inputs - tariff class'!F$31</f>
        <v>0.9</v>
      </c>
      <c r="H36" s="310">
        <f t="shared" si="4"/>
        <v>44.788494025252668</v>
      </c>
      <c r="N36" s="83"/>
    </row>
    <row r="37" spans="2:14" x14ac:dyDescent="0.2">
      <c r="C37" s="309" t="s">
        <v>299</v>
      </c>
      <c r="D37" s="294">
        <f>L$23+L$25</f>
        <v>16631901.593956329</v>
      </c>
      <c r="E37" s="293">
        <f>'Inputs - tariff class'!E$32+'Inputs - tariff class'!E$34</f>
        <v>235.6867972748318</v>
      </c>
      <c r="F37" s="350">
        <f t="shared" si="3"/>
        <v>70.56781197023119</v>
      </c>
      <c r="G37" s="341">
        <f>'Inputs - tariff class'!F$34</f>
        <v>0.9</v>
      </c>
      <c r="H37" s="310">
        <f t="shared" si="4"/>
        <v>63.51103077320807</v>
      </c>
      <c r="N37" s="83"/>
    </row>
    <row r="38" spans="2:14" x14ac:dyDescent="0.2">
      <c r="C38" s="309" t="s">
        <v>300</v>
      </c>
      <c r="D38" s="294">
        <f>L$26</f>
        <v>43738522.422170602</v>
      </c>
      <c r="E38" s="293">
        <f>'Inputs - tariff class'!E$35</f>
        <v>475.32711255201014</v>
      </c>
      <c r="F38" s="350">
        <f t="shared" si="3"/>
        <v>92.017731089102881</v>
      </c>
      <c r="G38" s="341">
        <f>'Inputs - tariff class'!F$35</f>
        <v>0.9</v>
      </c>
      <c r="H38" s="310">
        <f t="shared" si="4"/>
        <v>82.815957980192593</v>
      </c>
      <c r="N38" s="83"/>
    </row>
    <row r="39" spans="2:14" x14ac:dyDescent="0.2">
      <c r="C39" s="309" t="s">
        <v>301</v>
      </c>
      <c r="D39" s="294">
        <f>L$27</f>
        <v>61010788.332905747</v>
      </c>
      <c r="E39" s="345">
        <f>'Inputs - tariff class'!E$37</f>
        <v>550.10355973715104</v>
      </c>
      <c r="F39" s="350">
        <f t="shared" si="3"/>
        <v>110.9078231779808</v>
      </c>
      <c r="G39" s="341">
        <f>'Inputs - tariff class'!F$37</f>
        <v>0.9</v>
      </c>
      <c r="H39" s="310">
        <f t="shared" si="4"/>
        <v>99.817040860182729</v>
      </c>
      <c r="N39" s="83"/>
    </row>
    <row r="40" spans="2:14" x14ac:dyDescent="0.2">
      <c r="C40" s="311" t="s">
        <v>97</v>
      </c>
      <c r="D40" s="297">
        <f>L$29+L$28</f>
        <v>490164402.15350395</v>
      </c>
      <c r="E40" s="346">
        <f>'Inputs - tariff class'!E$38+'Inputs - tariff class'!E$37</f>
        <v>3151.885604696758</v>
      </c>
      <c r="F40" s="351">
        <f t="shared" si="3"/>
        <v>155.51465491738952</v>
      </c>
      <c r="G40" s="342">
        <f>'Inputs - tariff class'!F$38</f>
        <v>0.9</v>
      </c>
      <c r="H40" s="312">
        <f t="shared" si="4"/>
        <v>139.96318942565057</v>
      </c>
      <c r="N40" s="83"/>
    </row>
    <row r="41" spans="2:14" x14ac:dyDescent="0.2">
      <c r="D41" s="301">
        <f>SUM(D35:D40)</f>
        <v>620169497.46239114</v>
      </c>
      <c r="E41" s="313">
        <f>SUM(E35:E40)</f>
        <v>4604.2059666679152</v>
      </c>
      <c r="H41" s="302"/>
    </row>
    <row r="42" spans="2:14" x14ac:dyDescent="0.2">
      <c r="D42" s="301"/>
      <c r="E42" s="348">
        <f>'Inputs - tariff class'!E$39</f>
        <v>4604.2059666679152</v>
      </c>
      <c r="H42" s="302"/>
    </row>
    <row r="44" spans="2:14" x14ac:dyDescent="0.2">
      <c r="B44" s="82" t="s">
        <v>355</v>
      </c>
    </row>
    <row r="46" spans="2:14" ht="60" x14ac:dyDescent="0.2">
      <c r="C46" s="317" t="s">
        <v>47</v>
      </c>
      <c r="D46" s="317" t="s">
        <v>179</v>
      </c>
      <c r="E46" s="575" t="s">
        <v>337</v>
      </c>
      <c r="F46" s="317" t="s">
        <v>302</v>
      </c>
      <c r="G46" s="317" t="s">
        <v>151</v>
      </c>
      <c r="H46" s="317" t="s">
        <v>303</v>
      </c>
    </row>
    <row r="47" spans="2:14" x14ac:dyDescent="0.2">
      <c r="C47" s="307" t="s">
        <v>277</v>
      </c>
      <c r="D47" s="292">
        <f>L$21</f>
        <v>1041318.4201329595</v>
      </c>
      <c r="E47" s="291">
        <f>'Inputs - tariff class'!H$30</f>
        <v>37.169707333333328</v>
      </c>
      <c r="F47" s="349">
        <f t="shared" ref="F47:F52" si="5">D47/E47/1000</f>
        <v>28.015243994109099</v>
      </c>
      <c r="G47" s="341">
        <f>'Inputs - tariff class'!F$30</f>
        <v>0.95</v>
      </c>
      <c r="H47" s="308">
        <f t="shared" ref="H47:H52" si="6">F47*G47</f>
        <v>26.614481794403641</v>
      </c>
    </row>
    <row r="48" spans="2:14" x14ac:dyDescent="0.2">
      <c r="C48" s="309" t="s">
        <v>269</v>
      </c>
      <c r="D48" s="294">
        <f>L$22+L$24</f>
        <v>7582564.5397215802</v>
      </c>
      <c r="E48" s="293">
        <f>'Inputs - tariff class'!H$31+'Inputs - tariff class'!H$33</f>
        <v>145.83202799999998</v>
      </c>
      <c r="F48" s="350">
        <f t="shared" si="5"/>
        <v>51.995193673927247</v>
      </c>
      <c r="G48" s="341">
        <f>'Inputs - tariff class'!F$31</f>
        <v>0.9</v>
      </c>
      <c r="H48" s="310">
        <f t="shared" si="6"/>
        <v>46.795674306534522</v>
      </c>
    </row>
    <row r="49" spans="2:8" x14ac:dyDescent="0.2">
      <c r="C49" s="309" t="s">
        <v>299</v>
      </c>
      <c r="D49" s="294">
        <f>L$23+L$25</f>
        <v>16631901.593956329</v>
      </c>
      <c r="E49" s="293">
        <f>'Inputs - tariff class'!H$32+'Inputs - tariff class'!H$34</f>
        <v>225.57761733333331</v>
      </c>
      <c r="F49" s="350">
        <f t="shared" si="5"/>
        <v>73.730283130792927</v>
      </c>
      <c r="G49" s="341">
        <f>'Inputs - tariff class'!F$34</f>
        <v>0.9</v>
      </c>
      <c r="H49" s="310">
        <f t="shared" si="6"/>
        <v>66.357254817713638</v>
      </c>
    </row>
    <row r="50" spans="2:8" x14ac:dyDescent="0.2">
      <c r="C50" s="309" t="s">
        <v>300</v>
      </c>
      <c r="D50" s="294">
        <f>L$26</f>
        <v>43738522.422170602</v>
      </c>
      <c r="E50" s="293">
        <f>'Inputs - tariff class'!H$35</f>
        <v>454.93917666666681</v>
      </c>
      <c r="F50" s="350">
        <f t="shared" si="5"/>
        <v>96.141472674747789</v>
      </c>
      <c r="G50" s="341">
        <f>'Inputs - tariff class'!F$35</f>
        <v>0.9</v>
      </c>
      <c r="H50" s="310">
        <f t="shared" si="6"/>
        <v>86.527325407273011</v>
      </c>
    </row>
    <row r="51" spans="2:8" x14ac:dyDescent="0.2">
      <c r="C51" s="309" t="s">
        <v>301</v>
      </c>
      <c r="D51" s="294">
        <f>L$27</f>
        <v>61010788.332905747</v>
      </c>
      <c r="E51" s="345">
        <f>'Inputs - tariff class'!H$37</f>
        <v>526.50828017061258</v>
      </c>
      <c r="F51" s="350">
        <f t="shared" si="5"/>
        <v>115.8781174593028</v>
      </c>
      <c r="G51" s="341">
        <f>'Inputs - tariff class'!F$37</f>
        <v>0.9</v>
      </c>
      <c r="H51" s="310">
        <f t="shared" si="6"/>
        <v>104.29030571337252</v>
      </c>
    </row>
    <row r="52" spans="2:8" x14ac:dyDescent="0.2">
      <c r="C52" s="311" t="s">
        <v>97</v>
      </c>
      <c r="D52" s="297">
        <f>L$29+L$28</f>
        <v>490164402.15350395</v>
      </c>
      <c r="E52" s="346">
        <f>'Inputs - tariff class'!H$38+'Inputs - tariff class'!H$37</f>
        <v>3016.6935655103489</v>
      </c>
      <c r="F52" s="351">
        <f t="shared" si="5"/>
        <v>162.48398834986756</v>
      </c>
      <c r="G52" s="342">
        <f>'Inputs - tariff class'!F$38</f>
        <v>0.9</v>
      </c>
      <c r="H52" s="312">
        <f t="shared" si="6"/>
        <v>146.23558951488081</v>
      </c>
    </row>
    <row r="53" spans="2:8" x14ac:dyDescent="0.2">
      <c r="D53" s="301">
        <f>SUM(D47:D52)</f>
        <v>620169497.46239114</v>
      </c>
      <c r="E53" s="313">
        <f>SUM(E47:E52)</f>
        <v>4406.7203750142944</v>
      </c>
      <c r="H53" s="302"/>
    </row>
    <row r="54" spans="2:8" x14ac:dyDescent="0.2">
      <c r="D54" s="301"/>
      <c r="E54" s="348">
        <f>'Inputs - tariff class'!H$39</f>
        <v>4406.7203750142944</v>
      </c>
      <c r="H54" s="302"/>
    </row>
    <row r="56" spans="2:8" x14ac:dyDescent="0.2">
      <c r="B56" s="82" t="s">
        <v>354</v>
      </c>
    </row>
    <row r="58" spans="2:8" ht="60" x14ac:dyDescent="0.2">
      <c r="C58" s="317" t="s">
        <v>47</v>
      </c>
      <c r="D58" s="317" t="s">
        <v>179</v>
      </c>
      <c r="E58" s="575" t="s">
        <v>337</v>
      </c>
      <c r="F58" s="317" t="s">
        <v>302</v>
      </c>
      <c r="G58" s="317" t="s">
        <v>151</v>
      </c>
      <c r="H58" s="317" t="s">
        <v>303</v>
      </c>
    </row>
    <row r="59" spans="2:8" x14ac:dyDescent="0.2">
      <c r="C59" s="307" t="s">
        <v>351</v>
      </c>
      <c r="D59" s="292">
        <f>D35+D36</f>
        <v>8623882.9598545395</v>
      </c>
      <c r="E59" s="291">
        <f>E47+E48</f>
        <v>183.0017353333333</v>
      </c>
      <c r="F59" s="349">
        <f t="shared" ref="F59" si="7">D59/E59/1000</f>
        <v>47.124596628257883</v>
      </c>
      <c r="G59" s="341">
        <f>G36</f>
        <v>0.9</v>
      </c>
      <c r="H59" s="308">
        <f>F59*G59</f>
        <v>42.412136965432097</v>
      </c>
    </row>
    <row r="60" spans="2:8" x14ac:dyDescent="0.2">
      <c r="C60" s="309" t="s">
        <v>352</v>
      </c>
      <c r="D60" s="294">
        <f>SUM(D37:D38)</f>
        <v>60370424.016126931</v>
      </c>
      <c r="E60" s="293">
        <f>SUM(E49:E50)</f>
        <v>680.51679400000012</v>
      </c>
      <c r="F60" s="350">
        <f t="shared" ref="F60" si="8">D60/E60/1000</f>
        <v>88.712614513561775</v>
      </c>
      <c r="G60" s="341">
        <f>G37</f>
        <v>0.9</v>
      </c>
      <c r="H60" s="310">
        <f>F60*G60</f>
        <v>79.841353062205599</v>
      </c>
    </row>
    <row r="61" spans="2:8" x14ac:dyDescent="0.2">
      <c r="C61" s="311" t="s">
        <v>353</v>
      </c>
      <c r="D61" s="297">
        <f>SUM(D39:D40)</f>
        <v>551175190.48640966</v>
      </c>
      <c r="E61" s="346">
        <f>SUM(E51:E52)</f>
        <v>3543.2018456809615</v>
      </c>
      <c r="F61" s="351">
        <f t="shared" ref="F61" si="9">D61/E61/1000</f>
        <v>155.55850738739957</v>
      </c>
      <c r="G61" s="342">
        <f>G40</f>
        <v>0.9</v>
      </c>
      <c r="H61" s="312">
        <f>F61*G61</f>
        <v>140.00265664865961</v>
      </c>
    </row>
    <row r="62" spans="2:8" x14ac:dyDescent="0.2">
      <c r="D62" s="301">
        <f>SUM(D59:D61)</f>
        <v>620169497.46239114</v>
      </c>
      <c r="E62" s="313">
        <f>SUM(E59:E61)</f>
        <v>4406.7203750142944</v>
      </c>
    </row>
    <row r="63" spans="2:8" x14ac:dyDescent="0.2">
      <c r="E63" s="348">
        <f>'Inputs - tariff class'!H$39</f>
        <v>4406.7203750142944</v>
      </c>
    </row>
  </sheetData>
  <mergeCells count="3">
    <mergeCell ref="P19:P20"/>
    <mergeCell ref="L19:L20"/>
    <mergeCell ref="C19:C20"/>
  </mergeCells>
  <pageMargins left="0.7" right="0.7" top="0.75" bottom="0.75" header="0.3" footer="0.3"/>
  <pageSetup paperSize="9" scale="75" orientation="landscape" horizontalDpi="300" verticalDpi="30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9" tint="-0.249977111117893"/>
    <pageSetUpPr fitToPage="1"/>
  </sheetPr>
  <dimension ref="B1:L55"/>
  <sheetViews>
    <sheetView showGridLines="0" zoomScaleNormal="100" workbookViewId="0"/>
  </sheetViews>
  <sheetFormatPr defaultColWidth="9.140625" defaultRowHeight="15.75" x14ac:dyDescent="0.25"/>
  <cols>
    <col min="1" max="1" width="4" style="87" customWidth="1"/>
    <col min="2" max="2" width="8.140625" style="118" customWidth="1"/>
    <col min="3" max="3" width="49.42578125" style="87" customWidth="1"/>
    <col min="4" max="4" width="22.42578125" style="87" customWidth="1"/>
    <col min="5" max="5" width="6.28515625" style="87" customWidth="1"/>
    <col min="6" max="6" width="49.28515625" style="87" customWidth="1"/>
    <col min="7" max="7" width="21.140625" style="87" customWidth="1"/>
    <col min="8" max="8" width="6.42578125" style="87" customWidth="1"/>
    <col min="9" max="9" width="51.85546875" style="87" customWidth="1"/>
    <col min="10" max="10" width="21.140625" style="87" customWidth="1"/>
    <col min="11" max="11" width="6" style="87" customWidth="1"/>
    <col min="12" max="12" width="29.42578125" style="87" customWidth="1"/>
    <col min="13" max="16384" width="9.140625" style="87"/>
  </cols>
  <sheetData>
    <row r="1" spans="2:12" ht="12.75" x14ac:dyDescent="0.2">
      <c r="B1" s="110"/>
    </row>
    <row r="4" spans="2:12" s="114" customFormat="1" ht="27.75" customHeight="1" x14ac:dyDescent="0.2">
      <c r="B4" s="111" t="s">
        <v>47</v>
      </c>
      <c r="C4" s="738" t="s">
        <v>103</v>
      </c>
      <c r="D4" s="738"/>
      <c r="E4" s="738"/>
      <c r="F4" s="738"/>
      <c r="G4" s="738"/>
      <c r="H4" s="738"/>
      <c r="I4" s="738"/>
      <c r="J4" s="739"/>
      <c r="K4" s="112"/>
      <c r="L4" s="113" t="s">
        <v>81</v>
      </c>
    </row>
    <row r="5" spans="2:12" s="118" customFormat="1" x14ac:dyDescent="0.25">
      <c r="B5" s="115" t="s">
        <v>0</v>
      </c>
      <c r="C5" s="740" t="s">
        <v>114</v>
      </c>
      <c r="D5" s="741"/>
      <c r="E5" s="116"/>
      <c r="F5" s="740" t="s">
        <v>115</v>
      </c>
      <c r="G5" s="741"/>
      <c r="H5" s="116"/>
      <c r="I5" s="741" t="s">
        <v>116</v>
      </c>
      <c r="J5" s="741"/>
      <c r="K5" s="117"/>
      <c r="L5" s="742" t="s">
        <v>185</v>
      </c>
    </row>
    <row r="6" spans="2:12" x14ac:dyDescent="0.25">
      <c r="B6" s="119"/>
      <c r="C6" s="120"/>
      <c r="D6" s="103"/>
      <c r="E6" s="121"/>
      <c r="F6" s="120"/>
      <c r="G6" s="103"/>
      <c r="H6" s="121"/>
      <c r="I6" s="103"/>
      <c r="J6" s="103"/>
      <c r="K6" s="103"/>
      <c r="L6" s="743"/>
    </row>
    <row r="7" spans="2:12" ht="15.75" customHeight="1" x14ac:dyDescent="0.25">
      <c r="B7" s="119"/>
      <c r="C7" s="120"/>
      <c r="D7" s="87" t="s">
        <v>126</v>
      </c>
      <c r="E7" s="122" t="e">
        <f>'Inputs - network configuration'!#REF!</f>
        <v>#REF!</v>
      </c>
      <c r="F7" s="123"/>
      <c r="G7" s="124"/>
      <c r="H7" s="125"/>
      <c r="I7" s="103"/>
      <c r="J7" s="87" t="s">
        <v>127</v>
      </c>
      <c r="K7" s="122">
        <f>'Inputs - network configuration'!D63</f>
        <v>0.3</v>
      </c>
      <c r="L7" s="743"/>
    </row>
    <row r="8" spans="2:12" x14ac:dyDescent="0.25">
      <c r="B8" s="119"/>
      <c r="C8" s="120"/>
      <c r="D8" s="87" t="s">
        <v>105</v>
      </c>
      <c r="E8" s="122">
        <f>'Inputs - network configuration'!D67</f>
        <v>1</v>
      </c>
      <c r="F8" s="126"/>
      <c r="G8" s="127"/>
      <c r="H8" s="128"/>
      <c r="I8" s="103"/>
      <c r="J8" s="87" t="s">
        <v>110</v>
      </c>
      <c r="K8" s="122">
        <f>'Inputs - network configuration'!F71</f>
        <v>1</v>
      </c>
      <c r="L8" s="743"/>
    </row>
    <row r="9" spans="2:12" x14ac:dyDescent="0.25">
      <c r="B9" s="119"/>
      <c r="C9" s="120"/>
      <c r="F9" s="126"/>
      <c r="G9" s="127"/>
      <c r="H9" s="128"/>
      <c r="I9" s="103"/>
      <c r="L9" s="743"/>
    </row>
    <row r="10" spans="2:12" x14ac:dyDescent="0.25">
      <c r="B10" s="119"/>
      <c r="C10" s="120"/>
      <c r="D10" s="103" t="s">
        <v>108</v>
      </c>
      <c r="E10" s="121">
        <f>'Calcs - LRIC - Asset costs'!E7</f>
        <v>352.01179241678221</v>
      </c>
      <c r="F10" s="126"/>
      <c r="G10" s="127"/>
      <c r="H10" s="128"/>
      <c r="I10" s="103"/>
      <c r="J10" s="103" t="s">
        <v>108</v>
      </c>
      <c r="K10" s="129">
        <f>'Calcs - LRIC - Asset costs'!G10</f>
        <v>143.77081866695232</v>
      </c>
      <c r="L10" s="743"/>
    </row>
    <row r="11" spans="2:12" x14ac:dyDescent="0.25">
      <c r="B11" s="119"/>
      <c r="C11" s="120"/>
      <c r="F11" s="123"/>
      <c r="G11" s="124"/>
      <c r="H11" s="125"/>
      <c r="I11" s="103"/>
      <c r="L11" s="743"/>
    </row>
    <row r="12" spans="2:12" x14ac:dyDescent="0.25">
      <c r="B12" s="119"/>
      <c r="C12" s="120"/>
      <c r="D12" s="103" t="s">
        <v>109</v>
      </c>
      <c r="E12" s="129">
        <f>'Calcs - LRIC - Asset costs'!J18</f>
        <v>110</v>
      </c>
      <c r="F12" s="123"/>
      <c r="G12" s="124"/>
      <c r="H12" s="125"/>
      <c r="I12" s="103"/>
      <c r="J12" s="103" t="s">
        <v>109</v>
      </c>
      <c r="K12" s="129">
        <f>'Calcs - LRIC - Asset costs'!J24</f>
        <v>69</v>
      </c>
      <c r="L12" s="743"/>
    </row>
    <row r="13" spans="2:12" x14ac:dyDescent="0.25">
      <c r="B13" s="119"/>
      <c r="C13" s="120"/>
      <c r="D13" s="103" t="s">
        <v>107</v>
      </c>
      <c r="E13" s="121">
        <f>'Inputs - network configuration'!F55</f>
        <v>2</v>
      </c>
      <c r="F13" s="130"/>
      <c r="G13" s="131"/>
      <c r="H13" s="132"/>
      <c r="I13" s="103"/>
      <c r="J13" s="103" t="s">
        <v>107</v>
      </c>
      <c r="K13" s="121">
        <f>'Inputs - network configuration'!F54</f>
        <v>2</v>
      </c>
      <c r="L13" s="743"/>
    </row>
    <row r="14" spans="2:12" x14ac:dyDescent="0.25">
      <c r="B14" s="119"/>
      <c r="C14" s="120"/>
      <c r="D14" s="103" t="s">
        <v>132</v>
      </c>
      <c r="E14" s="133">
        <f>'Calcs - LRIC - Asset costs'!G19</f>
        <v>20.341799999999999</v>
      </c>
      <c r="F14" s="134"/>
      <c r="G14" s="135"/>
      <c r="H14" s="136"/>
      <c r="I14" s="103"/>
      <c r="J14" s="103" t="s">
        <v>132</v>
      </c>
      <c r="K14" s="137">
        <f>'Calcs - LRIC - Asset costs'!G25</f>
        <v>2.3885999999999998</v>
      </c>
      <c r="L14" s="743"/>
    </row>
    <row r="15" spans="2:12" x14ac:dyDescent="0.25">
      <c r="B15" s="119"/>
      <c r="C15" s="120"/>
      <c r="D15" s="87" t="s">
        <v>133</v>
      </c>
      <c r="E15" s="133">
        <f>'Calcs - LRIC - Asset costs'!G20</f>
        <v>0.70660000000000001</v>
      </c>
      <c r="F15" s="123"/>
      <c r="G15" s="124"/>
      <c r="H15" s="125"/>
      <c r="I15" s="103"/>
      <c r="J15" s="87" t="s">
        <v>133</v>
      </c>
      <c r="K15" s="138">
        <f>'Calcs - LRIC - Asset costs'!G26</f>
        <v>4.2909999999999995</v>
      </c>
      <c r="L15" s="743"/>
    </row>
    <row r="16" spans="2:12" x14ac:dyDescent="0.25">
      <c r="B16" s="119"/>
      <c r="C16" s="120"/>
      <c r="F16" s="123"/>
      <c r="G16" s="124"/>
      <c r="H16" s="125"/>
      <c r="I16" s="103"/>
      <c r="J16" s="103"/>
      <c r="L16" s="743"/>
    </row>
    <row r="17" spans="2:12" x14ac:dyDescent="0.25">
      <c r="B17" s="119"/>
      <c r="C17" s="120"/>
      <c r="D17" s="103" t="s">
        <v>134</v>
      </c>
      <c r="E17" s="133">
        <f>'Calcs - LRIC - Asset costs'!L18</f>
        <v>3.2001072037889293</v>
      </c>
      <c r="F17" s="123"/>
      <c r="G17" s="124"/>
      <c r="H17" s="125"/>
      <c r="I17" s="103"/>
      <c r="J17" s="103" t="s">
        <v>134</v>
      </c>
      <c r="K17" s="137">
        <f>'Calcs - LRIC - Asset costs'!L24</f>
        <v>2.0836350531442367</v>
      </c>
      <c r="L17" s="743"/>
    </row>
    <row r="18" spans="2:12" x14ac:dyDescent="0.25">
      <c r="B18" s="119"/>
      <c r="C18" s="120"/>
      <c r="F18" s="123"/>
      <c r="G18" s="124"/>
      <c r="H18" s="125"/>
      <c r="I18" s="103"/>
      <c r="J18" s="103"/>
      <c r="L18" s="743"/>
    </row>
    <row r="19" spans="2:12" x14ac:dyDescent="0.25">
      <c r="B19" s="119"/>
      <c r="C19" s="120"/>
      <c r="D19" s="103"/>
      <c r="E19" s="121"/>
      <c r="F19" s="123"/>
      <c r="G19" s="124"/>
      <c r="H19" s="125"/>
      <c r="I19" s="103"/>
      <c r="J19" s="103"/>
      <c r="K19" s="103"/>
      <c r="L19" s="743"/>
    </row>
    <row r="20" spans="2:12" x14ac:dyDescent="0.25">
      <c r="B20" s="139"/>
      <c r="C20" s="140"/>
      <c r="D20" s="141"/>
      <c r="E20" s="142"/>
      <c r="F20" s="143"/>
      <c r="G20" s="144"/>
      <c r="H20" s="145"/>
      <c r="I20" s="141"/>
      <c r="J20" s="141"/>
      <c r="K20" s="141"/>
      <c r="L20" s="744"/>
    </row>
    <row r="21" spans="2:12" x14ac:dyDescent="0.25">
      <c r="B21" s="115" t="s">
        <v>2</v>
      </c>
      <c r="C21" s="740" t="s">
        <v>112</v>
      </c>
      <c r="D21" s="741"/>
      <c r="E21" s="116"/>
      <c r="F21" s="740" t="s">
        <v>113</v>
      </c>
      <c r="G21" s="741"/>
      <c r="H21" s="116"/>
      <c r="I21" s="740" t="s">
        <v>117</v>
      </c>
      <c r="J21" s="741"/>
      <c r="K21" s="116"/>
      <c r="L21" s="742" t="s">
        <v>186</v>
      </c>
    </row>
    <row r="22" spans="2:12" x14ac:dyDescent="0.25">
      <c r="B22" s="119"/>
      <c r="C22" s="120"/>
      <c r="D22" s="103"/>
      <c r="E22" s="121"/>
      <c r="F22" s="120"/>
      <c r="G22" s="146"/>
      <c r="H22" s="121"/>
      <c r="I22" s="120"/>
      <c r="J22" s="103"/>
      <c r="K22" s="121"/>
      <c r="L22" s="743"/>
    </row>
    <row r="23" spans="2:12" x14ac:dyDescent="0.25">
      <c r="B23" s="119"/>
      <c r="C23" s="120"/>
      <c r="D23" s="103" t="s">
        <v>105</v>
      </c>
      <c r="E23" s="147">
        <f>'Inputs - network configuration'!D70</f>
        <v>0.8</v>
      </c>
      <c r="F23" s="120"/>
      <c r="G23" s="103" t="s">
        <v>104</v>
      </c>
      <c r="H23" s="147">
        <f>'Inputs - network configuration'!E70</f>
        <v>0.2</v>
      </c>
      <c r="I23" s="123"/>
      <c r="J23" s="124"/>
      <c r="K23" s="125"/>
      <c r="L23" s="743"/>
    </row>
    <row r="24" spans="2:12" x14ac:dyDescent="0.25">
      <c r="B24" s="119"/>
      <c r="C24" s="120"/>
      <c r="D24" s="103"/>
      <c r="E24" s="121"/>
      <c r="F24" s="120"/>
      <c r="G24" s="103"/>
      <c r="H24" s="121"/>
      <c r="I24" s="126"/>
      <c r="J24" s="127"/>
      <c r="K24" s="128"/>
      <c r="L24" s="743"/>
    </row>
    <row r="25" spans="2:12" x14ac:dyDescent="0.25">
      <c r="B25" s="119"/>
      <c r="C25" s="120"/>
      <c r="D25" s="103" t="s">
        <v>108</v>
      </c>
      <c r="E25" s="121">
        <f>'Calcs - LRIC - Asset costs'!E9</f>
        <v>268.37219484497768</v>
      </c>
      <c r="F25" s="120"/>
      <c r="G25" s="103" t="s">
        <v>108</v>
      </c>
      <c r="H25" s="121">
        <f>'Calcs - LRIC - Asset costs'!F9</f>
        <v>67.093048711244421</v>
      </c>
      <c r="I25" s="126"/>
      <c r="J25" s="127"/>
      <c r="K25" s="128"/>
      <c r="L25" s="743"/>
    </row>
    <row r="26" spans="2:12" x14ac:dyDescent="0.25">
      <c r="B26" s="119"/>
      <c r="C26" s="120"/>
      <c r="F26" s="120"/>
      <c r="I26" s="126"/>
      <c r="J26" s="127"/>
      <c r="K26" s="128"/>
      <c r="L26" s="743"/>
    </row>
    <row r="27" spans="2:12" x14ac:dyDescent="0.25">
      <c r="B27" s="119"/>
      <c r="C27" s="120"/>
      <c r="D27" s="103" t="s">
        <v>119</v>
      </c>
      <c r="E27" s="129">
        <f>'Calcs - LRIC - Asset costs'!J27</f>
        <v>116.25</v>
      </c>
      <c r="F27" s="120"/>
      <c r="G27" s="103" t="s">
        <v>119</v>
      </c>
      <c r="H27" s="129">
        <f>'Calcs - LRIC - Asset costs'!J31</f>
        <v>90.7</v>
      </c>
      <c r="I27" s="123"/>
      <c r="J27" s="124"/>
      <c r="K27" s="125"/>
      <c r="L27" s="743"/>
    </row>
    <row r="28" spans="2:12" x14ac:dyDescent="0.25">
      <c r="B28" s="119"/>
      <c r="C28" s="120"/>
      <c r="D28" s="103" t="s">
        <v>118</v>
      </c>
      <c r="E28" s="121">
        <f>'Inputs - network configuration'!F57</f>
        <v>6</v>
      </c>
      <c r="F28" s="120"/>
      <c r="G28" s="103" t="s">
        <v>118</v>
      </c>
      <c r="H28" s="121">
        <f>'Inputs - network configuration'!F58</f>
        <v>4</v>
      </c>
      <c r="I28" s="123"/>
      <c r="J28" s="124"/>
      <c r="K28" s="125"/>
      <c r="L28" s="743"/>
    </row>
    <row r="29" spans="2:12" x14ac:dyDescent="0.25">
      <c r="B29" s="119"/>
      <c r="C29" s="120"/>
      <c r="D29" s="103" t="s">
        <v>132</v>
      </c>
      <c r="E29" s="138">
        <f>'Calcs - LRIC - Asset costs'!G29</f>
        <v>9.9550000000000001</v>
      </c>
      <c r="F29" s="120"/>
      <c r="G29" s="103" t="s">
        <v>132</v>
      </c>
      <c r="H29" s="138">
        <f>'Calcs - LRIC - Asset costs'!G33</f>
        <v>26.982285714285716</v>
      </c>
      <c r="I29" s="130"/>
      <c r="J29" s="131"/>
      <c r="K29" s="132"/>
      <c r="L29" s="743"/>
    </row>
    <row r="30" spans="2:12" x14ac:dyDescent="0.25">
      <c r="B30" s="119"/>
      <c r="C30" s="120"/>
      <c r="D30" s="87" t="s">
        <v>133</v>
      </c>
      <c r="E30" s="133">
        <f>'Calcs - LRIC - Asset costs'!G30</f>
        <v>12.044999999999998</v>
      </c>
      <c r="F30" s="120"/>
      <c r="G30" s="87" t="s">
        <v>133</v>
      </c>
      <c r="H30" s="138">
        <f>'Calcs - LRIC - Asset costs'!G34</f>
        <v>0</v>
      </c>
      <c r="I30" s="134"/>
      <c r="J30" s="135"/>
      <c r="K30" s="136"/>
      <c r="L30" s="743"/>
    </row>
    <row r="31" spans="2:12" x14ac:dyDescent="0.25">
      <c r="B31" s="119"/>
      <c r="C31" s="120"/>
      <c r="D31" s="103"/>
      <c r="E31" s="121"/>
      <c r="F31" s="120"/>
      <c r="I31" s="123"/>
      <c r="J31" s="124"/>
      <c r="K31" s="125"/>
      <c r="L31" s="743"/>
    </row>
    <row r="32" spans="2:12" x14ac:dyDescent="0.25">
      <c r="B32" s="119"/>
      <c r="C32" s="120"/>
      <c r="D32" s="103" t="s">
        <v>134</v>
      </c>
      <c r="E32" s="133">
        <f>'Calcs - LRIC - Asset costs'!L27</f>
        <v>2.3085780201718511</v>
      </c>
      <c r="F32" s="120"/>
      <c r="G32" s="103" t="s">
        <v>134</v>
      </c>
      <c r="H32" s="133">
        <f>'Calcs - LRIC - Asset costs'!L31</f>
        <v>0.73972490310082051</v>
      </c>
      <c r="I32" s="123"/>
      <c r="J32" s="124"/>
      <c r="K32" s="125"/>
      <c r="L32" s="743"/>
    </row>
    <row r="33" spans="2:12" x14ac:dyDescent="0.25">
      <c r="B33" s="119"/>
      <c r="C33" s="120"/>
      <c r="F33" s="120"/>
      <c r="G33" s="103"/>
      <c r="H33" s="121"/>
      <c r="I33" s="123"/>
      <c r="J33" s="124"/>
      <c r="K33" s="125"/>
      <c r="L33" s="743"/>
    </row>
    <row r="34" spans="2:12" x14ac:dyDescent="0.25">
      <c r="B34" s="119"/>
      <c r="C34" s="120"/>
      <c r="D34" s="103"/>
      <c r="E34" s="121"/>
      <c r="F34" s="120"/>
      <c r="G34" s="103"/>
      <c r="H34" s="121"/>
      <c r="I34" s="123"/>
      <c r="J34" s="124"/>
      <c r="K34" s="125"/>
      <c r="L34" s="743"/>
    </row>
    <row r="35" spans="2:12" x14ac:dyDescent="0.25">
      <c r="B35" s="139"/>
      <c r="C35" s="140"/>
      <c r="D35" s="141"/>
      <c r="E35" s="142"/>
      <c r="F35" s="140"/>
      <c r="G35" s="141"/>
      <c r="H35" s="142"/>
      <c r="I35" s="123"/>
      <c r="J35" s="124"/>
      <c r="K35" s="125"/>
      <c r="L35" s="744"/>
    </row>
    <row r="36" spans="2:12" x14ac:dyDescent="0.25">
      <c r="B36" s="115" t="s">
        <v>5</v>
      </c>
      <c r="C36" s="741" t="s">
        <v>112</v>
      </c>
      <c r="D36" s="741"/>
      <c r="E36" s="116"/>
      <c r="F36" s="741" t="s">
        <v>113</v>
      </c>
      <c r="G36" s="741"/>
      <c r="H36" s="116"/>
      <c r="I36" s="741" t="s">
        <v>117</v>
      </c>
      <c r="J36" s="741"/>
      <c r="K36" s="117"/>
      <c r="L36" s="148"/>
    </row>
    <row r="37" spans="2:12" x14ac:dyDescent="0.25">
      <c r="B37" s="119"/>
      <c r="C37" s="103"/>
      <c r="D37" s="103"/>
      <c r="E37" s="121"/>
      <c r="F37" s="103"/>
      <c r="G37" s="103"/>
      <c r="H37" s="121"/>
      <c r="I37" s="103"/>
      <c r="J37" s="103"/>
      <c r="K37" s="103"/>
      <c r="L37" s="149"/>
    </row>
    <row r="38" spans="2:12" x14ac:dyDescent="0.25">
      <c r="B38" s="119"/>
      <c r="C38" s="103"/>
      <c r="D38" s="103" t="s">
        <v>124</v>
      </c>
      <c r="E38" s="133">
        <f>'Calcs - LRIC - Asset costs'!J38</f>
        <v>6.0040000000000004</v>
      </c>
      <c r="F38" s="103"/>
      <c r="G38" s="103" t="s">
        <v>124</v>
      </c>
      <c r="H38" s="133">
        <f>'Calcs - LRIC - Asset costs'!J42</f>
        <v>5.8520000000000003</v>
      </c>
      <c r="I38" s="103"/>
      <c r="J38" s="103" t="s">
        <v>216</v>
      </c>
      <c r="K38" s="103">
        <f>'Calcs - LRIC - Asset costs'!J35</f>
        <v>14.107500000000002</v>
      </c>
      <c r="L38" s="149" t="s">
        <v>123</v>
      </c>
    </row>
    <row r="39" spans="2:12" x14ac:dyDescent="0.25">
      <c r="B39" s="119"/>
      <c r="C39" s="103"/>
      <c r="D39" s="103" t="s">
        <v>105</v>
      </c>
      <c r="E39" s="147">
        <f>'Inputs - network configuration'!D73</f>
        <v>0.7</v>
      </c>
      <c r="F39" s="103"/>
      <c r="G39" s="103" t="s">
        <v>104</v>
      </c>
      <c r="H39" s="147">
        <f>'Inputs - network configuration'!E73</f>
        <v>0.2</v>
      </c>
      <c r="I39" s="103"/>
      <c r="J39" s="103" t="s">
        <v>110</v>
      </c>
      <c r="K39" s="150">
        <f>'Inputs - network configuration'!F73</f>
        <v>0.1</v>
      </c>
      <c r="L39" s="149" t="s">
        <v>121</v>
      </c>
    </row>
    <row r="40" spans="2:12" x14ac:dyDescent="0.25">
      <c r="B40" s="119"/>
      <c r="C40" s="103"/>
      <c r="D40" s="103"/>
      <c r="E40" s="121"/>
      <c r="F40" s="103"/>
      <c r="G40" s="103"/>
      <c r="H40" s="121"/>
      <c r="I40" s="103"/>
      <c r="J40" s="103"/>
      <c r="K40" s="103"/>
      <c r="L40" s="149" t="s">
        <v>122</v>
      </c>
    </row>
    <row r="41" spans="2:12" x14ac:dyDescent="0.25">
      <c r="B41" s="119"/>
      <c r="C41" s="103"/>
      <c r="D41" s="103" t="s">
        <v>108</v>
      </c>
      <c r="E41" s="121">
        <f>'Calcs - LRIC - Asset costs'!E12</f>
        <v>281.41577873189055</v>
      </c>
      <c r="F41" s="103"/>
      <c r="G41" s="103" t="s">
        <v>108</v>
      </c>
      <c r="H41" s="121">
        <f>'Calcs - LRIC - Asset costs'!F12</f>
        <v>80.404508209111597</v>
      </c>
      <c r="I41" s="103"/>
      <c r="J41" s="103" t="s">
        <v>108</v>
      </c>
      <c r="K41" s="105">
        <f>'Calcs - LRIC - Asset costs'!G12</f>
        <v>40.202254104555799</v>
      </c>
      <c r="L41" s="149"/>
    </row>
    <row r="42" spans="2:12" x14ac:dyDescent="0.25">
      <c r="B42" s="119"/>
      <c r="C42" s="103"/>
      <c r="D42" s="103" t="s">
        <v>120</v>
      </c>
      <c r="E42" s="129">
        <f>'Calcs - LRIC - Asset costs'!L38+'Calcs - LRIC - Asset costs'!L39</f>
        <v>47.48010144987208</v>
      </c>
      <c r="F42" s="103"/>
      <c r="G42" s="103" t="s">
        <v>120</v>
      </c>
      <c r="H42" s="129">
        <f>'Calcs - LRIC - Asset costs'!L41+'Calcs - LRIC - Asset costs'!L42</f>
        <v>13.652703164157359</v>
      </c>
      <c r="I42" s="103"/>
      <c r="J42" s="103" t="s">
        <v>215</v>
      </c>
      <c r="K42" s="151">
        <f>'Calcs - LRIC - Asset costs'!L35</f>
        <v>2.8497078932876692</v>
      </c>
      <c r="L42" s="149"/>
    </row>
    <row r="43" spans="2:12" x14ac:dyDescent="0.25">
      <c r="B43" s="119"/>
      <c r="C43" s="103"/>
      <c r="D43" s="103" t="s">
        <v>144</v>
      </c>
      <c r="E43" s="152">
        <f>'Calcs - LRIC - Asset costs'!J37</f>
        <v>0.86249999999999993</v>
      </c>
      <c r="F43" s="103"/>
      <c r="G43" s="103" t="s">
        <v>144</v>
      </c>
      <c r="H43" s="121">
        <f>'Calcs - LRIC - Asset costs'!J40</f>
        <v>0.36224999999999996</v>
      </c>
      <c r="I43" s="103"/>
      <c r="J43" s="103" t="s">
        <v>144</v>
      </c>
      <c r="K43" s="153">
        <f>'Calcs - LRIC - Asset costs'!J36</f>
        <v>2.5499999999999998</v>
      </c>
      <c r="L43" s="149"/>
    </row>
    <row r="44" spans="2:12" x14ac:dyDescent="0.25">
      <c r="B44" s="119"/>
      <c r="C44" s="103"/>
      <c r="D44" s="103" t="s">
        <v>106</v>
      </c>
      <c r="E44" s="129">
        <f>'Calcs - LRIC - Asset costs'!M37</f>
        <v>326.27916374711953</v>
      </c>
      <c r="F44" s="103"/>
      <c r="G44" s="103" t="s">
        <v>106</v>
      </c>
      <c r="H44" s="129">
        <f>'Calcs - LRIC - Asset costs'!M40</f>
        <v>221.95861479395887</v>
      </c>
      <c r="I44" s="103"/>
      <c r="J44" s="103" t="s">
        <v>106</v>
      </c>
      <c r="K44" s="103">
        <f>'Calcs - LRIC - Asset costs'!L36</f>
        <v>15.765589844923843</v>
      </c>
      <c r="L44" s="149"/>
    </row>
    <row r="45" spans="2:12" x14ac:dyDescent="0.25">
      <c r="B45" s="119"/>
      <c r="C45" s="103"/>
      <c r="D45" s="103"/>
      <c r="E45" s="121"/>
      <c r="F45" s="103"/>
      <c r="G45" s="103"/>
      <c r="H45" s="121"/>
      <c r="I45" s="103"/>
      <c r="J45" s="103"/>
      <c r="K45" s="103"/>
      <c r="L45" s="149"/>
    </row>
    <row r="46" spans="2:12" x14ac:dyDescent="0.25">
      <c r="B46" s="119"/>
      <c r="C46" s="103"/>
      <c r="D46" s="103"/>
      <c r="E46" s="121"/>
      <c r="F46" s="103"/>
      <c r="G46" s="103"/>
      <c r="H46" s="121"/>
      <c r="I46" s="103"/>
      <c r="J46" s="103"/>
      <c r="K46" s="103"/>
      <c r="L46" s="149"/>
    </row>
    <row r="47" spans="2:12" x14ac:dyDescent="0.25">
      <c r="B47" s="119"/>
      <c r="C47" s="103"/>
      <c r="D47" s="103"/>
      <c r="E47" s="121"/>
      <c r="F47" s="103"/>
      <c r="G47" s="103"/>
      <c r="H47" s="121"/>
      <c r="I47" s="103"/>
      <c r="J47" s="103"/>
      <c r="K47" s="103"/>
      <c r="L47" s="149"/>
    </row>
    <row r="48" spans="2:12" x14ac:dyDescent="0.25">
      <c r="B48" s="119"/>
      <c r="C48" s="103"/>
      <c r="D48" s="103"/>
      <c r="E48" s="121"/>
      <c r="F48" s="103"/>
      <c r="G48" s="103"/>
      <c r="H48" s="121"/>
      <c r="I48" s="103"/>
      <c r="J48" s="103"/>
      <c r="K48" s="103"/>
      <c r="L48" s="149"/>
    </row>
    <row r="49" spans="2:12" x14ac:dyDescent="0.25">
      <c r="B49" s="119"/>
      <c r="C49" s="103"/>
      <c r="D49" s="103"/>
      <c r="E49" s="121"/>
      <c r="F49" s="103"/>
      <c r="G49" s="103"/>
      <c r="H49" s="121"/>
      <c r="I49" s="103"/>
      <c r="J49" s="103"/>
      <c r="K49" s="103"/>
      <c r="L49" s="149"/>
    </row>
    <row r="50" spans="2:12" x14ac:dyDescent="0.25">
      <c r="B50" s="119"/>
      <c r="C50" s="103"/>
      <c r="D50" s="103"/>
      <c r="E50" s="121"/>
      <c r="F50" s="103"/>
      <c r="G50" s="103"/>
      <c r="H50" s="121"/>
      <c r="I50" s="103"/>
      <c r="J50" s="103"/>
      <c r="K50" s="103"/>
      <c r="L50" s="149"/>
    </row>
    <row r="51" spans="2:12" x14ac:dyDescent="0.25">
      <c r="B51" s="119"/>
      <c r="C51" s="103"/>
      <c r="D51" s="103"/>
      <c r="E51" s="121"/>
      <c r="F51" s="103"/>
      <c r="G51" s="103"/>
      <c r="H51" s="121"/>
      <c r="I51" s="103"/>
      <c r="J51" s="103"/>
      <c r="K51" s="103"/>
      <c r="L51" s="149"/>
    </row>
    <row r="52" spans="2:12" x14ac:dyDescent="0.25">
      <c r="B52" s="119"/>
      <c r="C52" s="103"/>
      <c r="D52" s="103"/>
      <c r="E52" s="121"/>
      <c r="F52" s="103"/>
      <c r="G52" s="103"/>
      <c r="H52" s="121"/>
      <c r="I52" s="103"/>
      <c r="J52" s="103"/>
      <c r="K52" s="103"/>
      <c r="L52" s="149"/>
    </row>
    <row r="53" spans="2:12" x14ac:dyDescent="0.25">
      <c r="B53" s="139"/>
      <c r="C53" s="141"/>
      <c r="D53" s="141"/>
      <c r="E53" s="142"/>
      <c r="F53" s="141"/>
      <c r="G53" s="141"/>
      <c r="H53" s="142"/>
      <c r="I53" s="141"/>
      <c r="J53" s="141"/>
      <c r="K53" s="141"/>
      <c r="L53" s="154"/>
    </row>
    <row r="54" spans="2:12" x14ac:dyDescent="0.25">
      <c r="B54" s="155" t="s">
        <v>7</v>
      </c>
      <c r="C54" s="745" t="s">
        <v>125</v>
      </c>
      <c r="D54" s="746"/>
      <c r="E54" s="746"/>
      <c r="F54" s="746"/>
      <c r="G54" s="746"/>
      <c r="H54" s="746"/>
      <c r="I54" s="746"/>
      <c r="J54" s="746"/>
      <c r="K54" s="747"/>
      <c r="L54" s="156"/>
    </row>
    <row r="55" spans="2:12" x14ac:dyDescent="0.25">
      <c r="B55" s="157"/>
      <c r="C55" s="748"/>
      <c r="D55" s="749"/>
      <c r="E55" s="749"/>
      <c r="F55" s="749"/>
      <c r="G55" s="749"/>
      <c r="H55" s="749"/>
      <c r="I55" s="749"/>
      <c r="J55" s="749"/>
      <c r="K55" s="750"/>
      <c r="L55" s="142"/>
    </row>
  </sheetData>
  <mergeCells count="13">
    <mergeCell ref="C36:D36"/>
    <mergeCell ref="F36:G36"/>
    <mergeCell ref="I36:J36"/>
    <mergeCell ref="C54:K55"/>
    <mergeCell ref="L21:L35"/>
    <mergeCell ref="C4:J4"/>
    <mergeCell ref="C5:D5"/>
    <mergeCell ref="I5:J5"/>
    <mergeCell ref="L5:L20"/>
    <mergeCell ref="C21:D21"/>
    <mergeCell ref="I21:J21"/>
    <mergeCell ref="F5:G5"/>
    <mergeCell ref="F21:G21"/>
  </mergeCells>
  <pageMargins left="0.25" right="0.25" top="0.75" bottom="0.75" header="0.3" footer="0.3"/>
  <pageSetup paperSize="8" scale="70" fitToHeight="0" orientation="landscape" horizontalDpi="300" verticalDpi="300" r:id="rId1"/>
  <drawing r:id="rId2"/>
  <legacyDrawing r:id="rId3"/>
  <oleObjects>
    <mc:AlternateContent xmlns:mc="http://schemas.openxmlformats.org/markup-compatibility/2006">
      <mc:Choice Requires="x14">
        <oleObject progId="Visio.Drawing.11" shapeId="4107" r:id="rId4">
          <objectPr defaultSize="0" autoPict="0" r:id="rId5">
            <anchor moveWithCells="1">
              <from>
                <xdr:col>2</xdr:col>
                <xdr:colOff>76200</xdr:colOff>
                <xdr:row>36</xdr:row>
                <xdr:rowOff>104775</xdr:rowOff>
              </from>
              <to>
                <xdr:col>2</xdr:col>
                <xdr:colOff>3228975</xdr:colOff>
                <xdr:row>52</xdr:row>
                <xdr:rowOff>104775</xdr:rowOff>
              </to>
            </anchor>
          </objectPr>
        </oleObject>
      </mc:Choice>
      <mc:Fallback>
        <oleObject progId="Visio.Drawing.11" shapeId="4107" r:id="rId4"/>
      </mc:Fallback>
    </mc:AlternateContent>
    <mc:AlternateContent xmlns:mc="http://schemas.openxmlformats.org/markup-compatibility/2006">
      <mc:Choice Requires="x14">
        <oleObject progId="Visio.Drawing.11" shapeId="4109" r:id="rId6">
          <objectPr defaultSize="0" autoPict="0" r:id="rId7">
            <anchor moveWithCells="1">
              <from>
                <xdr:col>2</xdr:col>
                <xdr:colOff>66675</xdr:colOff>
                <xdr:row>5</xdr:row>
                <xdr:rowOff>76200</xdr:rowOff>
              </from>
              <to>
                <xdr:col>2</xdr:col>
                <xdr:colOff>3200400</xdr:colOff>
                <xdr:row>19</xdr:row>
                <xdr:rowOff>85725</xdr:rowOff>
              </to>
            </anchor>
          </objectPr>
        </oleObject>
      </mc:Choice>
      <mc:Fallback>
        <oleObject progId="Visio.Drawing.11" shapeId="4109" r:id="rId6"/>
      </mc:Fallback>
    </mc:AlternateContent>
    <mc:AlternateContent xmlns:mc="http://schemas.openxmlformats.org/markup-compatibility/2006">
      <mc:Choice Requires="x14">
        <oleObject progId="Visio.Drawing.11" shapeId="4111" r:id="rId8">
          <objectPr defaultSize="0" autoPict="0" r:id="rId9">
            <anchor moveWithCells="1">
              <from>
                <xdr:col>8</xdr:col>
                <xdr:colOff>85725</xdr:colOff>
                <xdr:row>5</xdr:row>
                <xdr:rowOff>114300</xdr:rowOff>
              </from>
              <to>
                <xdr:col>8</xdr:col>
                <xdr:colOff>3381375</xdr:colOff>
                <xdr:row>19</xdr:row>
                <xdr:rowOff>114300</xdr:rowOff>
              </to>
            </anchor>
          </objectPr>
        </oleObject>
      </mc:Choice>
      <mc:Fallback>
        <oleObject progId="Visio.Drawing.11" shapeId="4111" r:id="rId8"/>
      </mc:Fallback>
    </mc:AlternateContent>
    <mc:AlternateContent xmlns:mc="http://schemas.openxmlformats.org/markup-compatibility/2006">
      <mc:Choice Requires="x14">
        <oleObject progId="Visio.Drawing.11" shapeId="4113" r:id="rId10">
          <objectPr defaultSize="0" autoPict="0" r:id="rId11">
            <anchor moveWithCells="1">
              <from>
                <xdr:col>2</xdr:col>
                <xdr:colOff>66675</xdr:colOff>
                <xdr:row>22</xdr:row>
                <xdr:rowOff>38100</xdr:rowOff>
              </from>
              <to>
                <xdr:col>2</xdr:col>
                <xdr:colOff>3209925</xdr:colOff>
                <xdr:row>34</xdr:row>
                <xdr:rowOff>114300</xdr:rowOff>
              </to>
            </anchor>
          </objectPr>
        </oleObject>
      </mc:Choice>
      <mc:Fallback>
        <oleObject progId="Visio.Drawing.11" shapeId="4113" r:id="rId10"/>
      </mc:Fallback>
    </mc:AlternateContent>
    <mc:AlternateContent xmlns:mc="http://schemas.openxmlformats.org/markup-compatibility/2006">
      <mc:Choice Requires="x14">
        <oleObject progId="Visio.Drawing.11" shapeId="4118" r:id="rId12">
          <objectPr defaultSize="0" autoPict="0" r:id="rId13">
            <anchor moveWithCells="1">
              <from>
                <xdr:col>5</xdr:col>
                <xdr:colOff>142875</xdr:colOff>
                <xdr:row>36</xdr:row>
                <xdr:rowOff>76200</xdr:rowOff>
              </from>
              <to>
                <xdr:col>5</xdr:col>
                <xdr:colOff>3190875</xdr:colOff>
                <xdr:row>52</xdr:row>
                <xdr:rowOff>114300</xdr:rowOff>
              </to>
            </anchor>
          </objectPr>
        </oleObject>
      </mc:Choice>
      <mc:Fallback>
        <oleObject progId="Visio.Drawing.11" shapeId="4118" r:id="rId12"/>
      </mc:Fallback>
    </mc:AlternateContent>
    <mc:AlternateContent xmlns:mc="http://schemas.openxmlformats.org/markup-compatibility/2006">
      <mc:Choice Requires="x14">
        <oleObject progId="Visio.Drawing.11" shapeId="4121" r:id="rId14">
          <objectPr defaultSize="0" autoPict="0" r:id="rId15">
            <anchor moveWithCells="1">
              <from>
                <xdr:col>5</xdr:col>
                <xdr:colOff>66675</xdr:colOff>
                <xdr:row>22</xdr:row>
                <xdr:rowOff>38100</xdr:rowOff>
              </from>
              <to>
                <xdr:col>5</xdr:col>
                <xdr:colOff>3267075</xdr:colOff>
                <xdr:row>34</xdr:row>
                <xdr:rowOff>142875</xdr:rowOff>
              </to>
            </anchor>
          </objectPr>
        </oleObject>
      </mc:Choice>
      <mc:Fallback>
        <oleObject progId="Visio.Drawing.11" shapeId="4121" r:id="rId14"/>
      </mc:Fallback>
    </mc:AlternateContent>
    <mc:AlternateContent xmlns:mc="http://schemas.openxmlformats.org/markup-compatibility/2006">
      <mc:Choice Requires="x14">
        <oleObject progId="Visio.Drawing.11" shapeId="4122" r:id="rId16">
          <objectPr defaultSize="0" autoPict="0" r:id="rId17">
            <anchor moveWithCells="1">
              <from>
                <xdr:col>8</xdr:col>
                <xdr:colOff>66675</xdr:colOff>
                <xdr:row>36</xdr:row>
                <xdr:rowOff>66675</xdr:rowOff>
              </from>
              <to>
                <xdr:col>8</xdr:col>
                <xdr:colOff>3381375</xdr:colOff>
                <xdr:row>52</xdr:row>
                <xdr:rowOff>123825</xdr:rowOff>
              </to>
            </anchor>
          </objectPr>
        </oleObject>
      </mc:Choice>
      <mc:Fallback>
        <oleObject progId="Visio.Drawing.11" shapeId="4122" r:id="rId1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2:F23"/>
  <sheetViews>
    <sheetView showGridLines="0" zoomScaleNormal="100" workbookViewId="0"/>
  </sheetViews>
  <sheetFormatPr defaultColWidth="30.7109375" defaultRowHeight="15" x14ac:dyDescent="0.25"/>
  <cols>
    <col min="1" max="1" width="5.42578125" style="24" customWidth="1"/>
    <col min="2" max="2" width="38.28515625" style="24" customWidth="1"/>
    <col min="3" max="5" width="30.7109375" style="54"/>
    <col min="6" max="6" width="49" style="54" customWidth="1"/>
    <col min="7" max="16384" width="30.7109375" style="24"/>
  </cols>
  <sheetData>
    <row r="2" spans="2:6" s="39" customFormat="1" x14ac:dyDescent="0.25">
      <c r="B2" s="2" t="s">
        <v>219</v>
      </c>
      <c r="C2" s="2" t="s">
        <v>220</v>
      </c>
      <c r="D2" s="2" t="s">
        <v>221</v>
      </c>
      <c r="E2" s="2" t="s">
        <v>81</v>
      </c>
      <c r="F2" s="2" t="s">
        <v>222</v>
      </c>
    </row>
    <row r="3" spans="2:6" x14ac:dyDescent="0.25">
      <c r="B3" s="249" t="s">
        <v>389</v>
      </c>
      <c r="C3" s="221" t="s">
        <v>281</v>
      </c>
      <c r="D3" s="221" t="s">
        <v>98</v>
      </c>
      <c r="E3" s="221" t="s">
        <v>279</v>
      </c>
      <c r="F3" s="222" t="s">
        <v>280</v>
      </c>
    </row>
    <row r="4" spans="2:6" x14ac:dyDescent="0.25">
      <c r="B4" s="249" t="s">
        <v>389</v>
      </c>
      <c r="C4" s="221" t="s">
        <v>282</v>
      </c>
      <c r="D4" s="221" t="s">
        <v>390</v>
      </c>
      <c r="E4" s="221"/>
      <c r="F4" s="222" t="s">
        <v>280</v>
      </c>
    </row>
    <row r="5" spans="2:6" ht="30" x14ac:dyDescent="0.25">
      <c r="B5" s="249" t="s">
        <v>389</v>
      </c>
      <c r="C5" s="221" t="s">
        <v>391</v>
      </c>
      <c r="D5" s="223" t="s">
        <v>362</v>
      </c>
      <c r="E5" s="223"/>
      <c r="F5" s="224" t="s">
        <v>392</v>
      </c>
    </row>
    <row r="6" spans="2:6" ht="30" x14ac:dyDescent="0.25">
      <c r="B6" s="249" t="s">
        <v>389</v>
      </c>
      <c r="C6" s="221" t="s">
        <v>393</v>
      </c>
      <c r="D6" s="223" t="s">
        <v>93</v>
      </c>
      <c r="E6" s="223" t="s">
        <v>284</v>
      </c>
      <c r="F6" s="224"/>
    </row>
    <row r="7" spans="2:6" x14ac:dyDescent="0.25">
      <c r="B7" s="249" t="s">
        <v>389</v>
      </c>
      <c r="C7" s="221" t="s">
        <v>394</v>
      </c>
      <c r="D7" s="223" t="s">
        <v>70</v>
      </c>
      <c r="E7" s="223" t="s">
        <v>283</v>
      </c>
      <c r="F7" s="224" t="s">
        <v>401</v>
      </c>
    </row>
    <row r="8" spans="2:6" x14ac:dyDescent="0.25">
      <c r="B8" s="249" t="s">
        <v>389</v>
      </c>
      <c r="C8" s="223" t="s">
        <v>395</v>
      </c>
      <c r="D8" s="223" t="s">
        <v>223</v>
      </c>
      <c r="E8" s="223" t="s">
        <v>224</v>
      </c>
      <c r="F8" s="224" t="s">
        <v>225</v>
      </c>
    </row>
    <row r="9" spans="2:6" x14ac:dyDescent="0.25">
      <c r="B9" s="684" t="s">
        <v>389</v>
      </c>
      <c r="C9" s="685" t="s">
        <v>396</v>
      </c>
      <c r="D9" s="685" t="s">
        <v>226</v>
      </c>
      <c r="E9" s="685" t="s">
        <v>227</v>
      </c>
      <c r="F9" s="224" t="s">
        <v>228</v>
      </c>
    </row>
    <row r="10" spans="2:6" x14ac:dyDescent="0.25">
      <c r="B10" s="684"/>
      <c r="C10" s="685"/>
      <c r="D10" s="685"/>
      <c r="E10" s="685"/>
      <c r="F10" s="224" t="s">
        <v>229</v>
      </c>
    </row>
    <row r="11" spans="2:6" x14ac:dyDescent="0.25">
      <c r="B11" s="684"/>
      <c r="C11" s="685"/>
      <c r="D11" s="685"/>
      <c r="E11" s="685"/>
      <c r="F11" s="224" t="s">
        <v>230</v>
      </c>
    </row>
    <row r="12" spans="2:6" x14ac:dyDescent="0.25">
      <c r="B12" s="249" t="s">
        <v>389</v>
      </c>
      <c r="C12" s="223" t="s">
        <v>397</v>
      </c>
      <c r="D12" s="223" t="s">
        <v>285</v>
      </c>
      <c r="E12" s="223" t="s">
        <v>241</v>
      </c>
      <c r="F12" s="224" t="s">
        <v>251</v>
      </c>
    </row>
    <row r="13" spans="2:6" ht="30" x14ac:dyDescent="0.25">
      <c r="B13" s="249" t="s">
        <v>389</v>
      </c>
      <c r="C13" s="609" t="s">
        <v>398</v>
      </c>
      <c r="D13" s="609" t="s">
        <v>399</v>
      </c>
      <c r="E13" s="609" t="s">
        <v>400</v>
      </c>
      <c r="F13" s="224" t="s">
        <v>402</v>
      </c>
    </row>
    <row r="14" spans="2:6" ht="30" x14ac:dyDescent="0.25">
      <c r="B14" s="249" t="s">
        <v>389</v>
      </c>
      <c r="C14" s="609" t="s">
        <v>408</v>
      </c>
      <c r="D14" s="223" t="s">
        <v>231</v>
      </c>
      <c r="E14" s="223"/>
      <c r="F14" s="224" t="s">
        <v>232</v>
      </c>
    </row>
    <row r="15" spans="2:6" ht="30" x14ac:dyDescent="0.25">
      <c r="B15" s="249" t="s">
        <v>389</v>
      </c>
      <c r="C15" s="609" t="s">
        <v>403</v>
      </c>
      <c r="D15" s="223" t="s">
        <v>49</v>
      </c>
      <c r="E15" s="223" t="s">
        <v>233</v>
      </c>
      <c r="F15" s="224" t="s">
        <v>404</v>
      </c>
    </row>
    <row r="16" spans="2:6" ht="30" x14ac:dyDescent="0.25">
      <c r="B16" s="249" t="s">
        <v>389</v>
      </c>
      <c r="C16" s="609" t="s">
        <v>405</v>
      </c>
      <c r="D16" s="609" t="s">
        <v>406</v>
      </c>
      <c r="E16" s="609" t="s">
        <v>407</v>
      </c>
      <c r="F16" s="224" t="s">
        <v>401</v>
      </c>
    </row>
    <row r="17" spans="2:6" x14ac:dyDescent="0.25">
      <c r="B17" s="250" t="s">
        <v>419</v>
      </c>
      <c r="C17" s="223" t="s">
        <v>410</v>
      </c>
      <c r="D17" s="223" t="s">
        <v>236</v>
      </c>
      <c r="E17" s="675" t="s">
        <v>235</v>
      </c>
      <c r="F17" s="676" t="s">
        <v>237</v>
      </c>
    </row>
    <row r="18" spans="2:6" x14ac:dyDescent="0.25">
      <c r="B18" s="608" t="s">
        <v>419</v>
      </c>
      <c r="C18" s="223" t="s">
        <v>409</v>
      </c>
      <c r="D18" s="223" t="s">
        <v>234</v>
      </c>
      <c r="E18" s="675" t="s">
        <v>235</v>
      </c>
      <c r="F18" s="676" t="s">
        <v>237</v>
      </c>
    </row>
    <row r="19" spans="2:6" x14ac:dyDescent="0.25">
      <c r="B19" s="608" t="s">
        <v>419</v>
      </c>
      <c r="C19" s="223" t="s">
        <v>415</v>
      </c>
      <c r="D19" s="223" t="s">
        <v>416</v>
      </c>
      <c r="E19" s="223"/>
      <c r="F19" s="676" t="s">
        <v>237</v>
      </c>
    </row>
    <row r="20" spans="2:6" x14ac:dyDescent="0.25">
      <c r="B20" s="608" t="s">
        <v>419</v>
      </c>
      <c r="C20" s="223" t="s">
        <v>413</v>
      </c>
      <c r="D20" s="223" t="s">
        <v>238</v>
      </c>
      <c r="E20" s="223" t="s">
        <v>239</v>
      </c>
      <c r="F20" s="224" t="s">
        <v>237</v>
      </c>
    </row>
    <row r="21" spans="2:6" ht="30" x14ac:dyDescent="0.25">
      <c r="B21" s="608" t="s">
        <v>419</v>
      </c>
      <c r="C21" s="223" t="s">
        <v>412</v>
      </c>
      <c r="D21" s="223" t="s">
        <v>289</v>
      </c>
      <c r="E21" s="223" t="s">
        <v>235</v>
      </c>
      <c r="F21" s="224" t="s">
        <v>414</v>
      </c>
    </row>
    <row r="22" spans="2:6" x14ac:dyDescent="0.25">
      <c r="B22" s="608" t="s">
        <v>240</v>
      </c>
      <c r="C22" s="609" t="s">
        <v>386</v>
      </c>
      <c r="D22" s="609" t="s">
        <v>388</v>
      </c>
      <c r="E22" s="609"/>
      <c r="F22" s="224" t="s">
        <v>411</v>
      </c>
    </row>
    <row r="23" spans="2:6" x14ac:dyDescent="0.25">
      <c r="B23" s="608" t="s">
        <v>240</v>
      </c>
      <c r="C23" s="609" t="s">
        <v>385</v>
      </c>
      <c r="D23" s="609" t="s">
        <v>387</v>
      </c>
      <c r="E23" s="609"/>
      <c r="F23" s="224" t="s">
        <v>280</v>
      </c>
    </row>
  </sheetData>
  <mergeCells count="4">
    <mergeCell ref="B9:B11"/>
    <mergeCell ref="C9:C11"/>
    <mergeCell ref="D9:D11"/>
    <mergeCell ref="E9:E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tint="0.249977111117893"/>
    <pageSetUpPr fitToPage="1"/>
  </sheetPr>
  <dimension ref="A2:N20"/>
  <sheetViews>
    <sheetView showGridLines="0" zoomScaleNormal="100" workbookViewId="0"/>
  </sheetViews>
  <sheetFormatPr defaultColWidth="8.85546875" defaultRowHeight="12.75" x14ac:dyDescent="0.2"/>
  <cols>
    <col min="1" max="1" width="4.42578125" style="241" customWidth="1"/>
    <col min="2" max="2" width="3.140625" style="241" customWidth="1"/>
    <col min="3" max="3" width="34.28515625" style="241" customWidth="1"/>
    <col min="4" max="4" width="91.85546875" style="241" customWidth="1"/>
    <col min="5" max="9" width="15.28515625" style="241" customWidth="1"/>
    <col min="10" max="16384" width="8.85546875" style="241"/>
  </cols>
  <sheetData>
    <row r="2" spans="1:14" ht="18.75" x14ac:dyDescent="0.2">
      <c r="A2" s="83"/>
      <c r="B2" s="226" t="s">
        <v>287</v>
      </c>
      <c r="C2" s="83"/>
      <c r="D2" s="100"/>
    </row>
    <row r="3" spans="1:14" ht="15" x14ac:dyDescent="0.2">
      <c r="A3" s="83"/>
      <c r="B3" s="82" t="str">
        <f ca="1">"Filename:  "&amp;MID(CELL("filename",C2),FIND("[",CELL("filename",C2))+1,FIND("]",CELL("filename",C2))-FIND("[",CELL("filename",C2))-1)</f>
        <v>Filename:  Energex - Revised Proposal - 10.003 - 2020-25 LRMC Model - December 2019.xlsx</v>
      </c>
      <c r="C3" s="83"/>
      <c r="D3" s="100"/>
    </row>
    <row r="4" spans="1:14" ht="15" x14ac:dyDescent="0.2">
      <c r="A4" s="83"/>
      <c r="B4" s="83"/>
      <c r="C4" s="83"/>
      <c r="D4" s="83"/>
    </row>
    <row r="5" spans="1:14" ht="15" customHeight="1" x14ac:dyDescent="0.2">
      <c r="A5" s="83"/>
      <c r="B5" s="83"/>
      <c r="C5" s="227" t="s">
        <v>17</v>
      </c>
      <c r="D5" s="229"/>
    </row>
    <row r="6" spans="1:14" s="243" customFormat="1" ht="198.95" customHeight="1" x14ac:dyDescent="0.2">
      <c r="A6" s="83"/>
      <c r="B6" s="83"/>
      <c r="C6" s="686" t="s">
        <v>288</v>
      </c>
      <c r="D6" s="687"/>
      <c r="E6" s="241"/>
      <c r="F6" s="241"/>
      <c r="G6" s="241"/>
      <c r="H6" s="241"/>
      <c r="I6" s="241"/>
      <c r="J6" s="241"/>
      <c r="K6" s="241"/>
      <c r="L6" s="241"/>
      <c r="M6" s="241"/>
      <c r="N6" s="241"/>
    </row>
    <row r="8" spans="1:14" s="243" customFormat="1" ht="15" x14ac:dyDescent="0.2">
      <c r="A8" s="83"/>
      <c r="B8" s="83"/>
      <c r="C8" s="227" t="s">
        <v>136</v>
      </c>
      <c r="D8" s="229"/>
      <c r="E8" s="241"/>
      <c r="F8" s="241"/>
      <c r="G8" s="241"/>
      <c r="H8" s="241"/>
      <c r="I8" s="241"/>
      <c r="J8" s="241"/>
      <c r="K8" s="241"/>
      <c r="L8" s="241"/>
      <c r="M8" s="241"/>
      <c r="N8" s="241"/>
    </row>
    <row r="9" spans="1:14" s="243" customFormat="1" ht="206.1" customHeight="1" x14ac:dyDescent="0.2">
      <c r="A9" s="83"/>
      <c r="B9" s="83"/>
      <c r="C9" s="688" t="s">
        <v>305</v>
      </c>
      <c r="D9" s="689"/>
      <c r="E9" s="241"/>
      <c r="F9" s="241"/>
      <c r="G9" s="241"/>
      <c r="H9" s="241"/>
      <c r="I9" s="241"/>
      <c r="J9" s="241"/>
      <c r="K9" s="241"/>
      <c r="L9" s="241"/>
      <c r="M9" s="241"/>
      <c r="N9" s="241"/>
    </row>
    <row r="11" spans="1:14" ht="15" customHeight="1" x14ac:dyDescent="0.2">
      <c r="A11" s="83"/>
      <c r="B11" s="83"/>
      <c r="C11" s="227" t="s">
        <v>137</v>
      </c>
      <c r="D11" s="229"/>
    </row>
    <row r="12" spans="1:14" ht="34.5" customHeight="1" x14ac:dyDescent="0.2">
      <c r="C12" s="244" t="s">
        <v>306</v>
      </c>
      <c r="D12" s="304" t="s">
        <v>308</v>
      </c>
    </row>
    <row r="13" spans="1:14" ht="34.5" customHeight="1" x14ac:dyDescent="0.2">
      <c r="C13" s="245" t="s">
        <v>307</v>
      </c>
      <c r="D13" s="305" t="s">
        <v>309</v>
      </c>
    </row>
    <row r="14" spans="1:14" ht="45" customHeight="1" x14ac:dyDescent="0.2">
      <c r="C14" s="245" t="s">
        <v>158</v>
      </c>
      <c r="D14" s="305" t="s">
        <v>310</v>
      </c>
    </row>
    <row r="15" spans="1:14" ht="33" customHeight="1" x14ac:dyDescent="0.2">
      <c r="C15" s="246" t="s">
        <v>311</v>
      </c>
      <c r="D15" s="305" t="s">
        <v>312</v>
      </c>
    </row>
    <row r="16" spans="1:14" ht="33.75" customHeight="1" x14ac:dyDescent="0.2">
      <c r="C16" s="247" t="s">
        <v>159</v>
      </c>
      <c r="D16" s="305" t="s">
        <v>156</v>
      </c>
    </row>
    <row r="17" spans="3:4" ht="26.25" customHeight="1" x14ac:dyDescent="0.2">
      <c r="C17" s="246" t="s">
        <v>313</v>
      </c>
      <c r="D17" s="305" t="s">
        <v>157</v>
      </c>
    </row>
    <row r="18" spans="3:4" ht="35.25" customHeight="1" x14ac:dyDescent="0.2">
      <c r="C18" s="678" t="s">
        <v>417</v>
      </c>
      <c r="D18" s="306" t="s">
        <v>160</v>
      </c>
    </row>
    <row r="19" spans="3:4" ht="47.1" customHeight="1" x14ac:dyDescent="0.2"/>
    <row r="20" spans="3:4" ht="18" customHeight="1" x14ac:dyDescent="0.2"/>
  </sheetData>
  <mergeCells count="2">
    <mergeCell ref="C6:D6"/>
    <mergeCell ref="C9:D9"/>
  </mergeCells>
  <pageMargins left="0.7" right="0.7" top="0.75" bottom="0.75" header="0.3" footer="0.3"/>
  <pageSetup paperSize="9"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tint="0.249977111117893"/>
  </sheetPr>
  <dimension ref="B2:E18"/>
  <sheetViews>
    <sheetView showGridLines="0" zoomScaleNormal="100" workbookViewId="0"/>
  </sheetViews>
  <sheetFormatPr defaultColWidth="8.85546875" defaultRowHeight="12.75" x14ac:dyDescent="0.2"/>
  <cols>
    <col min="1" max="1" width="4" style="225" customWidth="1"/>
    <col min="2" max="2" width="2.7109375" style="225" customWidth="1"/>
    <col min="3" max="3" width="10.140625" style="225" customWidth="1"/>
    <col min="4" max="4" width="17" style="225" bestFit="1" customWidth="1"/>
    <col min="5" max="5" width="37.42578125" style="225" customWidth="1"/>
    <col min="6" max="16384" width="8.85546875" style="225"/>
  </cols>
  <sheetData>
    <row r="2" spans="2:5" ht="18.75" x14ac:dyDescent="0.2">
      <c r="B2" s="226" t="s">
        <v>149</v>
      </c>
    </row>
    <row r="3" spans="2:5" ht="15" x14ac:dyDescent="0.2">
      <c r="B3" s="82" t="str">
        <f ca="1">"Filename:  "&amp;MID(CELL("filename",C2),FIND("[",CELL("filename",C2))+1,FIND("]",CELL("filename",C2))-FIND("[",CELL("filename",C2))-1)</f>
        <v>Filename:  Energex - Revised Proposal - 10.003 - 2020-25 LRMC Model - December 2019.xlsx</v>
      </c>
    </row>
    <row r="4" spans="2:5" ht="15" x14ac:dyDescent="0.2">
      <c r="B4" s="82"/>
    </row>
    <row r="5" spans="2:5" x14ac:dyDescent="0.2">
      <c r="C5" s="227" t="s">
        <v>145</v>
      </c>
      <c r="D5" s="228" t="s">
        <v>146</v>
      </c>
      <c r="E5" s="229" t="s">
        <v>161</v>
      </c>
    </row>
    <row r="6" spans="2:5" x14ac:dyDescent="0.2">
      <c r="C6" s="230" t="s">
        <v>147</v>
      </c>
      <c r="D6" s="231">
        <v>41495</v>
      </c>
      <c r="E6" s="232" t="s">
        <v>148</v>
      </c>
    </row>
    <row r="7" spans="2:5" x14ac:dyDescent="0.2">
      <c r="C7" s="233" t="s">
        <v>192</v>
      </c>
      <c r="D7" s="234">
        <v>41542</v>
      </c>
      <c r="E7" s="235" t="s">
        <v>193</v>
      </c>
    </row>
    <row r="8" spans="2:5" ht="51" x14ac:dyDescent="0.2">
      <c r="C8" s="233" t="s">
        <v>213</v>
      </c>
      <c r="D8" s="234">
        <v>41477</v>
      </c>
      <c r="E8" s="236" t="s">
        <v>214</v>
      </c>
    </row>
    <row r="9" spans="2:5" x14ac:dyDescent="0.2">
      <c r="C9" s="233"/>
      <c r="D9" s="237"/>
      <c r="E9" s="235"/>
    </row>
    <row r="10" spans="2:5" x14ac:dyDescent="0.2">
      <c r="C10" s="233" t="s">
        <v>422</v>
      </c>
      <c r="D10" s="234">
        <v>43434</v>
      </c>
      <c r="E10" s="235" t="s">
        <v>286</v>
      </c>
    </row>
    <row r="11" spans="2:5" x14ac:dyDescent="0.2">
      <c r="C11" s="233"/>
      <c r="D11" s="234"/>
      <c r="E11" s="235" t="s">
        <v>420</v>
      </c>
    </row>
    <row r="12" spans="2:5" x14ac:dyDescent="0.2">
      <c r="C12" s="233"/>
      <c r="D12" s="234"/>
      <c r="E12" s="235" t="s">
        <v>421</v>
      </c>
    </row>
    <row r="13" spans="2:5" x14ac:dyDescent="0.2">
      <c r="C13" s="233"/>
      <c r="D13" s="234"/>
      <c r="E13" s="235"/>
    </row>
    <row r="14" spans="2:5" x14ac:dyDescent="0.2">
      <c r="C14" s="233"/>
      <c r="D14" s="234"/>
      <c r="E14" s="235"/>
    </row>
    <row r="15" spans="2:5" x14ac:dyDescent="0.2">
      <c r="C15" s="233"/>
      <c r="D15" s="234"/>
      <c r="E15" s="235"/>
    </row>
    <row r="16" spans="2:5" x14ac:dyDescent="0.2">
      <c r="C16" s="233"/>
      <c r="D16" s="234"/>
      <c r="E16" s="235"/>
    </row>
    <row r="17" spans="3:5" x14ac:dyDescent="0.2">
      <c r="C17" s="233"/>
      <c r="D17" s="237"/>
      <c r="E17" s="235"/>
    </row>
    <row r="18" spans="3:5" x14ac:dyDescent="0.2">
      <c r="C18" s="238"/>
      <c r="D18" s="239"/>
      <c r="E18" s="24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B1:N82"/>
  <sheetViews>
    <sheetView showGridLines="0" zoomScaleNormal="100" workbookViewId="0">
      <pane xSplit="2" ySplit="17" topLeftCell="C18" activePane="bottomRight" state="frozen"/>
      <selection pane="topRight" activeCell="C1" sqref="C1"/>
      <selection pane="bottomLeft" activeCell="A17" sqref="A17"/>
      <selection pane="bottomRight"/>
    </sheetView>
  </sheetViews>
  <sheetFormatPr defaultColWidth="9.140625" defaultRowHeight="12.75" x14ac:dyDescent="0.2"/>
  <cols>
    <col min="1" max="1" width="4" style="241" customWidth="1"/>
    <col min="2" max="2" width="13" style="241" customWidth="1"/>
    <col min="3" max="3" width="35.42578125" style="241" customWidth="1"/>
    <col min="4" max="7" width="14.7109375" style="241" customWidth="1"/>
    <col min="8" max="8" width="11.42578125" style="241" customWidth="1"/>
    <col min="9" max="9" width="11" style="241" customWidth="1"/>
    <col min="10" max="10" width="15.7109375" style="241" customWidth="1"/>
    <col min="11" max="11" width="9.140625" style="241"/>
    <col min="12" max="12" width="10.42578125" style="241" bestFit="1" customWidth="1"/>
    <col min="13" max="13" width="18.42578125" style="241" customWidth="1"/>
    <col min="14" max="14" width="9.140625" style="241"/>
    <col min="15" max="15" width="18.7109375" style="241" customWidth="1"/>
    <col min="16" max="20" width="11.7109375" style="241" customWidth="1"/>
    <col min="21" max="16384" width="9.140625" style="241"/>
  </cols>
  <sheetData>
    <row r="1" spans="2:8" ht="15" x14ac:dyDescent="0.2">
      <c r="B1" s="83"/>
    </row>
    <row r="2" spans="2:8" ht="18.75" x14ac:dyDescent="0.2">
      <c r="B2" s="242" t="s">
        <v>255</v>
      </c>
    </row>
    <row r="3" spans="2:8" ht="15" x14ac:dyDescent="0.2">
      <c r="B3" s="82" t="str">
        <f ca="1">"Filename:  "&amp;MID(CELL("filename",C2),FIND("[",CELL("filename",C2))+1,FIND("]",CELL("filename",C2))-FIND("[",CELL("filename",C2))-1)</f>
        <v>Filename:  Energex - Revised Proposal - 10.003 - 2020-25 LRMC Model - December 2019.xlsx</v>
      </c>
    </row>
    <row r="4" spans="2:8" ht="15" x14ac:dyDescent="0.2">
      <c r="B4" s="83"/>
    </row>
    <row r="5" spans="2:8" ht="15" x14ac:dyDescent="0.2">
      <c r="B5" s="82" t="s">
        <v>252</v>
      </c>
      <c r="C5" s="83"/>
      <c r="D5" s="83"/>
      <c r="E5" s="83"/>
      <c r="F5" s="83"/>
      <c r="G5" s="83"/>
    </row>
    <row r="6" spans="2:8" ht="15" x14ac:dyDescent="0.2">
      <c r="B6" s="82"/>
      <c r="C6" s="83"/>
      <c r="D6" s="83"/>
      <c r="E6" s="83"/>
      <c r="F6" s="83"/>
      <c r="G6" s="83"/>
    </row>
    <row r="7" spans="2:8" ht="15" x14ac:dyDescent="0.2">
      <c r="B7" s="83"/>
      <c r="C7" s="89" t="s">
        <v>98</v>
      </c>
      <c r="D7" s="668">
        <v>3.4299999999999997E-2</v>
      </c>
      <c r="E7" s="353" t="s">
        <v>256</v>
      </c>
      <c r="F7" s="300"/>
      <c r="G7" s="83"/>
    </row>
    <row r="8" spans="2:8" ht="15" x14ac:dyDescent="0.2">
      <c r="B8" s="83"/>
      <c r="C8" s="91" t="s">
        <v>360</v>
      </c>
      <c r="D8" s="669">
        <v>2.5000000000000001E-2</v>
      </c>
      <c r="E8" s="353" t="s">
        <v>361</v>
      </c>
      <c r="F8" s="300"/>
      <c r="G8" s="83"/>
    </row>
    <row r="9" spans="2:8" ht="15" x14ac:dyDescent="0.2">
      <c r="B9" s="83"/>
      <c r="C9" s="91" t="s">
        <v>362</v>
      </c>
      <c r="D9" s="670">
        <v>43647</v>
      </c>
      <c r="E9" s="353" t="s">
        <v>363</v>
      </c>
      <c r="F9" s="300"/>
      <c r="G9" s="83"/>
    </row>
    <row r="10" spans="2:8" ht="15" x14ac:dyDescent="0.2">
      <c r="B10" s="83"/>
      <c r="C10" s="91" t="s">
        <v>93</v>
      </c>
      <c r="D10" s="671">
        <v>500</v>
      </c>
      <c r="E10" s="83" t="s">
        <v>99</v>
      </c>
      <c r="F10" s="83"/>
      <c r="G10" s="83"/>
    </row>
    <row r="11" spans="2:8" ht="15" x14ac:dyDescent="0.2">
      <c r="B11" s="83"/>
      <c r="C11" s="91" t="s">
        <v>70</v>
      </c>
      <c r="D11" s="672"/>
      <c r="E11" s="83"/>
      <c r="F11" s="83"/>
      <c r="G11" s="89" t="s">
        <v>257</v>
      </c>
      <c r="H11" s="90"/>
    </row>
    <row r="12" spans="2:8" ht="15" x14ac:dyDescent="0.2">
      <c r="B12" s="83"/>
      <c r="C12" s="91">
        <v>110</v>
      </c>
      <c r="D12" s="672">
        <v>1.4999999999999999E-2</v>
      </c>
      <c r="E12" s="83"/>
      <c r="F12" s="83"/>
      <c r="G12" s="91" t="s">
        <v>258</v>
      </c>
      <c r="H12" s="92" t="s">
        <v>259</v>
      </c>
    </row>
    <row r="13" spans="2:8" ht="15" x14ac:dyDescent="0.2">
      <c r="B13" s="83"/>
      <c r="C13" s="91">
        <v>33</v>
      </c>
      <c r="D13" s="672">
        <v>0.02</v>
      </c>
      <c r="E13" s="83"/>
      <c r="F13" s="83"/>
      <c r="G13" s="91" t="s">
        <v>260</v>
      </c>
      <c r="H13" s="92" t="s">
        <v>261</v>
      </c>
    </row>
    <row r="14" spans="2:8" ht="15" x14ac:dyDescent="0.2">
      <c r="B14" s="83"/>
      <c r="C14" s="91">
        <v>11</v>
      </c>
      <c r="D14" s="672">
        <v>0.02</v>
      </c>
      <c r="E14" s="83"/>
      <c r="F14" s="83"/>
      <c r="G14" s="91" t="s">
        <v>262</v>
      </c>
      <c r="H14" s="92" t="s">
        <v>263</v>
      </c>
    </row>
    <row r="15" spans="2:8" ht="15" x14ac:dyDescent="0.2">
      <c r="B15" s="83"/>
      <c r="C15" s="673" t="s">
        <v>7</v>
      </c>
      <c r="D15" s="674">
        <v>2.5000000000000001E-2</v>
      </c>
      <c r="E15" s="83"/>
      <c r="F15" s="83"/>
      <c r="G15" s="93" t="s">
        <v>7</v>
      </c>
      <c r="H15" s="94" t="s">
        <v>264</v>
      </c>
    </row>
    <row r="16" spans="2:8" ht="15" x14ac:dyDescent="0.2">
      <c r="B16" s="83"/>
      <c r="C16" s="83"/>
      <c r="D16" s="354"/>
      <c r="E16" s="84"/>
      <c r="F16" s="83"/>
      <c r="G16" s="83"/>
    </row>
    <row r="17" spans="2:14" ht="15" x14ac:dyDescent="0.2">
      <c r="B17" s="82" t="s">
        <v>253</v>
      </c>
      <c r="C17" s="83"/>
      <c r="D17" s="354"/>
      <c r="E17" s="84"/>
      <c r="F17" s="83"/>
      <c r="G17" s="83"/>
    </row>
    <row r="18" spans="2:14" ht="15" x14ac:dyDescent="0.2">
      <c r="B18" s="82"/>
      <c r="C18" s="355"/>
      <c r="D18" s="355"/>
      <c r="E18" s="83"/>
      <c r="F18" s="83"/>
      <c r="G18" s="83"/>
    </row>
    <row r="19" spans="2:14" ht="15" x14ac:dyDescent="0.2">
      <c r="B19" s="83"/>
      <c r="C19" s="356" t="s">
        <v>47</v>
      </c>
      <c r="D19" s="357" t="s">
        <v>314</v>
      </c>
      <c r="E19" s="358" t="s">
        <v>85</v>
      </c>
      <c r="F19" s="83"/>
      <c r="G19" s="83"/>
    </row>
    <row r="20" spans="2:14" ht="15" x14ac:dyDescent="0.2">
      <c r="B20" s="83"/>
      <c r="C20" s="359" t="s">
        <v>0</v>
      </c>
      <c r="D20" s="360">
        <v>1.0037</v>
      </c>
      <c r="E20" s="690" t="s">
        <v>242</v>
      </c>
      <c r="F20" s="83"/>
      <c r="G20" s="83"/>
    </row>
    <row r="21" spans="2:14" ht="15" x14ac:dyDescent="0.2">
      <c r="B21" s="83"/>
      <c r="C21" s="361" t="s">
        <v>2</v>
      </c>
      <c r="D21" s="362">
        <v>1.0089999999999999</v>
      </c>
      <c r="E21" s="691"/>
      <c r="F21" s="83"/>
      <c r="G21" s="83"/>
    </row>
    <row r="22" spans="2:14" ht="15" x14ac:dyDescent="0.2">
      <c r="B22" s="83"/>
      <c r="C22" s="361" t="s">
        <v>94</v>
      </c>
      <c r="D22" s="362">
        <v>1.0130999999999999</v>
      </c>
      <c r="E22" s="691"/>
      <c r="F22" s="83"/>
      <c r="G22" s="83"/>
    </row>
    <row r="23" spans="2:14" ht="15" x14ac:dyDescent="0.2">
      <c r="B23" s="83"/>
      <c r="C23" s="361" t="s">
        <v>95</v>
      </c>
      <c r="D23" s="362">
        <v>1.0198</v>
      </c>
      <c r="E23" s="691"/>
      <c r="F23" s="83"/>
      <c r="G23" s="83"/>
    </row>
    <row r="24" spans="2:14" ht="15" x14ac:dyDescent="0.2">
      <c r="B24" s="83"/>
      <c r="C24" s="361" t="s">
        <v>96</v>
      </c>
      <c r="D24" s="362">
        <v>1.0337000000000001</v>
      </c>
      <c r="E24" s="691"/>
      <c r="F24" s="83"/>
      <c r="G24" s="83"/>
    </row>
    <row r="25" spans="2:14" ht="15" x14ac:dyDescent="0.2">
      <c r="B25" s="83"/>
      <c r="C25" s="98" t="s">
        <v>97</v>
      </c>
      <c r="D25" s="363">
        <v>1.0533999999999999</v>
      </c>
      <c r="E25" s="692"/>
      <c r="F25" s="83"/>
      <c r="G25" s="83"/>
    </row>
    <row r="26" spans="2:14" ht="13.5" customHeight="1" x14ac:dyDescent="0.2"/>
    <row r="27" spans="2:14" s="83" customFormat="1" ht="15" x14ac:dyDescent="0.2">
      <c r="B27" s="82" t="s">
        <v>254</v>
      </c>
      <c r="N27" s="241"/>
    </row>
    <row r="28" spans="2:14" s="83" customFormat="1" ht="15" x14ac:dyDescent="0.2">
      <c r="B28" s="364"/>
      <c r="N28" s="241"/>
    </row>
    <row r="29" spans="2:14" s="83" customFormat="1" ht="15" x14ac:dyDescent="0.2">
      <c r="C29" s="365"/>
      <c r="D29" s="702" t="s">
        <v>423</v>
      </c>
      <c r="E29" s="704"/>
      <c r="F29" s="702" t="s">
        <v>61</v>
      </c>
      <c r="G29" s="703"/>
      <c r="H29" s="366"/>
      <c r="I29" s="366"/>
      <c r="J29" s="366"/>
      <c r="K29" s="367"/>
      <c r="L29" s="367"/>
      <c r="M29" s="368"/>
      <c r="N29" s="241"/>
    </row>
    <row r="30" spans="2:14" s="83" customFormat="1" ht="15" x14ac:dyDescent="0.2">
      <c r="C30" s="369" t="s">
        <v>47</v>
      </c>
      <c r="D30" s="370" t="s">
        <v>53</v>
      </c>
      <c r="E30" s="371" t="s">
        <v>54</v>
      </c>
      <c r="F30" s="370" t="s">
        <v>53</v>
      </c>
      <c r="G30" s="372" t="s">
        <v>54</v>
      </c>
      <c r="H30" s="373" t="s">
        <v>81</v>
      </c>
      <c r="I30" s="371"/>
      <c r="J30" s="371"/>
      <c r="K30" s="374"/>
      <c r="L30" s="374"/>
      <c r="M30" s="375"/>
      <c r="N30" s="241"/>
    </row>
    <row r="31" spans="2:14" s="83" customFormat="1" ht="15" x14ac:dyDescent="0.2">
      <c r="C31" s="361" t="s">
        <v>58</v>
      </c>
      <c r="D31" s="594">
        <v>3.9809999999999999</v>
      </c>
      <c r="E31" s="595">
        <v>3.0649999999999999</v>
      </c>
      <c r="F31" s="378">
        <v>0.3</v>
      </c>
      <c r="G31" s="379">
        <v>0.7</v>
      </c>
      <c r="H31" s="696" t="s">
        <v>203</v>
      </c>
      <c r="I31" s="696"/>
      <c r="J31" s="696"/>
      <c r="K31" s="697"/>
      <c r="L31" s="697"/>
      <c r="M31" s="698"/>
      <c r="N31" s="241"/>
    </row>
    <row r="32" spans="2:14" s="83" customFormat="1" ht="15" x14ac:dyDescent="0.2">
      <c r="C32" s="361" t="s">
        <v>56</v>
      </c>
      <c r="D32" s="594">
        <v>11.301</v>
      </c>
      <c r="E32" s="595">
        <v>3.5329999999999999</v>
      </c>
      <c r="F32" s="378">
        <v>0.9</v>
      </c>
      <c r="G32" s="379">
        <v>0.1</v>
      </c>
      <c r="H32" s="696"/>
      <c r="I32" s="696"/>
      <c r="J32" s="696"/>
      <c r="K32" s="697"/>
      <c r="L32" s="697"/>
      <c r="M32" s="698"/>
      <c r="N32" s="241"/>
    </row>
    <row r="33" spans="2:14" s="83" customFormat="1" ht="15" x14ac:dyDescent="0.2">
      <c r="C33" s="361" t="s">
        <v>57</v>
      </c>
      <c r="D33" s="594">
        <v>20.052</v>
      </c>
      <c r="E33" s="595">
        <v>4.3170000000000002</v>
      </c>
      <c r="F33" s="378">
        <v>1</v>
      </c>
      <c r="G33" s="379">
        <v>0</v>
      </c>
      <c r="H33" s="696"/>
      <c r="I33" s="696"/>
      <c r="J33" s="696"/>
      <c r="K33" s="697"/>
      <c r="L33" s="697"/>
      <c r="M33" s="698"/>
      <c r="N33" s="241"/>
    </row>
    <row r="34" spans="2:14" s="83" customFormat="1" ht="15" x14ac:dyDescent="0.2">
      <c r="C34" s="361" t="s">
        <v>64</v>
      </c>
      <c r="D34" s="594">
        <f>(4520+8340+7050)/3000</f>
        <v>6.6366666666666667</v>
      </c>
      <c r="E34" s="595">
        <f>(3170+6830+3010+3050)/4000</f>
        <v>4.0149999999999997</v>
      </c>
      <c r="F34" s="380">
        <v>0.5</v>
      </c>
      <c r="G34" s="381">
        <v>0.5</v>
      </c>
      <c r="H34" s="696" t="s">
        <v>143</v>
      </c>
      <c r="I34" s="696"/>
      <c r="J34" s="696"/>
      <c r="K34" s="696"/>
      <c r="L34" s="697"/>
      <c r="M34" s="698"/>
      <c r="N34" s="241"/>
    </row>
    <row r="35" spans="2:14" s="83" customFormat="1" ht="15" x14ac:dyDescent="0.2">
      <c r="B35" s="84"/>
      <c r="C35" s="361" t="s">
        <v>65</v>
      </c>
      <c r="D35" s="594">
        <f>(3039+20844+8393+14543+8900+8806+15370+14543)/7000</f>
        <v>13.491142857142858</v>
      </c>
      <c r="E35" s="382"/>
      <c r="F35" s="378">
        <v>1</v>
      </c>
      <c r="G35" s="379">
        <v>0</v>
      </c>
      <c r="H35" s="696"/>
      <c r="I35" s="696"/>
      <c r="J35" s="696"/>
      <c r="K35" s="696"/>
      <c r="L35" s="697"/>
      <c r="M35" s="698"/>
      <c r="N35" s="241"/>
    </row>
    <row r="36" spans="2:14" s="83" customFormat="1" ht="15" x14ac:dyDescent="0.2">
      <c r="C36" s="361" t="s">
        <v>75</v>
      </c>
      <c r="D36" s="383"/>
      <c r="E36" s="595">
        <v>0.38600000000000001</v>
      </c>
      <c r="F36" s="380">
        <v>0</v>
      </c>
      <c r="G36" s="381">
        <v>1</v>
      </c>
      <c r="H36" s="696" t="s">
        <v>84</v>
      </c>
      <c r="I36" s="696"/>
      <c r="J36" s="696"/>
      <c r="K36" s="696"/>
      <c r="L36" s="697"/>
      <c r="M36" s="698"/>
      <c r="N36" s="384"/>
    </row>
    <row r="37" spans="2:14" s="83" customFormat="1" ht="15" x14ac:dyDescent="0.2">
      <c r="C37" s="361" t="s">
        <v>66</v>
      </c>
      <c r="D37" s="594">
        <v>4.8890000000000002</v>
      </c>
      <c r="E37" s="595">
        <v>4.2409999999999997</v>
      </c>
      <c r="F37" s="380">
        <v>0.5</v>
      </c>
      <c r="G37" s="381">
        <v>0.5</v>
      </c>
      <c r="H37" s="696"/>
      <c r="I37" s="696"/>
      <c r="J37" s="696"/>
      <c r="K37" s="696"/>
      <c r="L37" s="697"/>
      <c r="M37" s="698"/>
      <c r="N37" s="384"/>
    </row>
    <row r="38" spans="2:14" s="83" customFormat="1" ht="15" x14ac:dyDescent="0.2">
      <c r="B38" s="85"/>
      <c r="C38" s="98" t="s">
        <v>67</v>
      </c>
      <c r="D38" s="602">
        <v>45.86</v>
      </c>
      <c r="E38" s="603">
        <v>8.1240000000000006</v>
      </c>
      <c r="F38" s="386">
        <v>0.75</v>
      </c>
      <c r="G38" s="387">
        <v>0.25</v>
      </c>
      <c r="H38" s="699"/>
      <c r="I38" s="699"/>
      <c r="J38" s="699"/>
      <c r="K38" s="699"/>
      <c r="L38" s="700"/>
      <c r="M38" s="701"/>
      <c r="N38" s="384"/>
    </row>
    <row r="39" spans="2:14" s="83" customFormat="1" ht="15" x14ac:dyDescent="0.2">
      <c r="B39" s="86"/>
      <c r="C39" s="98" t="str">
        <f>"LV for "&amp;FIXED(D10,0)&amp;" MW"</f>
        <v>LV for 500 MW</v>
      </c>
      <c r="D39" s="388">
        <f>D41*D10/D42</f>
        <v>1611.402448011457</v>
      </c>
      <c r="E39" s="389">
        <f>E41*D10/D42</f>
        <v>1330.5813623313868</v>
      </c>
      <c r="F39" s="390">
        <f>D39/(D39+E39)</f>
        <v>0.54772648385977096</v>
      </c>
      <c r="G39" s="391">
        <f>E39/(D39+E39)</f>
        <v>0.45227351614022909</v>
      </c>
      <c r="H39" s="392" t="s">
        <v>317</v>
      </c>
      <c r="I39" s="393"/>
      <c r="J39" s="393"/>
      <c r="K39" s="393"/>
      <c r="L39" s="393"/>
      <c r="M39" s="394"/>
      <c r="N39" s="384"/>
    </row>
    <row r="40" spans="2:14" s="83" customFormat="1" ht="15" x14ac:dyDescent="0.2">
      <c r="B40" s="86"/>
      <c r="C40" s="97"/>
      <c r="D40" s="395"/>
      <c r="E40" s="395"/>
      <c r="F40" s="396"/>
      <c r="G40" s="396"/>
      <c r="H40" s="395"/>
    </row>
    <row r="41" spans="2:14" s="83" customFormat="1" ht="15" x14ac:dyDescent="0.2">
      <c r="B41" s="86"/>
      <c r="C41" s="83" t="s">
        <v>359</v>
      </c>
      <c r="D41" s="397">
        <f>'Calcs - LRIC - Asset costs'!N54</f>
        <v>14202</v>
      </c>
      <c r="E41" s="397">
        <f>'Calcs - LRIC - Asset costs'!N60</f>
        <v>11727</v>
      </c>
      <c r="F41" s="697" t="s">
        <v>250</v>
      </c>
      <c r="G41" s="697"/>
      <c r="H41" s="697"/>
      <c r="I41" s="697"/>
      <c r="J41" s="697"/>
      <c r="K41" s="697"/>
    </row>
    <row r="42" spans="2:14" s="83" customFormat="1" ht="15" x14ac:dyDescent="0.2">
      <c r="C42" s="83" t="s">
        <v>315</v>
      </c>
      <c r="D42" s="347">
        <f>'Inputs - tariff class'!M16</f>
        <v>4406.7203750142944</v>
      </c>
      <c r="E42" s="83" t="s">
        <v>316</v>
      </c>
      <c r="F42" s="396"/>
      <c r="G42" s="396"/>
      <c r="H42" s="396"/>
      <c r="I42" s="396"/>
      <c r="J42" s="396"/>
      <c r="K42" s="396"/>
    </row>
    <row r="43" spans="2:14" s="83" customFormat="1" ht="15" x14ac:dyDescent="0.2">
      <c r="D43" s="397"/>
      <c r="F43" s="396"/>
      <c r="G43" s="396"/>
      <c r="H43" s="396"/>
      <c r="I43" s="396"/>
      <c r="J43" s="396"/>
      <c r="K43" s="396"/>
    </row>
    <row r="44" spans="2:14" s="83" customFormat="1" ht="15" x14ac:dyDescent="0.2">
      <c r="B44" s="82" t="s">
        <v>293</v>
      </c>
      <c r="F44" s="396"/>
      <c r="G44" s="396"/>
      <c r="H44" s="396"/>
      <c r="I44" s="396"/>
      <c r="J44" s="396"/>
      <c r="K44" s="396"/>
    </row>
    <row r="45" spans="2:14" s="83" customFormat="1" ht="15" x14ac:dyDescent="0.2">
      <c r="B45" s="82"/>
      <c r="F45" s="396"/>
      <c r="G45" s="396"/>
      <c r="H45" s="396"/>
      <c r="I45" s="396"/>
      <c r="J45" s="396"/>
      <c r="K45" s="396"/>
    </row>
    <row r="46" spans="2:14" s="83" customFormat="1" ht="15" x14ac:dyDescent="0.2">
      <c r="C46" s="398" t="s">
        <v>47</v>
      </c>
      <c r="D46" s="370" t="s">
        <v>292</v>
      </c>
      <c r="F46" s="396"/>
      <c r="G46" s="396"/>
      <c r="H46" s="396"/>
      <c r="I46" s="396"/>
      <c r="J46" s="396"/>
      <c r="K46" s="396"/>
    </row>
    <row r="47" spans="2:14" s="83" customFormat="1" ht="15" x14ac:dyDescent="0.2">
      <c r="B47" s="399"/>
      <c r="C47" s="400" t="s">
        <v>262</v>
      </c>
      <c r="D47" s="576">
        <v>0.25</v>
      </c>
      <c r="F47" s="396"/>
      <c r="G47" s="396"/>
      <c r="H47" s="396"/>
      <c r="I47" s="396"/>
      <c r="J47" s="396"/>
      <c r="K47" s="396"/>
    </row>
    <row r="48" spans="2:14" s="83" customFormat="1" ht="15" x14ac:dyDescent="0.2">
      <c r="B48" s="399"/>
      <c r="C48" s="401" t="s">
        <v>6</v>
      </c>
      <c r="D48" s="577">
        <v>0.25</v>
      </c>
      <c r="F48" s="396"/>
      <c r="G48" s="396"/>
      <c r="H48" s="396"/>
      <c r="I48" s="396"/>
      <c r="J48" s="396"/>
      <c r="K48" s="396"/>
    </row>
    <row r="49" spans="2:11" s="83" customFormat="1" ht="15" x14ac:dyDescent="0.2">
      <c r="C49" s="402" t="s">
        <v>7</v>
      </c>
      <c r="D49" s="578">
        <v>0.9</v>
      </c>
      <c r="F49" s="396"/>
      <c r="G49" s="396"/>
      <c r="H49" s="396"/>
      <c r="I49" s="396"/>
      <c r="J49" s="396"/>
      <c r="K49" s="396"/>
    </row>
    <row r="50" spans="2:11" s="83" customFormat="1" ht="15" x14ac:dyDescent="0.2">
      <c r="G50" s="403"/>
      <c r="H50" s="86"/>
    </row>
    <row r="51" spans="2:11" s="83" customFormat="1" ht="15" x14ac:dyDescent="0.2">
      <c r="B51" s="82" t="s">
        <v>294</v>
      </c>
      <c r="G51" s="403"/>
      <c r="H51" s="86"/>
    </row>
    <row r="52" spans="2:11" s="83" customFormat="1" ht="15" x14ac:dyDescent="0.2">
      <c r="B52" s="399"/>
    </row>
    <row r="53" spans="2:11" s="83" customFormat="1" ht="30.95" customHeight="1" x14ac:dyDescent="0.2">
      <c r="B53" s="83">
        <v>3.3</v>
      </c>
      <c r="C53" s="339" t="s">
        <v>47</v>
      </c>
      <c r="D53" s="316" t="s">
        <v>162</v>
      </c>
      <c r="E53" s="317" t="s">
        <v>163</v>
      </c>
      <c r="F53" s="317" t="s">
        <v>140</v>
      </c>
      <c r="G53" s="328" t="s">
        <v>141</v>
      </c>
      <c r="H53" s="317" t="s">
        <v>142</v>
      </c>
      <c r="I53" s="317" t="s">
        <v>139</v>
      </c>
      <c r="J53" s="404" t="s">
        <v>81</v>
      </c>
    </row>
    <row r="54" spans="2:11" s="83" customFormat="1" ht="15" x14ac:dyDescent="0.2">
      <c r="C54" s="359" t="s">
        <v>52</v>
      </c>
      <c r="D54" s="405">
        <f>F31*F54</f>
        <v>0.6</v>
      </c>
      <c r="E54" s="406">
        <f>G31*F54</f>
        <v>1.4</v>
      </c>
      <c r="F54" s="407">
        <v>2</v>
      </c>
      <c r="G54" s="596">
        <f>D54*D31</f>
        <v>2.3885999999999998</v>
      </c>
      <c r="H54" s="597">
        <f>E54*E31</f>
        <v>4.2909999999999995</v>
      </c>
      <c r="I54" s="408" t="s">
        <v>0</v>
      </c>
      <c r="J54" s="693" t="s">
        <v>76</v>
      </c>
    </row>
    <row r="55" spans="2:11" s="83" customFormat="1" ht="15" x14ac:dyDescent="0.2">
      <c r="C55" s="361" t="s">
        <v>60</v>
      </c>
      <c r="D55" s="409">
        <f>F32*F55</f>
        <v>1.8</v>
      </c>
      <c r="E55" s="410">
        <f>G32*F55</f>
        <v>0.2</v>
      </c>
      <c r="F55" s="411">
        <v>2</v>
      </c>
      <c r="G55" s="598">
        <f>D55*D32</f>
        <v>20.341799999999999</v>
      </c>
      <c r="H55" s="599">
        <f>E55*E32</f>
        <v>0.70660000000000001</v>
      </c>
      <c r="I55" s="413" t="s">
        <v>0</v>
      </c>
      <c r="J55" s="694"/>
    </row>
    <row r="56" spans="2:11" s="83" customFormat="1" ht="15" x14ac:dyDescent="0.2">
      <c r="C56" s="361" t="s">
        <v>59</v>
      </c>
      <c r="D56" s="409">
        <f>F33*F56</f>
        <v>2</v>
      </c>
      <c r="E56" s="410">
        <f>G33*F56</f>
        <v>0</v>
      </c>
      <c r="F56" s="411">
        <v>2</v>
      </c>
      <c r="G56" s="598">
        <f t="shared" ref="G56:G58" si="0">D56*D33</f>
        <v>40.103999999999999</v>
      </c>
      <c r="H56" s="599">
        <f t="shared" ref="H56:H58" si="1">E56*E33</f>
        <v>0</v>
      </c>
      <c r="I56" s="413" t="s">
        <v>0</v>
      </c>
      <c r="J56" s="694"/>
    </row>
    <row r="57" spans="2:11" s="83" customFormat="1" ht="15" x14ac:dyDescent="0.2">
      <c r="C57" s="361" t="s">
        <v>23</v>
      </c>
      <c r="D57" s="409">
        <f>F34*F57</f>
        <v>3</v>
      </c>
      <c r="E57" s="410">
        <f>G34*F57</f>
        <v>3</v>
      </c>
      <c r="F57" s="411">
        <v>6</v>
      </c>
      <c r="G57" s="598">
        <f t="shared" si="0"/>
        <v>19.91</v>
      </c>
      <c r="H57" s="599">
        <f t="shared" si="1"/>
        <v>12.044999999999998</v>
      </c>
      <c r="I57" s="413" t="s">
        <v>2</v>
      </c>
      <c r="J57" s="694"/>
    </row>
    <row r="58" spans="2:11" s="83" customFormat="1" ht="15" x14ac:dyDescent="0.2">
      <c r="C58" s="98" t="s">
        <v>24</v>
      </c>
      <c r="D58" s="414">
        <f>F35*F58</f>
        <v>4</v>
      </c>
      <c r="E58" s="415">
        <f>G35*F58</f>
        <v>0</v>
      </c>
      <c r="F58" s="416">
        <v>4</v>
      </c>
      <c r="G58" s="600">
        <f t="shared" si="0"/>
        <v>53.964571428571432</v>
      </c>
      <c r="H58" s="601">
        <f t="shared" si="1"/>
        <v>0</v>
      </c>
      <c r="I58" s="417" t="s">
        <v>2</v>
      </c>
      <c r="J58" s="695"/>
    </row>
    <row r="59" spans="2:11" s="83" customFormat="1" ht="15" x14ac:dyDescent="0.2">
      <c r="C59" s="97"/>
      <c r="D59" s="418"/>
      <c r="E59" s="418"/>
      <c r="F59" s="419"/>
      <c r="G59" s="412"/>
      <c r="H59" s="412"/>
      <c r="I59" s="395"/>
      <c r="J59" s="352"/>
    </row>
    <row r="60" spans="2:11" s="83" customFormat="1" ht="15" x14ac:dyDescent="0.2"/>
    <row r="61" spans="2:11" s="83" customFormat="1" ht="15" x14ac:dyDescent="0.2">
      <c r="B61" s="82" t="s">
        <v>295</v>
      </c>
    </row>
    <row r="62" spans="2:11" s="83" customFormat="1" ht="15" x14ac:dyDescent="0.2">
      <c r="B62" s="399"/>
    </row>
    <row r="63" spans="2:11" s="83" customFormat="1" ht="15" x14ac:dyDescent="0.2">
      <c r="B63" s="399"/>
      <c r="C63" s="420" t="s">
        <v>49</v>
      </c>
      <c r="D63" s="421">
        <v>0.3</v>
      </c>
      <c r="E63" s="83" t="s">
        <v>77</v>
      </c>
    </row>
    <row r="64" spans="2:11" s="83" customFormat="1" ht="15" x14ac:dyDescent="0.2">
      <c r="B64" s="399"/>
      <c r="C64" s="47"/>
      <c r="D64" s="422"/>
    </row>
    <row r="65" spans="2:14" s="83" customFormat="1" ht="15" x14ac:dyDescent="0.2">
      <c r="C65" s="339" t="s">
        <v>47</v>
      </c>
      <c r="D65" s="423" t="s">
        <v>68</v>
      </c>
      <c r="E65" s="424" t="s">
        <v>69</v>
      </c>
      <c r="F65" s="358" t="s">
        <v>74</v>
      </c>
      <c r="G65" s="425" t="s">
        <v>81</v>
      </c>
      <c r="H65" s="425"/>
      <c r="I65" s="425"/>
      <c r="J65" s="425"/>
      <c r="K65" s="425"/>
      <c r="L65" s="425"/>
      <c r="M65" s="426"/>
    </row>
    <row r="66" spans="2:14" s="83" customFormat="1" ht="15" x14ac:dyDescent="0.2">
      <c r="C66" s="307" t="s">
        <v>8</v>
      </c>
      <c r="D66" s="295"/>
      <c r="E66" s="296"/>
      <c r="F66" s="427"/>
      <c r="G66" s="428"/>
      <c r="H66" s="428"/>
      <c r="I66" s="428"/>
      <c r="J66" s="428"/>
      <c r="K66" s="428"/>
      <c r="L66" s="428"/>
      <c r="M66" s="429"/>
    </row>
    <row r="67" spans="2:14" s="83" customFormat="1" ht="15" x14ac:dyDescent="0.2">
      <c r="C67" s="309" t="s">
        <v>0</v>
      </c>
      <c r="D67" s="430">
        <v>1</v>
      </c>
      <c r="E67" s="431">
        <v>0</v>
      </c>
      <c r="F67" s="427"/>
      <c r="G67" s="97" t="s">
        <v>78</v>
      </c>
      <c r="H67" s="97"/>
      <c r="I67" s="97"/>
      <c r="J67" s="97"/>
      <c r="K67" s="97"/>
      <c r="L67" s="97"/>
      <c r="M67" s="432"/>
    </row>
    <row r="68" spans="2:14" s="83" customFormat="1" ht="15" x14ac:dyDescent="0.2">
      <c r="C68" s="309" t="s">
        <v>1</v>
      </c>
      <c r="D68" s="295"/>
      <c r="E68" s="296"/>
      <c r="F68" s="427"/>
      <c r="G68" s="97"/>
      <c r="H68" s="97"/>
      <c r="I68" s="97"/>
      <c r="J68" s="97"/>
      <c r="K68" s="97"/>
      <c r="L68" s="97"/>
      <c r="M68" s="432"/>
    </row>
    <row r="69" spans="2:14" s="83" customFormat="1" ht="15" x14ac:dyDescent="0.2">
      <c r="C69" s="309" t="s">
        <v>2</v>
      </c>
      <c r="D69" s="295"/>
      <c r="E69" s="296"/>
      <c r="F69" s="427"/>
      <c r="G69" s="97"/>
      <c r="H69" s="97"/>
      <c r="I69" s="97"/>
      <c r="J69" s="97"/>
      <c r="K69" s="97"/>
      <c r="L69" s="97"/>
      <c r="M69" s="432"/>
    </row>
    <row r="70" spans="2:14" s="83" customFormat="1" ht="15" x14ac:dyDescent="0.2">
      <c r="C70" s="309" t="s">
        <v>3</v>
      </c>
      <c r="D70" s="430">
        <v>0.8</v>
      </c>
      <c r="E70" s="431">
        <v>0.2</v>
      </c>
      <c r="F70" s="427"/>
      <c r="G70" s="97" t="s">
        <v>79</v>
      </c>
      <c r="H70" s="97"/>
      <c r="I70" s="97"/>
      <c r="J70" s="97"/>
      <c r="K70" s="97"/>
      <c r="L70" s="97"/>
      <c r="M70" s="432"/>
    </row>
    <row r="71" spans="2:14" s="83" customFormat="1" ht="15" x14ac:dyDescent="0.2">
      <c r="C71" s="309" t="s">
        <v>48</v>
      </c>
      <c r="D71" s="295"/>
      <c r="E71" s="296"/>
      <c r="F71" s="433">
        <v>1</v>
      </c>
      <c r="G71" s="97" t="s">
        <v>111</v>
      </c>
      <c r="H71" s="97"/>
      <c r="I71" s="97"/>
      <c r="J71" s="97"/>
      <c r="K71" s="97"/>
      <c r="L71" s="97"/>
      <c r="M71" s="432"/>
    </row>
    <row r="72" spans="2:14" s="83" customFormat="1" ht="15" x14ac:dyDescent="0.2">
      <c r="C72" s="309" t="s">
        <v>5</v>
      </c>
      <c r="D72" s="295"/>
      <c r="E72" s="296"/>
      <c r="F72" s="427"/>
      <c r="G72" s="97"/>
      <c r="H72" s="97"/>
      <c r="I72" s="97"/>
      <c r="J72" s="97"/>
      <c r="K72" s="97"/>
      <c r="L72" s="97"/>
      <c r="M72" s="432"/>
    </row>
    <row r="73" spans="2:14" s="83" customFormat="1" ht="15" customHeight="1" x14ac:dyDescent="0.2">
      <c r="C73" s="309" t="s">
        <v>6</v>
      </c>
      <c r="D73" s="430">
        <v>0.7</v>
      </c>
      <c r="E73" s="431">
        <v>0.2</v>
      </c>
      <c r="F73" s="433">
        <v>0.1</v>
      </c>
      <c r="G73" s="592" t="s">
        <v>80</v>
      </c>
      <c r="H73" s="592"/>
      <c r="I73" s="592"/>
      <c r="J73" s="592"/>
      <c r="K73" s="592"/>
      <c r="L73" s="592"/>
      <c r="M73" s="593"/>
    </row>
    <row r="74" spans="2:14" s="83" customFormat="1" ht="15" x14ac:dyDescent="0.2">
      <c r="C74" s="311" t="s">
        <v>7</v>
      </c>
      <c r="D74" s="298"/>
      <c r="E74" s="299"/>
      <c r="F74" s="434"/>
      <c r="G74" s="355"/>
      <c r="H74" s="355"/>
      <c r="I74" s="355"/>
      <c r="J74" s="355"/>
      <c r="K74" s="355"/>
      <c r="L74" s="355"/>
      <c r="M74" s="435"/>
    </row>
    <row r="75" spans="2:14" s="83" customFormat="1" ht="15" x14ac:dyDescent="0.2">
      <c r="B75" s="399"/>
      <c r="C75" s="47"/>
      <c r="D75" s="241"/>
    </row>
    <row r="76" spans="2:14" s="83" customFormat="1" ht="15" x14ac:dyDescent="0.2">
      <c r="B76" s="399"/>
      <c r="D76" s="241"/>
    </row>
    <row r="77" spans="2:14" ht="15" x14ac:dyDescent="0.2">
      <c r="N77" s="83"/>
    </row>
    <row r="78" spans="2:14" ht="15" x14ac:dyDescent="0.2">
      <c r="N78" s="83"/>
    </row>
    <row r="79" spans="2:14" ht="15" x14ac:dyDescent="0.2">
      <c r="N79" s="83"/>
    </row>
    <row r="80" spans="2:14" ht="15" x14ac:dyDescent="0.2">
      <c r="N80" s="83"/>
    </row>
    <row r="81" spans="14:14" ht="15" x14ac:dyDescent="0.2">
      <c r="N81" s="83"/>
    </row>
    <row r="82" spans="14:14" ht="15" x14ac:dyDescent="0.2">
      <c r="N82" s="83"/>
    </row>
  </sheetData>
  <mergeCells count="8">
    <mergeCell ref="E20:E25"/>
    <mergeCell ref="J54:J58"/>
    <mergeCell ref="H34:M35"/>
    <mergeCell ref="H31:M33"/>
    <mergeCell ref="H36:M38"/>
    <mergeCell ref="F29:G29"/>
    <mergeCell ref="D29:E29"/>
    <mergeCell ref="F41:K41"/>
  </mergeCell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B2:AG95"/>
  <sheetViews>
    <sheetView showGridLines="0" zoomScaleNormal="100" workbookViewId="0"/>
  </sheetViews>
  <sheetFormatPr defaultColWidth="8.85546875" defaultRowHeight="12.75" x14ac:dyDescent="0.2"/>
  <cols>
    <col min="1" max="1" width="8.85546875" style="241"/>
    <col min="2" max="2" width="4.42578125" style="241" customWidth="1"/>
    <col min="3" max="3" width="30.85546875" style="241" customWidth="1"/>
    <col min="4" max="8" width="14" style="241" customWidth="1"/>
    <col min="9" max="9" width="13.7109375" style="241" customWidth="1"/>
    <col min="10" max="10" width="9.42578125" style="241" bestFit="1" customWidth="1"/>
    <col min="11" max="11" width="10.28515625" style="241" customWidth="1"/>
    <col min="12" max="12" width="12.140625" style="241" customWidth="1"/>
    <col min="13" max="13" width="11" style="241" customWidth="1"/>
    <col min="14" max="14" width="11.140625" style="241" customWidth="1"/>
    <col min="15" max="15" width="8.42578125" style="241" bestFit="1" customWidth="1"/>
    <col min="16" max="16" width="7.28515625" style="241" bestFit="1" customWidth="1"/>
    <col min="17" max="22" width="8.85546875" style="241"/>
    <col min="23" max="23" width="13.85546875" style="241" bestFit="1" customWidth="1"/>
    <col min="24" max="24" width="14.85546875" style="241" bestFit="1" customWidth="1"/>
    <col min="25" max="25" width="8.42578125" style="241" bestFit="1" customWidth="1"/>
    <col min="26" max="16384" width="8.85546875" style="241"/>
  </cols>
  <sheetData>
    <row r="2" spans="2:33" ht="18.75" x14ac:dyDescent="0.2">
      <c r="B2" s="242" t="s">
        <v>164</v>
      </c>
    </row>
    <row r="3" spans="2:33" s="83" customFormat="1" ht="15" x14ac:dyDescent="0.2"/>
    <row r="4" spans="2:33" s="83" customFormat="1" ht="15" x14ac:dyDescent="0.2">
      <c r="B4" s="82" t="s">
        <v>135</v>
      </c>
      <c r="H4" s="524" t="s">
        <v>342</v>
      </c>
    </row>
    <row r="5" spans="2:33" s="83" customFormat="1" ht="15" x14ac:dyDescent="0.2">
      <c r="B5" s="82"/>
      <c r="V5" s="524" t="s">
        <v>334</v>
      </c>
    </row>
    <row r="6" spans="2:33" s="83" customFormat="1" ht="66.95" customHeight="1" x14ac:dyDescent="0.25">
      <c r="B6" s="82"/>
      <c r="C6" s="315" t="s">
        <v>150</v>
      </c>
      <c r="D6" s="575" t="s">
        <v>337</v>
      </c>
      <c r="F6" s="340" t="s">
        <v>166</v>
      </c>
      <c r="H6" s="316" t="s">
        <v>165</v>
      </c>
      <c r="I6" s="480" t="s">
        <v>314</v>
      </c>
      <c r="J6" s="480" t="s">
        <v>335</v>
      </c>
      <c r="K6" s="340" t="s">
        <v>336</v>
      </c>
      <c r="L6" s="340" t="s">
        <v>338</v>
      </c>
      <c r="M6" s="568" t="s">
        <v>337</v>
      </c>
      <c r="N6" s="568" t="s">
        <v>356</v>
      </c>
      <c r="V6" s="483" t="s">
        <v>322</v>
      </c>
      <c r="W6" s="484" t="s">
        <v>323</v>
      </c>
      <c r="X6" s="485" t="s">
        <v>324</v>
      </c>
      <c r="Y6" s="707">
        <v>274.60000000000002</v>
      </c>
      <c r="Z6" s="707"/>
      <c r="AA6" s="707">
        <v>163.6</v>
      </c>
      <c r="AB6" s="707"/>
      <c r="AC6" s="707">
        <v>259.60000000000002</v>
      </c>
      <c r="AD6" s="707"/>
      <c r="AE6" s="707" t="s">
        <v>325</v>
      </c>
      <c r="AF6" s="707"/>
      <c r="AG6" s="486" t="s">
        <v>326</v>
      </c>
    </row>
    <row r="7" spans="2:33" s="83" customFormat="1" ht="15" x14ac:dyDescent="0.25">
      <c r="B7" s="82"/>
      <c r="C7" s="329" t="s">
        <v>86</v>
      </c>
      <c r="D7" s="539">
        <f t="shared" ref="D7:D15" si="0">M7</f>
        <v>37.169707333333328</v>
      </c>
      <c r="F7" s="440">
        <v>42</v>
      </c>
      <c r="H7" s="376">
        <v>35</v>
      </c>
      <c r="I7" s="525">
        <f>'Inputs - network configuration'!D20</f>
        <v>1.0037</v>
      </c>
      <c r="J7" s="528">
        <f>D30/H7/8760*1000</f>
        <v>0.70123939986953687</v>
      </c>
      <c r="K7" s="528">
        <f>J7*0.2+J7^2*0.8</f>
        <v>0.53363723671741803</v>
      </c>
      <c r="L7" s="536">
        <f>M7*(I7-1)*J7/K7</f>
        <v>0.18072201008520661</v>
      </c>
      <c r="M7" s="482">
        <f>AE9</f>
        <v>37.169707333333328</v>
      </c>
      <c r="N7" s="482">
        <f>M7*$H$19</f>
        <v>38.835454424057552</v>
      </c>
      <c r="V7" s="487"/>
      <c r="W7" s="488"/>
      <c r="X7" s="489"/>
      <c r="Y7" s="490" t="s">
        <v>316</v>
      </c>
      <c r="Z7" s="491" t="s">
        <v>327</v>
      </c>
      <c r="AA7" s="490" t="s">
        <v>316</v>
      </c>
      <c r="AB7" s="491" t="s">
        <v>327</v>
      </c>
      <c r="AC7" s="490" t="s">
        <v>316</v>
      </c>
      <c r="AD7" s="491" t="s">
        <v>327</v>
      </c>
      <c r="AE7" s="490" t="s">
        <v>316</v>
      </c>
      <c r="AF7" s="491" t="s">
        <v>327</v>
      </c>
      <c r="AG7" s="492"/>
    </row>
    <row r="8" spans="2:33" s="83" customFormat="1" ht="15" x14ac:dyDescent="0.25">
      <c r="B8" s="82"/>
      <c r="C8" s="329" t="s">
        <v>87</v>
      </c>
      <c r="D8" s="539">
        <f t="shared" si="0"/>
        <v>145.83202799999998</v>
      </c>
      <c r="F8" s="440">
        <v>124</v>
      </c>
      <c r="H8" s="376">
        <v>122</v>
      </c>
      <c r="I8" s="526">
        <f>'Inputs - network configuration'!D21</f>
        <v>1.0089999999999999</v>
      </c>
      <c r="J8" s="529">
        <f>D31/H8/8760*1000</f>
        <v>0.94412006886743005</v>
      </c>
      <c r="K8" s="529">
        <f t="shared" ref="K8:K15" si="1">J8*0.3+J8^2*0.7</f>
        <v>0.90718991376699754</v>
      </c>
      <c r="L8" s="537">
        <f>M8*(I8-1)*J8/K8</f>
        <v>1.3659174116260959</v>
      </c>
      <c r="M8" s="345">
        <f>AE10</f>
        <v>145.83202799999998</v>
      </c>
      <c r="N8" s="345">
        <f t="shared" ref="N8:N15" si="2">M8*$H$19</f>
        <v>152.3674379831065</v>
      </c>
      <c r="V8" s="493" t="s">
        <v>328</v>
      </c>
      <c r="W8" s="494"/>
      <c r="X8" s="495"/>
      <c r="Y8" s="496">
        <v>4814</v>
      </c>
      <c r="Z8" s="497"/>
      <c r="AA8" s="496">
        <v>4716</v>
      </c>
      <c r="AB8" s="497"/>
      <c r="AC8" s="496">
        <v>4557</v>
      </c>
      <c r="AD8" s="497"/>
      <c r="AE8" s="496">
        <v>4695.666666666667</v>
      </c>
      <c r="AF8" s="497"/>
      <c r="AG8" s="498"/>
    </row>
    <row r="9" spans="2:33" s="83" customFormat="1" ht="15" x14ac:dyDescent="0.25">
      <c r="B9" s="82"/>
      <c r="C9" s="329" t="s">
        <v>319</v>
      </c>
      <c r="D9" s="539">
        <f t="shared" si="0"/>
        <v>89.014171999999988</v>
      </c>
      <c r="F9" s="440">
        <v>81</v>
      </c>
      <c r="H9" s="376">
        <v>79</v>
      </c>
      <c r="I9" s="526">
        <f>'Inputs - network configuration'!D22</f>
        <v>1.0130999999999999</v>
      </c>
      <c r="J9" s="529">
        <f>D32/H9/8760*1000</f>
        <v>0.82581931680249698</v>
      </c>
      <c r="K9" s="529">
        <f t="shared" si="1"/>
        <v>0.72513007584364908</v>
      </c>
      <c r="L9" s="537">
        <f>M9*(I9-1)*J9/K9</f>
        <v>1.3280045739910034</v>
      </c>
      <c r="M9" s="345">
        <f>AE13</f>
        <v>89.014171999999988</v>
      </c>
      <c r="N9" s="345">
        <f t="shared" si="2"/>
        <v>93.003310163303595</v>
      </c>
      <c r="V9" s="499" t="s">
        <v>194</v>
      </c>
      <c r="W9" s="499" t="s">
        <v>329</v>
      </c>
      <c r="X9" s="500" t="s">
        <v>330</v>
      </c>
      <c r="Y9" s="501">
        <v>40.796564000000004</v>
      </c>
      <c r="Z9" s="502">
        <v>45.453738245435773</v>
      </c>
      <c r="AA9" s="501">
        <v>28.838206</v>
      </c>
      <c r="AB9" s="502">
        <v>31.637279773630436</v>
      </c>
      <c r="AC9" s="501">
        <v>41.874351999999995</v>
      </c>
      <c r="AD9" s="502">
        <v>47.68858785288522</v>
      </c>
      <c r="AE9" s="501">
        <v>37.169707333333328</v>
      </c>
      <c r="AF9" s="502">
        <v>41.593201957317142</v>
      </c>
      <c r="AG9" s="503">
        <v>0.89364861525873396</v>
      </c>
    </row>
    <row r="10" spans="2:33" s="83" customFormat="1" ht="15" x14ac:dyDescent="0.25">
      <c r="B10" s="82"/>
      <c r="C10" s="329" t="s">
        <v>88</v>
      </c>
      <c r="D10" s="539">
        <f t="shared" si="0"/>
        <v>0</v>
      </c>
      <c r="F10" s="440">
        <v>16</v>
      </c>
      <c r="H10" s="376">
        <v>14</v>
      </c>
      <c r="I10" s="526">
        <f>I8</f>
        <v>1.0089999999999999</v>
      </c>
      <c r="J10" s="547"/>
      <c r="K10" s="547"/>
      <c r="L10" s="549"/>
      <c r="M10" s="548"/>
      <c r="N10" s="548">
        <f t="shared" si="2"/>
        <v>0</v>
      </c>
      <c r="V10" s="504" t="s">
        <v>194</v>
      </c>
      <c r="W10" s="504" t="s">
        <v>329</v>
      </c>
      <c r="X10" s="505" t="s">
        <v>2</v>
      </c>
      <c r="Y10" s="496">
        <v>154.96775599999995</v>
      </c>
      <c r="Z10" s="506">
        <v>165.97268781297552</v>
      </c>
      <c r="AA10" s="496">
        <v>154.65115800000001</v>
      </c>
      <c r="AB10" s="506">
        <v>166.11144383589303</v>
      </c>
      <c r="AC10" s="496">
        <v>127.87716999999999</v>
      </c>
      <c r="AD10" s="506">
        <v>137.37029444654618</v>
      </c>
      <c r="AE10" s="496">
        <v>145.83202799999998</v>
      </c>
      <c r="AF10" s="506">
        <v>156.4848086984716</v>
      </c>
      <c r="AG10" s="507">
        <v>0.93192450572631425</v>
      </c>
    </row>
    <row r="11" spans="2:33" s="83" customFormat="1" ht="15" x14ac:dyDescent="0.25">
      <c r="B11" s="82"/>
      <c r="C11" s="329" t="s">
        <v>154</v>
      </c>
      <c r="D11" s="539">
        <f t="shared" si="0"/>
        <v>136.56344533333333</v>
      </c>
      <c r="F11" s="440">
        <v>133</v>
      </c>
      <c r="H11" s="376">
        <v>130</v>
      </c>
      <c r="I11" s="526">
        <f>I9</f>
        <v>1.0130999999999999</v>
      </c>
      <c r="J11" s="529">
        <f>D34/H11/8760*1000</f>
        <v>0.70776255707762559</v>
      </c>
      <c r="K11" s="529">
        <f t="shared" si="1"/>
        <v>0.56297825316402916</v>
      </c>
      <c r="L11" s="537">
        <f>M11*(I11-1)*J11/K11</f>
        <v>2.2490635379839077</v>
      </c>
      <c r="M11" s="345">
        <f>AE16</f>
        <v>136.56344533333333</v>
      </c>
      <c r="N11" s="345">
        <f t="shared" si="2"/>
        <v>142.68348711152822</v>
      </c>
      <c r="V11" s="504" t="s">
        <v>194</v>
      </c>
      <c r="W11" s="504" t="s">
        <v>329</v>
      </c>
      <c r="X11" s="505" t="s">
        <v>331</v>
      </c>
      <c r="Y11" s="508">
        <v>0</v>
      </c>
      <c r="Z11" s="509">
        <v>0</v>
      </c>
      <c r="AA11" s="508">
        <v>0</v>
      </c>
      <c r="AB11" s="509">
        <v>0</v>
      </c>
      <c r="AC11" s="508">
        <v>0</v>
      </c>
      <c r="AD11" s="509">
        <v>0</v>
      </c>
      <c r="AE11" s="508">
        <v>0</v>
      </c>
      <c r="AF11" s="509">
        <v>0</v>
      </c>
      <c r="AG11" s="510"/>
    </row>
    <row r="12" spans="2:33" s="83" customFormat="1" ht="15" x14ac:dyDescent="0.25">
      <c r="B12" s="82"/>
      <c r="C12" s="329" t="s">
        <v>155</v>
      </c>
      <c r="D12" s="539">
        <f t="shared" si="0"/>
        <v>454.93917666666681</v>
      </c>
      <c r="F12" s="440">
        <v>515</v>
      </c>
      <c r="H12" s="376">
        <v>497</v>
      </c>
      <c r="I12" s="526">
        <f>'Inputs - network configuration'!D23</f>
        <v>1.0198</v>
      </c>
      <c r="J12" s="529">
        <f>D35/H12/8760*1000</f>
        <v>0.67069081153588195</v>
      </c>
      <c r="K12" s="529">
        <f t="shared" si="1"/>
        <v>0.51608555873582651</v>
      </c>
      <c r="L12" s="537">
        <f>M12*(I12-1)*J12/K12</f>
        <v>11.706287270738283</v>
      </c>
      <c r="M12" s="345">
        <f>AE17</f>
        <v>454.93917666666681</v>
      </c>
      <c r="N12" s="345">
        <f t="shared" si="2"/>
        <v>475.32711255201014</v>
      </c>
      <c r="V12" s="504" t="s">
        <v>194</v>
      </c>
      <c r="W12" s="504" t="s">
        <v>329</v>
      </c>
      <c r="X12" s="505" t="s">
        <v>332</v>
      </c>
      <c r="Y12" s="508">
        <v>0</v>
      </c>
      <c r="Z12" s="509">
        <v>0</v>
      </c>
      <c r="AA12" s="508">
        <v>0</v>
      </c>
      <c r="AB12" s="509">
        <v>0</v>
      </c>
      <c r="AC12" s="508">
        <v>0</v>
      </c>
      <c r="AD12" s="509">
        <v>0</v>
      </c>
      <c r="AE12" s="508">
        <v>0</v>
      </c>
      <c r="AF12" s="509">
        <v>0</v>
      </c>
      <c r="AG12" s="510"/>
    </row>
    <row r="13" spans="2:33" s="83" customFormat="1" ht="15" x14ac:dyDescent="0.25">
      <c r="B13" s="82"/>
      <c r="C13" s="329" t="s">
        <v>350</v>
      </c>
      <c r="D13" s="539">
        <f t="shared" si="0"/>
        <v>526.50828017061258</v>
      </c>
      <c r="F13" s="569">
        <f>1093/2</f>
        <v>546.5</v>
      </c>
      <c r="H13" s="573">
        <f>1006/2</f>
        <v>503</v>
      </c>
      <c r="I13" s="526">
        <f>'Inputs - network configuration'!D24</f>
        <v>1.0337000000000001</v>
      </c>
      <c r="J13" s="529">
        <f t="shared" ref="J13:J14" si="3">D36/H13/8760*1000</f>
        <v>0.62979429359913586</v>
      </c>
      <c r="K13" s="529">
        <f t="shared" si="1"/>
        <v>0.46658688465476494</v>
      </c>
      <c r="L13" s="537">
        <f>M13*(I13-1)*J13/K13</f>
        <v>23.949767444093656</v>
      </c>
      <c r="M13" s="345">
        <f>H13*M$20</f>
        <v>526.50828017061258</v>
      </c>
      <c r="N13" s="345">
        <f t="shared" si="2"/>
        <v>550.10355973715104</v>
      </c>
      <c r="V13" s="504" t="s">
        <v>194</v>
      </c>
      <c r="W13" s="498" t="s">
        <v>329</v>
      </c>
      <c r="X13" s="511" t="s">
        <v>5</v>
      </c>
      <c r="Y13" s="512">
        <v>94.471471999999991</v>
      </c>
      <c r="Z13" s="513">
        <v>104.03716777483592</v>
      </c>
      <c r="AA13" s="512">
        <v>84.187363999999988</v>
      </c>
      <c r="AB13" s="513">
        <v>93.09558005418441</v>
      </c>
      <c r="AC13" s="512">
        <v>88.383679999999998</v>
      </c>
      <c r="AD13" s="513">
        <v>97.12802121550861</v>
      </c>
      <c r="AE13" s="512">
        <v>89.014171999999988</v>
      </c>
      <c r="AF13" s="513">
        <v>98.086923014842981</v>
      </c>
      <c r="AG13" s="514">
        <v>0.90750295007755455</v>
      </c>
    </row>
    <row r="14" spans="2:33" s="83" customFormat="1" ht="15" x14ac:dyDescent="0.25">
      <c r="B14" s="82"/>
      <c r="C14" s="329" t="s">
        <v>344</v>
      </c>
      <c r="D14" s="539">
        <f t="shared" si="0"/>
        <v>526.50828017061258</v>
      </c>
      <c r="F14" s="569">
        <f>1093/2</f>
        <v>546.5</v>
      </c>
      <c r="H14" s="573">
        <f>1006/2</f>
        <v>503</v>
      </c>
      <c r="I14" s="526">
        <f>'Inputs - network configuration'!D25</f>
        <v>1.0533999999999999</v>
      </c>
      <c r="J14" s="529">
        <f t="shared" si="3"/>
        <v>0.62979429359913586</v>
      </c>
      <c r="K14" s="529">
        <f t="shared" si="1"/>
        <v>0.46658688465476494</v>
      </c>
      <c r="L14" s="537">
        <f>M14*(I14-1)*J14/K14</f>
        <v>37.950076602807002</v>
      </c>
      <c r="M14" s="345">
        <f>H14*M$20</f>
        <v>526.50828017061258</v>
      </c>
      <c r="N14" s="345">
        <f t="shared" si="2"/>
        <v>550.10355973715104</v>
      </c>
      <c r="V14" s="504" t="s">
        <v>333</v>
      </c>
      <c r="W14" s="499" t="s">
        <v>329</v>
      </c>
      <c r="X14" s="500" t="s">
        <v>330</v>
      </c>
      <c r="Y14" s="515">
        <v>0</v>
      </c>
      <c r="Z14" s="516">
        <v>0</v>
      </c>
      <c r="AA14" s="515">
        <v>0</v>
      </c>
      <c r="AB14" s="516">
        <v>0</v>
      </c>
      <c r="AC14" s="515">
        <v>0</v>
      </c>
      <c r="AD14" s="516">
        <v>0</v>
      </c>
      <c r="AE14" s="515">
        <v>0</v>
      </c>
      <c r="AF14" s="516">
        <v>0</v>
      </c>
      <c r="AG14" s="517"/>
    </row>
    <row r="15" spans="2:33" s="83" customFormat="1" ht="15" x14ac:dyDescent="0.25">
      <c r="B15" s="82"/>
      <c r="C15" s="336" t="s">
        <v>345</v>
      </c>
      <c r="D15" s="540">
        <f t="shared" si="0"/>
        <v>2490.1852853397363</v>
      </c>
      <c r="F15" s="441">
        <v>2449</v>
      </c>
      <c r="H15" s="385">
        <v>2379</v>
      </c>
      <c r="I15" s="527">
        <f>'Inputs - network configuration'!D25</f>
        <v>1.0533999999999999</v>
      </c>
      <c r="J15" s="530">
        <f>D38/H15/8760*1000</f>
        <v>0.47509505739912211</v>
      </c>
      <c r="K15" s="530">
        <f t="shared" si="1"/>
        <v>0.30052923671528919</v>
      </c>
      <c r="L15" s="538">
        <f>M15*(I15-1)*J15/K15</f>
        <v>210.21645280104747</v>
      </c>
      <c r="M15" s="346">
        <f>H15*M$20</f>
        <v>2490.1852853397363</v>
      </c>
      <c r="N15" s="346">
        <f t="shared" si="2"/>
        <v>2601.782044959607</v>
      </c>
      <c r="V15" s="504" t="s">
        <v>333</v>
      </c>
      <c r="W15" s="504" t="s">
        <v>329</v>
      </c>
      <c r="X15" s="505" t="s">
        <v>2</v>
      </c>
      <c r="Y15" s="508">
        <v>0</v>
      </c>
      <c r="Z15" s="509">
        <v>0</v>
      </c>
      <c r="AA15" s="508">
        <v>0</v>
      </c>
      <c r="AB15" s="509">
        <v>0</v>
      </c>
      <c r="AC15" s="508">
        <v>0</v>
      </c>
      <c r="AD15" s="509">
        <v>0</v>
      </c>
      <c r="AE15" s="508">
        <v>0</v>
      </c>
      <c r="AF15" s="509">
        <v>0</v>
      </c>
      <c r="AG15" s="510"/>
    </row>
    <row r="16" spans="2:33" s="83" customFormat="1" ht="15" x14ac:dyDescent="0.25">
      <c r="B16" s="82"/>
      <c r="C16" s="543" t="s">
        <v>20</v>
      </c>
      <c r="D16" s="541">
        <f>SUM(D7:D15)</f>
        <v>4406.7203750142944</v>
      </c>
      <c r="F16" s="560">
        <f>SUM(F7:F15)</f>
        <v>4453</v>
      </c>
      <c r="G16" s="82"/>
      <c r="H16" s="436">
        <f>SUM(H7:H15)</f>
        <v>4262</v>
      </c>
      <c r="I16" s="82"/>
      <c r="J16" s="82"/>
      <c r="K16" s="82"/>
      <c r="M16" s="541">
        <f>SUM(M7:M15)</f>
        <v>4406.7203750142944</v>
      </c>
      <c r="N16" s="541">
        <f>SUM(N7:N15)</f>
        <v>4604.2059666679152</v>
      </c>
      <c r="V16" s="504" t="s">
        <v>333</v>
      </c>
      <c r="W16" s="504" t="s">
        <v>329</v>
      </c>
      <c r="X16" s="505" t="s">
        <v>331</v>
      </c>
      <c r="Y16" s="496">
        <v>148.97759600000001</v>
      </c>
      <c r="Z16" s="506">
        <v>159.24385588726278</v>
      </c>
      <c r="AA16" s="496">
        <v>116.25089800000001</v>
      </c>
      <c r="AB16" s="506">
        <v>124.60781383928145</v>
      </c>
      <c r="AC16" s="496">
        <v>144.46184199999999</v>
      </c>
      <c r="AD16" s="506">
        <v>154.90866249635727</v>
      </c>
      <c r="AE16" s="496">
        <v>136.56344533333333</v>
      </c>
      <c r="AF16" s="506">
        <v>146.25344407430052</v>
      </c>
      <c r="AG16" s="507">
        <v>0.93374515860259388</v>
      </c>
    </row>
    <row r="17" spans="2:33" s="83" customFormat="1" ht="15" x14ac:dyDescent="0.25">
      <c r="B17" s="82"/>
      <c r="C17" s="521" t="s">
        <v>152</v>
      </c>
      <c r="D17" s="481">
        <f>M17</f>
        <v>288.94629165237257</v>
      </c>
      <c r="H17" s="437">
        <v>222</v>
      </c>
      <c r="L17" s="454">
        <f>SUM(L7:L15)</f>
        <v>288.94629165237262</v>
      </c>
      <c r="M17" s="534">
        <f>M18-M16</f>
        <v>288.94629165237257</v>
      </c>
      <c r="V17" s="504" t="s">
        <v>333</v>
      </c>
      <c r="W17" s="504" t="s">
        <v>329</v>
      </c>
      <c r="X17" s="505" t="s">
        <v>332</v>
      </c>
      <c r="Y17" s="496">
        <v>517.26125599999978</v>
      </c>
      <c r="Z17" s="506">
        <v>560.20137956880967</v>
      </c>
      <c r="AA17" s="496">
        <v>356.6538300000002</v>
      </c>
      <c r="AB17" s="506">
        <v>386.49855186495716</v>
      </c>
      <c r="AC17" s="496">
        <v>490.90244400000051</v>
      </c>
      <c r="AD17" s="506">
        <v>531.68578034713869</v>
      </c>
      <c r="AE17" s="496">
        <v>454.93917666666681</v>
      </c>
      <c r="AF17" s="506">
        <v>492.7952372603018</v>
      </c>
      <c r="AG17" s="507">
        <v>0.92318095279472256</v>
      </c>
    </row>
    <row r="18" spans="2:33" s="83" customFormat="1" ht="15" x14ac:dyDescent="0.25">
      <c r="B18" s="82"/>
      <c r="C18" s="521" t="s">
        <v>339</v>
      </c>
      <c r="D18" s="542">
        <f>M18</f>
        <v>4695.666666666667</v>
      </c>
      <c r="F18" s="542"/>
      <c r="H18" s="436">
        <f>H16+H17</f>
        <v>4484</v>
      </c>
      <c r="M18" s="677">
        <f>AE8</f>
        <v>4695.666666666667</v>
      </c>
      <c r="V18" s="498" t="s">
        <v>333</v>
      </c>
      <c r="W18" s="498" t="s">
        <v>329</v>
      </c>
      <c r="X18" s="511" t="s">
        <v>5</v>
      </c>
      <c r="Y18" s="518">
        <v>0</v>
      </c>
      <c r="Z18" s="519">
        <v>0</v>
      </c>
      <c r="AA18" s="518">
        <v>0</v>
      </c>
      <c r="AB18" s="519">
        <v>0</v>
      </c>
      <c r="AC18" s="518">
        <v>0</v>
      </c>
      <c r="AD18" s="519">
        <v>0</v>
      </c>
      <c r="AE18" s="518">
        <v>0</v>
      </c>
      <c r="AF18" s="519">
        <v>0</v>
      </c>
      <c r="AG18" s="520"/>
    </row>
    <row r="19" spans="2:33" s="83" customFormat="1" ht="15" x14ac:dyDescent="0.25">
      <c r="B19" s="82"/>
      <c r="C19" s="571" t="s">
        <v>167</v>
      </c>
      <c r="D19" s="572" t="str">
        <f>IF(M19&gt;0.1,"Error","OK")</f>
        <v>OK</v>
      </c>
      <c r="H19" s="574">
        <f>F16/H16</f>
        <v>1.0448146410136085</v>
      </c>
      <c r="J19" s="521" t="s">
        <v>340</v>
      </c>
      <c r="M19" s="550">
        <f>M17-L17</f>
        <v>0</v>
      </c>
      <c r="V19" s="521"/>
      <c r="W19" s="521"/>
      <c r="X19" s="521"/>
      <c r="Y19" s="496">
        <v>956.47464399999967</v>
      </c>
      <c r="Z19" s="506">
        <v>1034.9088292893198</v>
      </c>
      <c r="AA19" s="496">
        <v>740.58145600000023</v>
      </c>
      <c r="AB19" s="506">
        <v>801.95066936794649</v>
      </c>
      <c r="AC19" s="496">
        <v>893.4994880000005</v>
      </c>
      <c r="AD19" s="506">
        <v>968.78134635843594</v>
      </c>
      <c r="AE19" s="522">
        <v>863.51852933333339</v>
      </c>
      <c r="AF19" s="523">
        <v>935.21361500523403</v>
      </c>
      <c r="AG19" s="514">
        <v>0.92333827852634565</v>
      </c>
    </row>
    <row r="20" spans="2:33" s="83" customFormat="1" ht="15" x14ac:dyDescent="0.25">
      <c r="B20" s="82"/>
      <c r="F20" s="570" t="s">
        <v>357</v>
      </c>
      <c r="J20" s="521" t="s">
        <v>341</v>
      </c>
      <c r="M20" s="535">
        <v>1.0467361434803431</v>
      </c>
      <c r="V20" s="521"/>
      <c r="W20" s="521"/>
      <c r="X20" s="521"/>
      <c r="Y20" s="512">
        <v>956.47464399999899</v>
      </c>
      <c r="Z20" s="513">
        <v>1034.9088292893205</v>
      </c>
      <c r="AA20" s="512">
        <v>740.58145600000023</v>
      </c>
      <c r="AB20" s="513">
        <v>801.95067936794612</v>
      </c>
      <c r="AC20" s="512">
        <v>893.49948800000004</v>
      </c>
      <c r="AD20" s="513">
        <v>968.78134635843583</v>
      </c>
      <c r="AE20" s="531"/>
      <c r="AF20" s="532"/>
      <c r="AG20" s="533"/>
    </row>
    <row r="21" spans="2:33" s="83" customFormat="1" ht="15" x14ac:dyDescent="0.2">
      <c r="B21" s="82"/>
      <c r="C21" s="47"/>
      <c r="D21" s="377"/>
    </row>
    <row r="22" spans="2:33" s="83" customFormat="1" ht="15" x14ac:dyDescent="0.25">
      <c r="B22" s="82"/>
      <c r="C22" s="47" t="s">
        <v>153</v>
      </c>
      <c r="D22" s="438">
        <f>D21/H16</f>
        <v>0</v>
      </c>
      <c r="V22" s="521"/>
      <c r="W22" s="521"/>
      <c r="X22" s="521"/>
      <c r="AE22" s="521"/>
      <c r="AF22" s="521"/>
      <c r="AG22" s="521"/>
    </row>
    <row r="23" spans="2:33" s="83" customFormat="1" ht="15" x14ac:dyDescent="0.2">
      <c r="B23" s="82"/>
      <c r="M23" s="300"/>
      <c r="N23" s="300"/>
      <c r="O23" s="300"/>
      <c r="P23" s="300"/>
    </row>
    <row r="24" spans="2:33" s="83" customFormat="1" ht="15" hidden="1" x14ac:dyDescent="0.2">
      <c r="B24" s="82"/>
      <c r="C24" s="47"/>
      <c r="D24" s="438"/>
      <c r="M24" s="300"/>
      <c r="N24" s="300"/>
      <c r="O24" s="300"/>
      <c r="P24" s="300"/>
    </row>
    <row r="25" spans="2:33" s="83" customFormat="1" ht="15" hidden="1" x14ac:dyDescent="0.2">
      <c r="B25" s="82"/>
      <c r="C25" s="47"/>
      <c r="D25" s="438"/>
      <c r="M25" s="300"/>
      <c r="N25" s="300"/>
      <c r="O25" s="300"/>
      <c r="P25" s="300"/>
    </row>
    <row r="26" spans="2:33" s="83" customFormat="1" ht="15" hidden="1" x14ac:dyDescent="0.2">
      <c r="B26" s="82"/>
      <c r="C26" s="47"/>
      <c r="D26" s="438"/>
      <c r="M26" s="300"/>
      <c r="N26" s="300"/>
      <c r="O26" s="300"/>
      <c r="P26" s="300"/>
    </row>
    <row r="27" spans="2:33" s="83" customFormat="1" ht="15" hidden="1" x14ac:dyDescent="0.2">
      <c r="B27" s="82"/>
      <c r="C27" s="47"/>
      <c r="D27" s="438"/>
      <c r="M27" s="300"/>
      <c r="N27" s="300"/>
      <c r="O27" s="300"/>
      <c r="P27" s="300"/>
    </row>
    <row r="28" spans="2:33" s="83" customFormat="1" ht="15" x14ac:dyDescent="0.2">
      <c r="B28" s="82"/>
      <c r="M28" s="300"/>
      <c r="N28" s="300"/>
      <c r="O28" s="300"/>
      <c r="P28" s="300"/>
    </row>
    <row r="29" spans="2:33" s="83" customFormat="1" ht="60" x14ac:dyDescent="0.2">
      <c r="C29" s="339" t="s">
        <v>150</v>
      </c>
      <c r="D29" s="316" t="s">
        <v>321</v>
      </c>
      <c r="E29" s="575" t="s">
        <v>343</v>
      </c>
      <c r="F29" s="340" t="s">
        <v>151</v>
      </c>
      <c r="H29" s="575" t="s">
        <v>337</v>
      </c>
      <c r="I29" s="340">
        <v>110</v>
      </c>
      <c r="J29" s="340" t="s">
        <v>1</v>
      </c>
      <c r="K29" s="340">
        <v>33</v>
      </c>
      <c r="L29" s="340" t="s">
        <v>3</v>
      </c>
      <c r="M29" s="340" t="s">
        <v>4</v>
      </c>
      <c r="N29" s="340">
        <v>11</v>
      </c>
      <c r="O29" s="340" t="s">
        <v>6</v>
      </c>
      <c r="P29" s="340" t="s">
        <v>7</v>
      </c>
    </row>
    <row r="30" spans="2:33" s="83" customFormat="1" ht="15" x14ac:dyDescent="0.2">
      <c r="C30" s="91" t="s">
        <v>86</v>
      </c>
      <c r="D30" s="376">
        <v>215</v>
      </c>
      <c r="E30" s="482">
        <f>N7</f>
        <v>38.835454424057552</v>
      </c>
      <c r="F30" s="439">
        <v>0.95</v>
      </c>
      <c r="H30" s="482">
        <f t="shared" ref="H30:H38" si="4">D7</f>
        <v>37.169707333333328</v>
      </c>
      <c r="I30" s="552">
        <f t="shared" ref="I30:I38" si="5">$H30</f>
        <v>37.169707333333328</v>
      </c>
      <c r="J30" s="469"/>
      <c r="K30" s="469"/>
      <c r="L30" s="469"/>
      <c r="M30" s="469"/>
      <c r="N30" s="469"/>
      <c r="O30" s="469"/>
      <c r="P30" s="469"/>
    </row>
    <row r="31" spans="2:33" s="83" customFormat="1" ht="15" x14ac:dyDescent="0.2">
      <c r="C31" s="91" t="s">
        <v>87</v>
      </c>
      <c r="D31" s="376">
        <v>1009</v>
      </c>
      <c r="E31" s="345">
        <f t="shared" ref="E31:E38" si="6">N8</f>
        <v>152.3674379831065</v>
      </c>
      <c r="F31" s="439">
        <v>0.9</v>
      </c>
      <c r="H31" s="345">
        <f t="shared" si="4"/>
        <v>145.83202799999998</v>
      </c>
      <c r="I31" s="552">
        <f t="shared" si="5"/>
        <v>145.83202799999998</v>
      </c>
      <c r="J31" s="552">
        <f>$H31</f>
        <v>145.83202799999998</v>
      </c>
      <c r="K31" s="591">
        <f>$H31/2</f>
        <v>72.91601399999999</v>
      </c>
      <c r="L31" s="470"/>
      <c r="M31" s="470"/>
      <c r="N31" s="471"/>
      <c r="O31" s="469"/>
      <c r="P31" s="469"/>
    </row>
    <row r="32" spans="2:33" s="83" customFormat="1" ht="15" x14ac:dyDescent="0.2">
      <c r="C32" s="91" t="s">
        <v>319</v>
      </c>
      <c r="D32" s="376">
        <v>571.5</v>
      </c>
      <c r="E32" s="345">
        <f t="shared" si="6"/>
        <v>93.003310163303595</v>
      </c>
      <c r="F32" s="439">
        <v>0.9</v>
      </c>
      <c r="H32" s="345">
        <f t="shared" si="4"/>
        <v>89.014171999999988</v>
      </c>
      <c r="I32" s="552">
        <f t="shared" si="5"/>
        <v>89.014171999999988</v>
      </c>
      <c r="J32" s="554">
        <f>$H32*(1-'Inputs - network configuration'!$D$63)</f>
        <v>62.309920399999989</v>
      </c>
      <c r="K32" s="554">
        <f>$H32*(1-'Inputs - network configuration'!$D$63)</f>
        <v>62.309920399999989</v>
      </c>
      <c r="L32" s="554">
        <f>$H32*(1-'Inputs - network configuration'!$D$63)</f>
        <v>62.309920399999989</v>
      </c>
      <c r="M32" s="554">
        <f>$H32*'Inputs - network configuration'!$D$63</f>
        <v>26.704251599999996</v>
      </c>
      <c r="N32" s="469"/>
      <c r="O32" s="469"/>
      <c r="P32" s="469"/>
    </row>
    <row r="33" spans="2:17" s="83" customFormat="1" ht="15" x14ac:dyDescent="0.2">
      <c r="C33" s="91" t="s">
        <v>88</v>
      </c>
      <c r="D33" s="376">
        <v>135.5</v>
      </c>
      <c r="E33" s="345">
        <f t="shared" si="6"/>
        <v>0</v>
      </c>
      <c r="F33" s="439">
        <v>0.9</v>
      </c>
      <c r="H33" s="345">
        <f t="shared" si="4"/>
        <v>0</v>
      </c>
      <c r="I33" s="552">
        <f t="shared" si="5"/>
        <v>0</v>
      </c>
      <c r="J33" s="552">
        <f>$H33</f>
        <v>0</v>
      </c>
      <c r="K33" s="552">
        <f>$H33</f>
        <v>0</v>
      </c>
      <c r="L33" s="469"/>
      <c r="M33" s="469"/>
      <c r="N33" s="469"/>
      <c r="O33" s="469"/>
      <c r="P33" s="469"/>
    </row>
    <row r="34" spans="2:17" s="83" customFormat="1" ht="15" x14ac:dyDescent="0.2">
      <c r="C34" s="91" t="s">
        <v>154</v>
      </c>
      <c r="D34" s="376">
        <v>806</v>
      </c>
      <c r="E34" s="345">
        <f t="shared" si="6"/>
        <v>142.68348711152822</v>
      </c>
      <c r="F34" s="439">
        <v>0.9</v>
      </c>
      <c r="H34" s="345">
        <f t="shared" si="4"/>
        <v>136.56344533333333</v>
      </c>
      <c r="I34" s="552">
        <f t="shared" si="5"/>
        <v>136.56344533333333</v>
      </c>
      <c r="J34" s="554">
        <f>$H34*(1-'Inputs - network configuration'!$D$63)</f>
        <v>95.594411733333331</v>
      </c>
      <c r="K34" s="554">
        <f>$H34*(1-'Inputs - network configuration'!$D$63)</f>
        <v>95.594411733333331</v>
      </c>
      <c r="L34" s="554">
        <f>$H34*(1-'Inputs - network configuration'!$D$63)</f>
        <v>95.594411733333331</v>
      </c>
      <c r="M34" s="554">
        <f>$H34*'Inputs - network configuration'!$D$63</f>
        <v>40.969033599999996</v>
      </c>
      <c r="N34" s="471"/>
      <c r="O34" s="469"/>
      <c r="P34" s="469"/>
    </row>
    <row r="35" spans="2:17" s="83" customFormat="1" ht="15" x14ac:dyDescent="0.2">
      <c r="C35" s="91" t="s">
        <v>155</v>
      </c>
      <c r="D35" s="376">
        <v>2920</v>
      </c>
      <c r="E35" s="345">
        <f t="shared" si="6"/>
        <v>475.32711255201014</v>
      </c>
      <c r="F35" s="439">
        <v>0.9</v>
      </c>
      <c r="H35" s="345">
        <f t="shared" si="4"/>
        <v>454.93917666666681</v>
      </c>
      <c r="I35" s="552">
        <f t="shared" si="5"/>
        <v>454.93917666666681</v>
      </c>
      <c r="J35" s="554">
        <f>$H35*(1-'Inputs - network configuration'!$D$63)</f>
        <v>318.45742366666673</v>
      </c>
      <c r="K35" s="554">
        <f>$H35*(1-'Inputs - network configuration'!$D$63)</f>
        <v>318.45742366666673</v>
      </c>
      <c r="L35" s="554">
        <f>$H35*(1-'Inputs - network configuration'!$D$63)</f>
        <v>318.45742366666673</v>
      </c>
      <c r="M35" s="554">
        <f>$H35*'Inputs - network configuration'!$D$63</f>
        <v>136.48175300000003</v>
      </c>
      <c r="N35" s="552">
        <f>$H35</f>
        <v>454.93917666666681</v>
      </c>
      <c r="O35" s="471"/>
      <c r="P35" s="469"/>
    </row>
    <row r="36" spans="2:17" s="83" customFormat="1" ht="15" x14ac:dyDescent="0.2">
      <c r="C36" s="329" t="s">
        <v>350</v>
      </c>
      <c r="D36" s="376">
        <f>5550.1/2</f>
        <v>2775.05</v>
      </c>
      <c r="E36" s="345">
        <f t="shared" si="6"/>
        <v>550.10355973715104</v>
      </c>
      <c r="F36" s="439">
        <v>0.9</v>
      </c>
      <c r="H36" s="345">
        <f t="shared" si="4"/>
        <v>526.50828017061258</v>
      </c>
      <c r="I36" s="552">
        <f t="shared" si="5"/>
        <v>526.50828017061258</v>
      </c>
      <c r="J36" s="554">
        <f>$H36*(1-'Inputs - network configuration'!$D$63)</f>
        <v>368.55579611942881</v>
      </c>
      <c r="K36" s="554">
        <f>$H36*(1-'Inputs - network configuration'!$D$63)</f>
        <v>368.55579611942881</v>
      </c>
      <c r="L36" s="554">
        <f>$H36*(1-'Inputs - network configuration'!$D$63)</f>
        <v>368.55579611942881</v>
      </c>
      <c r="M36" s="554">
        <f>$H36*'Inputs - network configuration'!$D$63</f>
        <v>157.95248405118377</v>
      </c>
      <c r="N36" s="552">
        <f>$H36</f>
        <v>526.50828017061258</v>
      </c>
      <c r="O36" s="552">
        <f>$H36</f>
        <v>526.50828017061258</v>
      </c>
      <c r="P36" s="469"/>
    </row>
    <row r="37" spans="2:17" s="83" customFormat="1" ht="15" x14ac:dyDescent="0.2">
      <c r="C37" s="329" t="s">
        <v>344</v>
      </c>
      <c r="D37" s="376">
        <f>5550.1/2</f>
        <v>2775.05</v>
      </c>
      <c r="E37" s="345">
        <f t="shared" si="6"/>
        <v>550.10355973715104</v>
      </c>
      <c r="F37" s="439">
        <v>0.9</v>
      </c>
      <c r="H37" s="345">
        <f t="shared" si="4"/>
        <v>526.50828017061258</v>
      </c>
      <c r="I37" s="552">
        <f t="shared" si="5"/>
        <v>526.50828017061258</v>
      </c>
      <c r="J37" s="554">
        <f>$H37*(1-'Inputs - network configuration'!$D$63)</f>
        <v>368.55579611942881</v>
      </c>
      <c r="K37" s="554">
        <f>$H37*(1-'Inputs - network configuration'!$D$63)</f>
        <v>368.55579611942881</v>
      </c>
      <c r="L37" s="554">
        <f>$H37*(1-'Inputs - network configuration'!$D$63)</f>
        <v>368.55579611942881</v>
      </c>
      <c r="M37" s="554">
        <f>$H37*'Inputs - network configuration'!$D$63</f>
        <v>157.95248405118377</v>
      </c>
      <c r="N37" s="552">
        <f>$H37</f>
        <v>526.50828017061258</v>
      </c>
      <c r="O37" s="552">
        <f>$H37</f>
        <v>526.50828017061258</v>
      </c>
      <c r="P37" s="552">
        <f>$H37</f>
        <v>526.50828017061258</v>
      </c>
    </row>
    <row r="38" spans="2:17" s="83" customFormat="1" ht="15" x14ac:dyDescent="0.2">
      <c r="C38" s="336" t="s">
        <v>345</v>
      </c>
      <c r="D38" s="385">
        <v>9901</v>
      </c>
      <c r="E38" s="346">
        <f t="shared" si="6"/>
        <v>2601.782044959607</v>
      </c>
      <c r="F38" s="551">
        <v>0.9</v>
      </c>
      <c r="H38" s="346">
        <f t="shared" si="4"/>
        <v>2490.1852853397363</v>
      </c>
      <c r="I38" s="553">
        <f t="shared" si="5"/>
        <v>2490.1852853397363</v>
      </c>
      <c r="J38" s="555">
        <f>$H38*(1-'Inputs - network configuration'!$D$63)</f>
        <v>1743.1296997378154</v>
      </c>
      <c r="K38" s="555">
        <f>$H38*(1-'Inputs - network configuration'!$D$63)</f>
        <v>1743.1296997378154</v>
      </c>
      <c r="L38" s="555">
        <f>$H38*(1-'Inputs - network configuration'!$D$63)</f>
        <v>1743.1296997378154</v>
      </c>
      <c r="M38" s="555">
        <f>$H38*'Inputs - network configuration'!$D$63</f>
        <v>747.05558560192082</v>
      </c>
      <c r="N38" s="553">
        <f>$H38</f>
        <v>2490.1852853397363</v>
      </c>
      <c r="O38" s="553">
        <f>$H38</f>
        <v>2490.1852853397363</v>
      </c>
      <c r="P38" s="553">
        <f>$H38</f>
        <v>2490.1852853397363</v>
      </c>
    </row>
    <row r="39" spans="2:17" s="83" customFormat="1" ht="15" x14ac:dyDescent="0.2">
      <c r="C39" s="47" t="s">
        <v>168</v>
      </c>
      <c r="D39" s="442">
        <f>SUM(D30:D38)</f>
        <v>21108.1</v>
      </c>
      <c r="E39" s="481">
        <f>SUM(E30:E38)</f>
        <v>4604.2059666679152</v>
      </c>
      <c r="F39" s="444"/>
      <c r="H39" s="481">
        <f>SUM(H30:H38)</f>
        <v>4406.7203750142944</v>
      </c>
      <c r="I39" s="442">
        <f t="shared" ref="I39:P39" si="7">SUM(I30:I38)</f>
        <v>4406.7203750142944</v>
      </c>
      <c r="J39" s="442">
        <f t="shared" si="7"/>
        <v>3102.4350757766729</v>
      </c>
      <c r="K39" s="442">
        <f t="shared" si="7"/>
        <v>3029.519061776673</v>
      </c>
      <c r="L39" s="442">
        <f t="shared" si="7"/>
        <v>2956.6030477766731</v>
      </c>
      <c r="M39" s="442">
        <f t="shared" si="7"/>
        <v>1267.1155919042885</v>
      </c>
      <c r="N39" s="442">
        <f t="shared" si="7"/>
        <v>3998.1410223476282</v>
      </c>
      <c r="O39" s="442">
        <f t="shared" si="7"/>
        <v>3543.2018456809615</v>
      </c>
      <c r="P39" s="442">
        <f t="shared" si="7"/>
        <v>3016.6935655103489</v>
      </c>
    </row>
    <row r="40" spans="2:17" s="83" customFormat="1" ht="15" x14ac:dyDescent="0.2">
      <c r="C40" s="47"/>
      <c r="D40" s="442"/>
      <c r="E40" s="442"/>
      <c r="F40" s="443"/>
      <c r="G40" s="444"/>
      <c r="M40" s="300"/>
      <c r="N40" s="300"/>
      <c r="O40" s="445"/>
      <c r="P40" s="300"/>
    </row>
    <row r="41" spans="2:17" s="83" customFormat="1" ht="15" x14ac:dyDescent="0.2">
      <c r="C41" s="47"/>
      <c r="D41" s="442"/>
      <c r="E41" s="442"/>
      <c r="F41" s="443"/>
      <c r="G41" s="444"/>
      <c r="M41" s="300"/>
      <c r="N41" s="300"/>
      <c r="O41" s="445"/>
      <c r="P41" s="300"/>
    </row>
    <row r="42" spans="2:17" s="83" customFormat="1" ht="15" x14ac:dyDescent="0.2">
      <c r="B42" s="82" t="s">
        <v>169</v>
      </c>
      <c r="M42" s="300"/>
      <c r="N42" s="300"/>
      <c r="O42" s="446"/>
      <c r="P42" s="300"/>
      <c r="Q42" s="300"/>
    </row>
    <row r="43" spans="2:17" s="83" customFormat="1" ht="15" x14ac:dyDescent="0.2">
      <c r="B43" s="82"/>
      <c r="M43" s="300"/>
      <c r="N43" s="300"/>
      <c r="O43" s="300"/>
      <c r="P43" s="300"/>
      <c r="Q43" s="300"/>
    </row>
    <row r="44" spans="2:17" s="83" customFormat="1" ht="60" x14ac:dyDescent="0.2">
      <c r="B44" s="82"/>
      <c r="C44" s="339" t="s">
        <v>47</v>
      </c>
      <c r="D44" s="575" t="s">
        <v>337</v>
      </c>
      <c r="E44" s="340" t="s">
        <v>320</v>
      </c>
      <c r="M44" s="300"/>
      <c r="N44" s="300"/>
      <c r="O44" s="300"/>
      <c r="P44" s="300"/>
      <c r="Q44" s="300"/>
    </row>
    <row r="45" spans="2:17" s="83" customFormat="1" ht="15" x14ac:dyDescent="0.25">
      <c r="B45" s="447"/>
      <c r="C45" s="448">
        <v>110</v>
      </c>
      <c r="D45" s="556">
        <f>I39</f>
        <v>4406.7203750142944</v>
      </c>
      <c r="E45" s="557">
        <f t="shared" ref="E45:E52" si="8">D45/MAX(D$45:D$52)</f>
        <v>1</v>
      </c>
      <c r="M45" s="300"/>
      <c r="N45" s="300"/>
      <c r="O45" s="300"/>
      <c r="P45" s="300"/>
      <c r="Q45" s="300"/>
    </row>
    <row r="46" spans="2:17" s="83" customFormat="1" ht="15" x14ac:dyDescent="0.25">
      <c r="B46" s="447"/>
      <c r="C46" s="450" t="s">
        <v>1</v>
      </c>
      <c r="D46" s="345">
        <f>J39</f>
        <v>3102.4350757766729</v>
      </c>
      <c r="E46" s="558">
        <f t="shared" si="8"/>
        <v>0.70402358483356442</v>
      </c>
      <c r="M46" s="300"/>
      <c r="N46" s="300"/>
      <c r="O46" s="300"/>
      <c r="P46" s="300"/>
      <c r="Q46" s="300"/>
    </row>
    <row r="47" spans="2:17" s="83" customFormat="1" ht="15" x14ac:dyDescent="0.25">
      <c r="B47" s="447"/>
      <c r="C47" s="448">
        <v>33</v>
      </c>
      <c r="D47" s="345">
        <f>K39</f>
        <v>3029.519061776673</v>
      </c>
      <c r="E47" s="558">
        <f t="shared" si="8"/>
        <v>0.68747703597300425</v>
      </c>
      <c r="M47" s="300"/>
      <c r="N47" s="300"/>
      <c r="O47" s="300"/>
      <c r="P47" s="300"/>
      <c r="Q47" s="300"/>
    </row>
    <row r="48" spans="2:17" s="83" customFormat="1" ht="15" x14ac:dyDescent="0.25">
      <c r="B48" s="447"/>
      <c r="C48" s="450" t="s">
        <v>3</v>
      </c>
      <c r="D48" s="345">
        <f>L39</f>
        <v>2956.6030477766731</v>
      </c>
      <c r="E48" s="558">
        <f t="shared" si="8"/>
        <v>0.67093048711244418</v>
      </c>
      <c r="M48" s="300"/>
      <c r="N48" s="300"/>
      <c r="O48" s="300"/>
      <c r="P48" s="300"/>
      <c r="Q48" s="300"/>
    </row>
    <row r="49" spans="2:17" s="83" customFormat="1" ht="15" x14ac:dyDescent="0.25">
      <c r="B49" s="447"/>
      <c r="C49" s="450" t="s">
        <v>4</v>
      </c>
      <c r="D49" s="345">
        <f>M39</f>
        <v>1267.1155919042885</v>
      </c>
      <c r="E49" s="558">
        <f t="shared" si="8"/>
        <v>0.28754163733390464</v>
      </c>
      <c r="M49" s="300"/>
      <c r="N49" s="300"/>
      <c r="O49" s="300"/>
      <c r="P49" s="300"/>
      <c r="Q49" s="300"/>
    </row>
    <row r="50" spans="2:17" s="83" customFormat="1" ht="15" x14ac:dyDescent="0.25">
      <c r="B50" s="447"/>
      <c r="C50" s="448">
        <v>11</v>
      </c>
      <c r="D50" s="345">
        <f>N39</f>
        <v>3998.1410223476282</v>
      </c>
      <c r="E50" s="558">
        <f t="shared" si="8"/>
        <v>0.90728266876580732</v>
      </c>
    </row>
    <row r="51" spans="2:17" s="83" customFormat="1" ht="15" x14ac:dyDescent="0.25">
      <c r="B51" s="447"/>
      <c r="C51" s="450" t="s">
        <v>6</v>
      </c>
      <c r="D51" s="345">
        <f>O39</f>
        <v>3543.2018456809615</v>
      </c>
      <c r="E51" s="558">
        <f t="shared" si="8"/>
        <v>0.80404508209111591</v>
      </c>
      <c r="H51" s="344"/>
    </row>
    <row r="52" spans="2:17" s="83" customFormat="1" ht="15" x14ac:dyDescent="0.25">
      <c r="B52" s="447"/>
      <c r="C52" s="451" t="s">
        <v>7</v>
      </c>
      <c r="D52" s="346">
        <f>P39</f>
        <v>3016.6935655103489</v>
      </c>
      <c r="E52" s="559">
        <f t="shared" si="8"/>
        <v>0.6845665957419782</v>
      </c>
      <c r="H52" s="344"/>
    </row>
    <row r="53" spans="2:17" s="83" customFormat="1" ht="15" x14ac:dyDescent="0.2">
      <c r="H53" s="344"/>
    </row>
    <row r="54" spans="2:17" s="83" customFormat="1" ht="15" x14ac:dyDescent="0.2">
      <c r="B54" s="447"/>
      <c r="C54" s="447"/>
      <c r="H54" s="344"/>
    </row>
    <row r="55" spans="2:17" s="83" customFormat="1" ht="60" x14ac:dyDescent="0.2">
      <c r="B55" s="447"/>
      <c r="C55" s="339" t="s">
        <v>150</v>
      </c>
      <c r="D55" s="579" t="s">
        <v>346</v>
      </c>
      <c r="E55" s="317" t="s">
        <v>347</v>
      </c>
      <c r="F55" s="340" t="s">
        <v>348</v>
      </c>
      <c r="G55" s="340" t="s">
        <v>349</v>
      </c>
      <c r="H55" s="344"/>
    </row>
    <row r="56" spans="2:17" s="83" customFormat="1" ht="15" x14ac:dyDescent="0.2">
      <c r="B56" s="447"/>
      <c r="C56" s="91" t="s">
        <v>86</v>
      </c>
      <c r="D56" s="449">
        <f t="shared" ref="D56:D64" si="9">H30</f>
        <v>37.169707333333328</v>
      </c>
      <c r="E56" s="452"/>
      <c r="F56" s="452"/>
      <c r="G56" s="452"/>
      <c r="H56" s="344"/>
    </row>
    <row r="57" spans="2:17" s="83" customFormat="1" ht="15" x14ac:dyDescent="0.2">
      <c r="B57" s="447"/>
      <c r="C57" s="91" t="s">
        <v>87</v>
      </c>
      <c r="D57" s="449">
        <f t="shared" si="9"/>
        <v>145.83202799999998</v>
      </c>
      <c r="E57" s="548"/>
      <c r="F57" s="345">
        <f t="shared" ref="F57:F64" si="10">J31</f>
        <v>145.83202799999998</v>
      </c>
      <c r="G57" s="548"/>
      <c r="H57" s="344"/>
    </row>
    <row r="58" spans="2:17" s="83" customFormat="1" ht="15" x14ac:dyDescent="0.2">
      <c r="B58" s="447"/>
      <c r="C58" s="91" t="s">
        <v>319</v>
      </c>
      <c r="D58" s="556">
        <f t="shared" si="9"/>
        <v>89.014171999999988</v>
      </c>
      <c r="E58" s="345">
        <f>M32</f>
        <v>26.704251599999996</v>
      </c>
      <c r="F58" s="345">
        <f t="shared" si="10"/>
        <v>62.309920399999989</v>
      </c>
      <c r="G58" s="345">
        <f>L32</f>
        <v>62.309920399999989</v>
      </c>
      <c r="H58" s="344"/>
    </row>
    <row r="59" spans="2:17" s="83" customFormat="1" ht="15" x14ac:dyDescent="0.2">
      <c r="B59" s="447"/>
      <c r="C59" s="91" t="s">
        <v>88</v>
      </c>
      <c r="D59" s="449">
        <f t="shared" si="9"/>
        <v>0</v>
      </c>
      <c r="E59" s="548"/>
      <c r="F59" s="345">
        <f t="shared" si="10"/>
        <v>0</v>
      </c>
      <c r="G59" s="548"/>
      <c r="H59" s="344"/>
    </row>
    <row r="60" spans="2:17" s="83" customFormat="1" ht="15" x14ac:dyDescent="0.2">
      <c r="B60" s="447"/>
      <c r="C60" s="91" t="s">
        <v>154</v>
      </c>
      <c r="D60" s="449">
        <f t="shared" si="9"/>
        <v>136.56344533333333</v>
      </c>
      <c r="E60" s="345">
        <f>M34</f>
        <v>40.969033599999996</v>
      </c>
      <c r="F60" s="345">
        <f t="shared" si="10"/>
        <v>95.594411733333331</v>
      </c>
      <c r="G60" s="345">
        <f>L34</f>
        <v>95.594411733333331</v>
      </c>
      <c r="H60" s="344"/>
    </row>
    <row r="61" spans="2:17" s="83" customFormat="1" ht="15" x14ac:dyDescent="0.2">
      <c r="B61" s="447"/>
      <c r="C61" s="91" t="s">
        <v>155</v>
      </c>
      <c r="D61" s="449">
        <f t="shared" si="9"/>
        <v>454.93917666666681</v>
      </c>
      <c r="E61" s="345">
        <f>M35</f>
        <v>136.48175300000003</v>
      </c>
      <c r="F61" s="345">
        <f t="shared" si="10"/>
        <v>318.45742366666673</v>
      </c>
      <c r="G61" s="345">
        <f>L35</f>
        <v>318.45742366666673</v>
      </c>
      <c r="H61" s="344"/>
    </row>
    <row r="62" spans="2:17" s="83" customFormat="1" ht="15" x14ac:dyDescent="0.2">
      <c r="B62" s="447"/>
      <c r="C62" s="329" t="s">
        <v>350</v>
      </c>
      <c r="D62" s="449">
        <f t="shared" si="9"/>
        <v>526.50828017061258</v>
      </c>
      <c r="E62" s="345">
        <f>M36</f>
        <v>157.95248405118377</v>
      </c>
      <c r="F62" s="345">
        <f t="shared" si="10"/>
        <v>368.55579611942881</v>
      </c>
      <c r="G62" s="345">
        <f>L36</f>
        <v>368.55579611942881</v>
      </c>
      <c r="H62" s="344"/>
    </row>
    <row r="63" spans="2:17" s="83" customFormat="1" ht="15" x14ac:dyDescent="0.2">
      <c r="B63" s="447"/>
      <c r="C63" s="329" t="s">
        <v>344</v>
      </c>
      <c r="D63" s="449">
        <f t="shared" si="9"/>
        <v>526.50828017061258</v>
      </c>
      <c r="E63" s="345">
        <f>M37</f>
        <v>157.95248405118377</v>
      </c>
      <c r="F63" s="345">
        <f t="shared" si="10"/>
        <v>368.55579611942881</v>
      </c>
      <c r="G63" s="345">
        <f>L37</f>
        <v>368.55579611942881</v>
      </c>
      <c r="H63" s="344"/>
    </row>
    <row r="64" spans="2:17" s="83" customFormat="1" ht="15" x14ac:dyDescent="0.2">
      <c r="B64" s="447"/>
      <c r="C64" s="336" t="s">
        <v>345</v>
      </c>
      <c r="D64" s="453">
        <f t="shared" si="9"/>
        <v>2490.1852853397363</v>
      </c>
      <c r="E64" s="346">
        <f>M38</f>
        <v>747.05558560192082</v>
      </c>
      <c r="F64" s="346">
        <f t="shared" si="10"/>
        <v>1743.1296997378154</v>
      </c>
      <c r="G64" s="346">
        <f>L38</f>
        <v>1743.1296997378154</v>
      </c>
      <c r="H64" s="344"/>
    </row>
    <row r="65" spans="2:11" s="83" customFormat="1" ht="15" x14ac:dyDescent="0.2">
      <c r="B65" s="447"/>
      <c r="C65" s="447" t="s">
        <v>20</v>
      </c>
      <c r="D65" s="454">
        <f t="shared" ref="D65:G65" si="11">SUM(D56:D64)</f>
        <v>4406.7203750142944</v>
      </c>
      <c r="E65" s="455">
        <f t="shared" si="11"/>
        <v>1267.1155919042885</v>
      </c>
      <c r="F65" s="455">
        <f t="shared" si="11"/>
        <v>3102.4350757766729</v>
      </c>
      <c r="G65" s="454">
        <f t="shared" si="11"/>
        <v>2956.6030477766731</v>
      </c>
      <c r="H65" s="344"/>
    </row>
    <row r="66" spans="2:11" s="83" customFormat="1" ht="15" x14ac:dyDescent="0.2">
      <c r="B66" s="447"/>
      <c r="C66" s="456" t="s">
        <v>167</v>
      </c>
      <c r="D66" s="458">
        <f>D45</f>
        <v>4406.7203750142944</v>
      </c>
      <c r="E66" s="457">
        <f>D49</f>
        <v>1267.1155919042885</v>
      </c>
      <c r="F66" s="457">
        <f>D46</f>
        <v>3102.4350757766729</v>
      </c>
      <c r="G66" s="458">
        <f>D48</f>
        <v>2956.6030477766731</v>
      </c>
      <c r="H66" s="344"/>
    </row>
    <row r="67" spans="2:11" s="83" customFormat="1" ht="0.95" customHeight="1" x14ac:dyDescent="0.2">
      <c r="B67" s="447"/>
      <c r="C67" s="456"/>
      <c r="D67" s="457"/>
      <c r="E67" s="458"/>
      <c r="F67" s="458"/>
      <c r="G67" s="458"/>
      <c r="H67" s="344"/>
    </row>
    <row r="68" spans="2:11" s="83" customFormat="1" ht="0.95" customHeight="1" x14ac:dyDescent="0.2">
      <c r="B68" s="447"/>
      <c r="C68" s="456"/>
      <c r="D68" s="457"/>
      <c r="E68" s="458"/>
      <c r="F68" s="458"/>
      <c r="G68" s="458"/>
      <c r="H68" s="344"/>
    </row>
    <row r="69" spans="2:11" s="83" customFormat="1" ht="0.95" customHeight="1" x14ac:dyDescent="0.2">
      <c r="B69" s="447"/>
      <c r="C69" s="456"/>
      <c r="D69" s="457"/>
      <c r="E69" s="458"/>
      <c r="F69" s="458"/>
      <c r="G69" s="458"/>
      <c r="H69" s="344"/>
    </row>
    <row r="70" spans="2:11" s="83" customFormat="1" ht="15" x14ac:dyDescent="0.2"/>
    <row r="71" spans="2:11" s="83" customFormat="1" ht="17.25" customHeight="1" x14ac:dyDescent="0.2">
      <c r="C71" s="705" t="s">
        <v>150</v>
      </c>
      <c r="D71" s="328" t="s">
        <v>0</v>
      </c>
      <c r="E71" s="328" t="s">
        <v>1</v>
      </c>
      <c r="F71" s="328" t="s">
        <v>2</v>
      </c>
      <c r="G71" s="328" t="s">
        <v>3</v>
      </c>
      <c r="H71" s="328" t="s">
        <v>48</v>
      </c>
      <c r="I71" s="328" t="s">
        <v>5</v>
      </c>
      <c r="J71" s="328" t="s">
        <v>6</v>
      </c>
      <c r="K71" s="317" t="s">
        <v>7</v>
      </c>
    </row>
    <row r="72" spans="2:11" s="83" customFormat="1" ht="17.25" customHeight="1" x14ac:dyDescent="0.2">
      <c r="C72" s="706"/>
      <c r="D72" s="467">
        <f>D45</f>
        <v>4406.7203750142944</v>
      </c>
      <c r="E72" s="467">
        <f>D46</f>
        <v>3102.4350757766729</v>
      </c>
      <c r="F72" s="467">
        <f>D47</f>
        <v>3029.519061776673</v>
      </c>
      <c r="G72" s="467">
        <f>D48</f>
        <v>2956.6030477766731</v>
      </c>
      <c r="H72" s="467">
        <f>D49</f>
        <v>1267.1155919042885</v>
      </c>
      <c r="I72" s="467">
        <f>D50</f>
        <v>3998.1410223476282</v>
      </c>
      <c r="J72" s="467">
        <f>D51</f>
        <v>3543.2018456809615</v>
      </c>
      <c r="K72" s="468">
        <f>D52</f>
        <v>3016.6935655103489</v>
      </c>
    </row>
    <row r="73" spans="2:11" s="83" customFormat="1" ht="15" x14ac:dyDescent="0.2">
      <c r="C73" s="91" t="s">
        <v>86</v>
      </c>
      <c r="D73" s="472">
        <f t="shared" ref="D73:D81" si="12">I30/I$39</f>
        <v>8.4347778325310138E-3</v>
      </c>
      <c r="E73" s="473"/>
      <c r="F73" s="473"/>
      <c r="G73" s="473"/>
      <c r="H73" s="473"/>
      <c r="I73" s="473"/>
      <c r="J73" s="473"/>
      <c r="K73" s="473"/>
    </row>
    <row r="74" spans="2:11" s="83" customFormat="1" ht="15" x14ac:dyDescent="0.2">
      <c r="C74" s="91" t="s">
        <v>87</v>
      </c>
      <c r="D74" s="474">
        <f t="shared" si="12"/>
        <v>3.3093097721120311E-2</v>
      </c>
      <c r="E74" s="474">
        <f t="shared" ref="E74:F81" si="13">J31/J$39</f>
        <v>4.7005666335657954E-2</v>
      </c>
      <c r="F74" s="474">
        <f t="shared" si="13"/>
        <v>2.4068511375280179E-2</v>
      </c>
      <c r="G74" s="475"/>
      <c r="H74" s="475"/>
      <c r="I74" s="475"/>
      <c r="J74" s="475"/>
      <c r="K74" s="475"/>
    </row>
    <row r="75" spans="2:11" s="83" customFormat="1" ht="15" x14ac:dyDescent="0.2">
      <c r="C75" s="91" t="s">
        <v>319</v>
      </c>
      <c r="D75" s="474">
        <f t="shared" si="12"/>
        <v>2.0199641553092926E-2</v>
      </c>
      <c r="E75" s="474">
        <f t="shared" si="13"/>
        <v>2.0084198018036247E-2</v>
      </c>
      <c r="F75" s="474">
        <f t="shared" si="13"/>
        <v>2.0567594766496732E-2</v>
      </c>
      <c r="G75" s="474">
        <f t="shared" ref="G75" si="14">L32/L$39</f>
        <v>2.1074834664347734E-2</v>
      </c>
      <c r="H75" s="474">
        <f t="shared" ref="H75" si="15">M32/M$39</f>
        <v>2.1074834664347734E-2</v>
      </c>
      <c r="I75" s="474"/>
      <c r="J75" s="475"/>
      <c r="K75" s="475"/>
    </row>
    <row r="76" spans="2:11" s="83" customFormat="1" ht="15" x14ac:dyDescent="0.2">
      <c r="C76" s="91" t="s">
        <v>88</v>
      </c>
      <c r="D76" s="476">
        <f t="shared" si="12"/>
        <v>0</v>
      </c>
      <c r="E76" s="476">
        <f t="shared" si="13"/>
        <v>0</v>
      </c>
      <c r="F76" s="476">
        <f t="shared" si="13"/>
        <v>0</v>
      </c>
      <c r="G76" s="477"/>
      <c r="H76" s="477"/>
      <c r="I76" s="477"/>
      <c r="J76" s="475"/>
      <c r="K76" s="475"/>
    </row>
    <row r="77" spans="2:11" s="83" customFormat="1" ht="15" x14ac:dyDescent="0.2">
      <c r="C77" s="91" t="s">
        <v>154</v>
      </c>
      <c r="D77" s="474">
        <f t="shared" si="12"/>
        <v>3.0989814127448546E-2</v>
      </c>
      <c r="E77" s="474">
        <f t="shared" si="13"/>
        <v>3.0812703376041459E-2</v>
      </c>
      <c r="F77" s="474">
        <f t="shared" si="13"/>
        <v>3.1554319277750847E-2</v>
      </c>
      <c r="G77" s="474">
        <f t="shared" ref="G77:I81" si="16">L34/L$39</f>
        <v>3.2332514777463642E-2</v>
      </c>
      <c r="H77" s="474">
        <f t="shared" si="16"/>
        <v>3.2332514777463642E-2</v>
      </c>
      <c r="I77" s="474">
        <f t="shared" si="16"/>
        <v>0</v>
      </c>
      <c r="J77" s="475"/>
      <c r="K77" s="475"/>
    </row>
    <row r="78" spans="2:11" s="83" customFormat="1" ht="15" x14ac:dyDescent="0.2">
      <c r="C78" s="91" t="s">
        <v>155</v>
      </c>
      <c r="D78" s="474">
        <f t="shared" si="12"/>
        <v>0.10323758667469141</v>
      </c>
      <c r="E78" s="474">
        <f t="shared" si="13"/>
        <v>0.10264757066252003</v>
      </c>
      <c r="F78" s="474">
        <f t="shared" si="13"/>
        <v>0.10511814488465578</v>
      </c>
      <c r="G78" s="474">
        <f t="shared" si="16"/>
        <v>0.10771057816034606</v>
      </c>
      <c r="H78" s="474">
        <f t="shared" si="16"/>
        <v>0.10771057816034606</v>
      </c>
      <c r="I78" s="474">
        <f t="shared" si="16"/>
        <v>0.11378767635353083</v>
      </c>
      <c r="J78" s="475"/>
      <c r="K78" s="475"/>
    </row>
    <row r="79" spans="2:11" s="83" customFormat="1" ht="15" x14ac:dyDescent="0.2">
      <c r="C79" s="329" t="s">
        <v>350</v>
      </c>
      <c r="D79" s="474">
        <f t="shared" si="12"/>
        <v>0.11947848634913776</v>
      </c>
      <c r="E79" s="474">
        <f t="shared" si="13"/>
        <v>0.1187956515180784</v>
      </c>
      <c r="F79" s="474">
        <f t="shared" si="13"/>
        <v>0.1216548860079751</v>
      </c>
      <c r="G79" s="474">
        <f t="shared" si="16"/>
        <v>0.12465514990136331</v>
      </c>
      <c r="H79" s="474">
        <f t="shared" si="16"/>
        <v>0.1246551499013633</v>
      </c>
      <c r="I79" s="474">
        <f t="shared" si="16"/>
        <v>0.13168827143107059</v>
      </c>
      <c r="J79" s="474">
        <f>O36/O$39</f>
        <v>0.14859675036927622</v>
      </c>
      <c r="K79" s="475"/>
    </row>
    <row r="80" spans="2:11" s="83" customFormat="1" ht="15" x14ac:dyDescent="0.2">
      <c r="C80" s="329" t="s">
        <v>344</v>
      </c>
      <c r="D80" s="474">
        <f t="shared" si="12"/>
        <v>0.11947848634913776</v>
      </c>
      <c r="E80" s="474">
        <f t="shared" si="13"/>
        <v>0.1187956515180784</v>
      </c>
      <c r="F80" s="474">
        <f t="shared" si="13"/>
        <v>0.1216548860079751</v>
      </c>
      <c r="G80" s="474">
        <f t="shared" si="16"/>
        <v>0.12465514990136331</v>
      </c>
      <c r="H80" s="474">
        <f t="shared" si="16"/>
        <v>0.1246551499013633</v>
      </c>
      <c r="I80" s="474">
        <f t="shared" si="16"/>
        <v>0.13168827143107059</v>
      </c>
      <c r="J80" s="474">
        <f>O37/O$39</f>
        <v>0.14859675036927622</v>
      </c>
      <c r="K80" s="474">
        <f>P37/P$39</f>
        <v>0.17453157529493407</v>
      </c>
    </row>
    <row r="81" spans="3:11" s="83" customFormat="1" ht="15" x14ac:dyDescent="0.2">
      <c r="C81" s="336" t="s">
        <v>345</v>
      </c>
      <c r="D81" s="478">
        <f t="shared" si="12"/>
        <v>0.56508810939284038</v>
      </c>
      <c r="E81" s="478">
        <f t="shared" si="13"/>
        <v>0.56185855857158751</v>
      </c>
      <c r="F81" s="478">
        <f t="shared" si="13"/>
        <v>0.57538165767986627</v>
      </c>
      <c r="G81" s="478">
        <f t="shared" si="16"/>
        <v>0.58957177259511595</v>
      </c>
      <c r="H81" s="478">
        <f t="shared" si="16"/>
        <v>0.58957177259511584</v>
      </c>
      <c r="I81" s="478">
        <f t="shared" si="16"/>
        <v>0.622835780784328</v>
      </c>
      <c r="J81" s="478">
        <f>O38/O$39</f>
        <v>0.70280649926144756</v>
      </c>
      <c r="K81" s="478">
        <f>P38/P$39</f>
        <v>0.82546842470506598</v>
      </c>
    </row>
    <row r="82" spans="3:11" s="83" customFormat="1" ht="15" x14ac:dyDescent="0.2">
      <c r="D82" s="459">
        <f>SUM(D73:D81)</f>
        <v>1</v>
      </c>
      <c r="E82" s="459">
        <f t="shared" ref="E82:F82" si="17">SUM(E73:E81)</f>
        <v>1</v>
      </c>
      <c r="F82" s="459">
        <f t="shared" si="17"/>
        <v>1</v>
      </c>
      <c r="G82" s="459">
        <f t="shared" ref="G82" si="18">SUM(G73:G81)</f>
        <v>1</v>
      </c>
      <c r="H82" s="459">
        <f t="shared" ref="H82" si="19">SUM(H73:H81)</f>
        <v>0.99999999999999978</v>
      </c>
      <c r="I82" s="459">
        <f t="shared" ref="I82" si="20">SUM(I73:I81)</f>
        <v>1</v>
      </c>
      <c r="J82" s="459">
        <f t="shared" ref="J82" si="21">SUM(J73:J81)</f>
        <v>1</v>
      </c>
      <c r="K82" s="459">
        <f t="shared" ref="K82" si="22">SUM(K73:K81)</f>
        <v>1</v>
      </c>
    </row>
    <row r="83" spans="3:11" s="83" customFormat="1" ht="15" x14ac:dyDescent="0.2"/>
    <row r="84" spans="3:11" s="83" customFormat="1" ht="15" x14ac:dyDescent="0.2"/>
    <row r="85" spans="3:11" s="83" customFormat="1" ht="15" x14ac:dyDescent="0.2"/>
    <row r="86" spans="3:11" s="83" customFormat="1" ht="15" x14ac:dyDescent="0.2"/>
    <row r="87" spans="3:11" s="83" customFormat="1" ht="15" x14ac:dyDescent="0.2"/>
    <row r="88" spans="3:11" s="83" customFormat="1" ht="15" x14ac:dyDescent="0.2"/>
    <row r="89" spans="3:11" s="83" customFormat="1" ht="15" x14ac:dyDescent="0.2"/>
    <row r="90" spans="3:11" s="83" customFormat="1" ht="15" x14ac:dyDescent="0.2"/>
    <row r="91" spans="3:11" s="83" customFormat="1" ht="15" x14ac:dyDescent="0.2"/>
    <row r="92" spans="3:11" s="83" customFormat="1" ht="15" x14ac:dyDescent="0.2"/>
    <row r="93" spans="3:11" s="83" customFormat="1" ht="15" x14ac:dyDescent="0.2"/>
    <row r="94" spans="3:11" s="83" customFormat="1" ht="15" x14ac:dyDescent="0.2"/>
    <row r="95" spans="3:11" s="83" customFormat="1" ht="15" x14ac:dyDescent="0.2"/>
  </sheetData>
  <mergeCells count="5">
    <mergeCell ref="C71:C72"/>
    <mergeCell ref="Y6:Z6"/>
    <mergeCell ref="AA6:AB6"/>
    <mergeCell ref="AC6:AD6"/>
    <mergeCell ref="AE6:AF6"/>
  </mergeCells>
  <pageMargins left="0.7" right="0.7" top="0.75" bottom="0.75" header="0.3" footer="0.3"/>
  <pageSetup paperSize="9" scale="6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41"/>
  <sheetViews>
    <sheetView showGridLines="0" zoomScaleNormal="100" workbookViewId="0"/>
  </sheetViews>
  <sheetFormatPr defaultColWidth="9.140625" defaultRowHeight="15" x14ac:dyDescent="0.25"/>
  <cols>
    <col min="1" max="1" width="6.140625" style="1" customWidth="1"/>
    <col min="2" max="2" width="5.140625" style="87" customWidth="1"/>
    <col min="3" max="3" width="25.28515625" style="87" customWidth="1"/>
    <col min="4" max="4" width="55.42578125" style="87" customWidth="1"/>
    <col min="5" max="5" width="14.28515625" style="87" bestFit="1" customWidth="1"/>
    <col min="6" max="6" width="10.140625" bestFit="1" customWidth="1"/>
    <col min="7" max="8" width="11.140625" style="87" bestFit="1" customWidth="1"/>
    <col min="9" max="9" width="14.28515625" style="87" bestFit="1" customWidth="1"/>
    <col min="10" max="10" width="10.140625" style="87" bestFit="1" customWidth="1"/>
    <col min="11" max="11" width="7.140625" style="87" bestFit="1" customWidth="1"/>
    <col min="12" max="12" width="8.140625" style="87" bestFit="1" customWidth="1"/>
    <col min="13" max="13" width="72.28515625" style="87" bestFit="1" customWidth="1"/>
    <col min="14" max="14" width="45.140625" style="87" bestFit="1" customWidth="1"/>
    <col min="15" max="15" width="9.140625" style="87"/>
    <col min="17" max="17" width="32" style="87" bestFit="1" customWidth="1"/>
    <col min="18" max="16384" width="9.140625" style="87"/>
  </cols>
  <sheetData>
    <row r="1" spans="1:20" x14ac:dyDescent="0.25">
      <c r="P1" s="24"/>
      <c r="Q1" s="24"/>
      <c r="R1" s="24"/>
      <c r="S1" s="24"/>
      <c r="T1" s="24"/>
    </row>
    <row r="2" spans="1:20" ht="18.75" x14ac:dyDescent="0.3">
      <c r="B2" s="88" t="s">
        <v>37</v>
      </c>
      <c r="P2" s="24"/>
      <c r="Q2" s="24"/>
      <c r="R2" s="24"/>
      <c r="S2" s="24"/>
      <c r="T2" s="24"/>
    </row>
    <row r="3" spans="1:20" s="24" customFormat="1" x14ac:dyDescent="0.25">
      <c r="A3" s="1"/>
      <c r="C3" s="24" t="s">
        <v>290</v>
      </c>
      <c r="D3" s="51" t="s">
        <v>202</v>
      </c>
    </row>
    <row r="4" spans="1:20" s="24" customFormat="1" x14ac:dyDescent="0.25">
      <c r="A4" s="1"/>
      <c r="D4" s="51"/>
    </row>
    <row r="5" spans="1:20" s="24" customFormat="1" ht="13.5" customHeight="1" x14ac:dyDescent="0.25">
      <c r="A5" s="1"/>
    </row>
    <row r="6" spans="1:20" s="612" customFormat="1" ht="15" customHeight="1" x14ac:dyDescent="0.25">
      <c r="A6" s="611"/>
      <c r="C6" s="618" t="s">
        <v>89</v>
      </c>
      <c r="D6" s="619" t="s">
        <v>17</v>
      </c>
      <c r="E6" s="620" t="s">
        <v>364</v>
      </c>
      <c r="F6" s="219" t="s">
        <v>368</v>
      </c>
      <c r="G6" s="219" t="s">
        <v>365</v>
      </c>
      <c r="H6" s="219" t="s">
        <v>365</v>
      </c>
      <c r="I6" s="620" t="s">
        <v>424</v>
      </c>
      <c r="J6" s="708" t="s">
        <v>55</v>
      </c>
      <c r="K6" s="709"/>
      <c r="L6" s="709"/>
      <c r="M6" s="710"/>
      <c r="N6" s="624" t="s">
        <v>85</v>
      </c>
      <c r="O6" s="631" t="s">
        <v>370</v>
      </c>
      <c r="P6" s="24"/>
      <c r="Q6" s="659" t="s">
        <v>382</v>
      </c>
      <c r="R6" s="624" t="s">
        <v>384</v>
      </c>
      <c r="S6" s="24"/>
      <c r="T6" s="24"/>
    </row>
    <row r="7" spans="1:20" s="612" customFormat="1" ht="15" customHeight="1" x14ac:dyDescent="0.25">
      <c r="A7" s="611"/>
      <c r="C7" s="626"/>
      <c r="D7" s="627"/>
      <c r="E7" s="622"/>
      <c r="F7" s="621" t="s">
        <v>418</v>
      </c>
      <c r="G7" s="625">
        <v>43282</v>
      </c>
      <c r="H7" s="625">
        <f>'Inputs - network configuration'!D9</f>
        <v>43647</v>
      </c>
      <c r="I7" s="622"/>
      <c r="J7" s="623" t="s">
        <v>29</v>
      </c>
      <c r="K7" s="620" t="s">
        <v>28</v>
      </c>
      <c r="L7" s="620" t="s">
        <v>30</v>
      </c>
      <c r="M7" s="624" t="s">
        <v>81</v>
      </c>
      <c r="N7" s="628"/>
      <c r="O7" s="632" t="s">
        <v>371</v>
      </c>
      <c r="P7" s="24"/>
      <c r="Q7" s="666" t="s">
        <v>372</v>
      </c>
      <c r="R7" s="667" t="s">
        <v>371</v>
      </c>
      <c r="S7" s="24"/>
      <c r="T7" s="24"/>
    </row>
    <row r="8" spans="1:20" s="24" customFormat="1" ht="15" customHeight="1" x14ac:dyDescent="0.25">
      <c r="A8" s="1"/>
      <c r="C8" s="3" t="s">
        <v>128</v>
      </c>
      <c r="D8" s="22" t="s">
        <v>82</v>
      </c>
      <c r="E8" s="160">
        <v>279615</v>
      </c>
      <c r="F8" s="613">
        <v>42186</v>
      </c>
      <c r="G8" s="615">
        <f>E$29/E$28</f>
        <v>1.0511627906976744</v>
      </c>
      <c r="H8" s="615">
        <f>(1+'Inputs - network configuration'!$D$8)^((H$7-G$7)/365.25)*G8</f>
        <v>1.077423650588577</v>
      </c>
      <c r="I8" s="616">
        <f>E8*H8</f>
        <v>301263.81405932497</v>
      </c>
      <c r="J8" s="4"/>
      <c r="K8" s="5"/>
      <c r="L8" s="5"/>
      <c r="M8" s="6" t="s">
        <v>130</v>
      </c>
      <c r="N8" s="711" t="s">
        <v>138</v>
      </c>
      <c r="O8" s="661">
        <v>60</v>
      </c>
      <c r="Q8" s="660" t="s">
        <v>373</v>
      </c>
      <c r="R8" s="679">
        <v>50.54</v>
      </c>
    </row>
    <row r="9" spans="1:20" s="24" customFormat="1" ht="15" customHeight="1" x14ac:dyDescent="0.25">
      <c r="A9" s="1"/>
      <c r="C9" s="7" t="s">
        <v>129</v>
      </c>
      <c r="D9" s="23" t="s">
        <v>83</v>
      </c>
      <c r="E9" s="161">
        <v>53881</v>
      </c>
      <c r="F9" s="613">
        <v>42186</v>
      </c>
      <c r="G9" s="615">
        <f t="shared" ref="G9:G21" si="0">E$29/E$28</f>
        <v>1.0511627906976744</v>
      </c>
      <c r="H9" s="615">
        <f>(1+'Inputs - network configuration'!$D$8)^((H$7-G$7)/365.25)*G9</f>
        <v>1.077423650588577</v>
      </c>
      <c r="I9" s="616">
        <f t="shared" ref="I9:I25" si="1">E9*H9</f>
        <v>58052.663717363117</v>
      </c>
      <c r="J9" s="8"/>
      <c r="K9" s="9"/>
      <c r="L9" s="9"/>
      <c r="M9" s="10" t="s">
        <v>131</v>
      </c>
      <c r="N9" s="712"/>
      <c r="O9" s="663">
        <v>45</v>
      </c>
      <c r="Q9" s="662" t="s">
        <v>374</v>
      </c>
      <c r="R9" s="680">
        <v>45</v>
      </c>
    </row>
    <row r="10" spans="1:20" s="24" customFormat="1" ht="15" customHeight="1" x14ac:dyDescent="0.25">
      <c r="A10" s="1"/>
      <c r="C10" s="7">
        <v>165193</v>
      </c>
      <c r="D10" s="23" t="s">
        <v>33</v>
      </c>
      <c r="E10" s="161">
        <v>72912</v>
      </c>
      <c r="F10" s="613">
        <v>42186</v>
      </c>
      <c r="G10" s="615">
        <f t="shared" si="0"/>
        <v>1.0511627906976744</v>
      </c>
      <c r="H10" s="615">
        <f>(1+'Inputs - network configuration'!$D$8)^((H$7-G$7)/365.25)*G10</f>
        <v>1.077423650588577</v>
      </c>
      <c r="I10" s="616">
        <f t="shared" si="1"/>
        <v>78557.113211714328</v>
      </c>
      <c r="J10" s="461">
        <v>0.315</v>
      </c>
      <c r="K10" s="604">
        <v>1.1499999999999999</v>
      </c>
      <c r="L10" s="23">
        <f>K10*J10</f>
        <v>0.36224999999999996</v>
      </c>
      <c r="M10" s="11"/>
      <c r="N10" s="712"/>
      <c r="O10" s="663">
        <v>40.58</v>
      </c>
      <c r="Q10" s="662" t="s">
        <v>375</v>
      </c>
      <c r="R10" s="680">
        <v>45</v>
      </c>
    </row>
    <row r="11" spans="1:20" s="24" customFormat="1" ht="15" customHeight="1" x14ac:dyDescent="0.25">
      <c r="A11" s="1"/>
      <c r="C11" s="12">
        <v>1695096</v>
      </c>
      <c r="D11" s="277" t="s">
        <v>34</v>
      </c>
      <c r="E11" s="162">
        <v>304259</v>
      </c>
      <c r="F11" s="614">
        <v>42186</v>
      </c>
      <c r="G11" s="617">
        <f t="shared" si="0"/>
        <v>1.0511627906976744</v>
      </c>
      <c r="H11" s="617">
        <f>(1+'Inputs - network configuration'!$D$8)^((H$7-G$7)/365.25)*G11</f>
        <v>1.077423650588577</v>
      </c>
      <c r="I11" s="629">
        <f t="shared" si="1"/>
        <v>327815.84250442986</v>
      </c>
      <c r="J11" s="463">
        <v>0.75</v>
      </c>
      <c r="K11" s="605">
        <v>1.1499999999999999</v>
      </c>
      <c r="L11" s="277">
        <f>J11*K11</f>
        <v>0.86249999999999993</v>
      </c>
      <c r="M11" s="13"/>
      <c r="N11" s="713"/>
      <c r="O11" s="663">
        <v>40.58</v>
      </c>
      <c r="Q11" s="662" t="s">
        <v>376</v>
      </c>
      <c r="R11" s="680">
        <v>60</v>
      </c>
    </row>
    <row r="12" spans="1:20" s="24" customFormat="1" ht="15" customHeight="1" x14ac:dyDescent="0.25">
      <c r="A12" s="1"/>
      <c r="C12" s="14">
        <v>118120</v>
      </c>
      <c r="D12" s="23" t="s">
        <v>199</v>
      </c>
      <c r="E12" s="161">
        <v>858676</v>
      </c>
      <c r="F12" s="613">
        <v>42186</v>
      </c>
      <c r="G12" s="615">
        <f t="shared" si="0"/>
        <v>1.0511627906976744</v>
      </c>
      <c r="H12" s="615">
        <f>(1+'Inputs - network configuration'!$D$8)^((H$7-G$7)/365.25)*G12</f>
        <v>1.077423650588577</v>
      </c>
      <c r="I12" s="616">
        <f t="shared" si="1"/>
        <v>925157.83059279702</v>
      </c>
      <c r="J12" s="461">
        <v>3</v>
      </c>
      <c r="K12" s="462">
        <v>0.85</v>
      </c>
      <c r="L12" s="464">
        <f>J12*K12</f>
        <v>2.5499999999999998</v>
      </c>
      <c r="M12" s="15" t="s">
        <v>200</v>
      </c>
      <c r="N12" s="16" t="s">
        <v>201</v>
      </c>
      <c r="O12" s="663">
        <v>40.58</v>
      </c>
      <c r="Q12" s="662" t="s">
        <v>377</v>
      </c>
      <c r="R12" s="680">
        <v>35</v>
      </c>
    </row>
    <row r="13" spans="1:20" s="24" customFormat="1" ht="15" customHeight="1" x14ac:dyDescent="0.25">
      <c r="A13" s="1"/>
      <c r="C13" s="14" t="s">
        <v>204</v>
      </c>
      <c r="D13" s="460" t="s">
        <v>18</v>
      </c>
      <c r="E13" s="161">
        <v>9636641</v>
      </c>
      <c r="F13" s="613">
        <v>42186</v>
      </c>
      <c r="G13" s="615">
        <f t="shared" si="0"/>
        <v>1.0511627906976744</v>
      </c>
      <c r="H13" s="615">
        <f>(1+'Inputs - network configuration'!$D$8)^((H$7-G$7)/365.25)*G13</f>
        <v>1.077423650588577</v>
      </c>
      <c r="I13" s="616">
        <f t="shared" si="1"/>
        <v>10382744.925631555</v>
      </c>
      <c r="J13" s="461">
        <v>25</v>
      </c>
      <c r="K13" s="462">
        <v>1.1499999999999999</v>
      </c>
      <c r="L13" s="464">
        <f>J13*K13+6+4</f>
        <v>38.75</v>
      </c>
      <c r="M13" s="15" t="s">
        <v>206</v>
      </c>
      <c r="N13" s="714" t="s">
        <v>207</v>
      </c>
      <c r="O13" s="663">
        <v>45</v>
      </c>
      <c r="Q13" s="662" t="s">
        <v>378</v>
      </c>
      <c r="R13" s="680">
        <v>45</v>
      </c>
    </row>
    <row r="14" spans="1:20" s="24" customFormat="1" ht="15" customHeight="1" x14ac:dyDescent="0.25">
      <c r="A14" s="1"/>
      <c r="C14" s="14" t="s">
        <v>205</v>
      </c>
      <c r="D14" s="460" t="s">
        <v>18</v>
      </c>
      <c r="E14" s="161">
        <v>9636641</v>
      </c>
      <c r="F14" s="613">
        <v>42186</v>
      </c>
      <c r="G14" s="615">
        <f t="shared" si="0"/>
        <v>1.0511627906976744</v>
      </c>
      <c r="H14" s="615">
        <f>(1+'Inputs - network configuration'!$D$8)^((H$7-G$7)/365.25)*G14</f>
        <v>1.077423650588577</v>
      </c>
      <c r="I14" s="616">
        <f t="shared" si="1"/>
        <v>10382744.925631555</v>
      </c>
      <c r="J14" s="461">
        <v>25</v>
      </c>
      <c r="K14" s="462">
        <v>1.1499999999999999</v>
      </c>
      <c r="L14" s="464">
        <f>J14*K14+8+4</f>
        <v>40.75</v>
      </c>
      <c r="M14" s="15" t="s">
        <v>208</v>
      </c>
      <c r="N14" s="715"/>
      <c r="O14" s="663">
        <v>45</v>
      </c>
      <c r="Q14" s="662" t="s">
        <v>379</v>
      </c>
      <c r="R14" s="680">
        <v>57.57</v>
      </c>
    </row>
    <row r="15" spans="1:20" s="24" customFormat="1" ht="15" customHeight="1" x14ac:dyDescent="0.25">
      <c r="A15" s="1"/>
      <c r="C15" s="14">
        <v>118131</v>
      </c>
      <c r="D15" s="460" t="s">
        <v>197</v>
      </c>
      <c r="E15" s="161">
        <v>12622139</v>
      </c>
      <c r="F15" s="613">
        <v>42186</v>
      </c>
      <c r="G15" s="615">
        <f t="shared" si="0"/>
        <v>1.0511627906976744</v>
      </c>
      <c r="H15" s="615">
        <f>(1+'Inputs - network configuration'!$D$8)^((H$7-G$7)/365.25)*G15</f>
        <v>1.077423650588577</v>
      </c>
      <c r="I15" s="616">
        <f t="shared" si="1"/>
        <v>13599391.079616452</v>
      </c>
      <c r="J15" s="461">
        <v>25</v>
      </c>
      <c r="K15" s="462">
        <v>1.1499999999999999</v>
      </c>
      <c r="L15" s="464">
        <f>J15*K15+6+4</f>
        <v>38.75</v>
      </c>
      <c r="M15" s="15" t="s">
        <v>206</v>
      </c>
      <c r="N15" s="715"/>
      <c r="O15" s="663">
        <v>45</v>
      </c>
      <c r="Q15" s="662" t="s">
        <v>380</v>
      </c>
      <c r="R15" s="680">
        <v>45</v>
      </c>
    </row>
    <row r="16" spans="1:20" s="24" customFormat="1" ht="15" customHeight="1" x14ac:dyDescent="0.25">
      <c r="A16" s="1"/>
      <c r="C16" s="14">
        <v>118123</v>
      </c>
      <c r="D16" s="23" t="s">
        <v>41</v>
      </c>
      <c r="E16" s="161">
        <v>1936358</v>
      </c>
      <c r="F16" s="613">
        <v>42186</v>
      </c>
      <c r="G16" s="615">
        <f t="shared" si="0"/>
        <v>1.0511627906976744</v>
      </c>
      <c r="H16" s="615">
        <f>(1+'Inputs - network configuration'!$D$8)^((H$7-G$7)/365.25)*G16</f>
        <v>1.077423650588577</v>
      </c>
      <c r="I16" s="616">
        <f t="shared" si="1"/>
        <v>2086277.9052063958</v>
      </c>
      <c r="J16" s="461">
        <v>8</v>
      </c>
      <c r="K16" s="462">
        <v>1.1499999999999999</v>
      </c>
      <c r="L16" s="464">
        <f t="shared" ref="L16:L21" si="2">J16*K16</f>
        <v>9.1999999999999993</v>
      </c>
      <c r="M16" s="15" t="s">
        <v>209</v>
      </c>
      <c r="N16" s="715"/>
      <c r="O16" s="663">
        <v>45</v>
      </c>
      <c r="Q16" s="662" t="s">
        <v>381</v>
      </c>
      <c r="R16" s="680">
        <v>50</v>
      </c>
    </row>
    <row r="17" spans="1:18" s="24" customFormat="1" ht="15" customHeight="1" x14ac:dyDescent="0.25">
      <c r="A17" s="1"/>
      <c r="C17" s="14">
        <v>118143</v>
      </c>
      <c r="D17" s="23" t="s">
        <v>38</v>
      </c>
      <c r="E17" s="161">
        <v>23783427</v>
      </c>
      <c r="F17" s="613">
        <v>42186</v>
      </c>
      <c r="G17" s="615">
        <f t="shared" si="0"/>
        <v>1.0511627906976744</v>
      </c>
      <c r="H17" s="615">
        <f>(1+'Inputs - network configuration'!$D$8)^((H$7-G$7)/365.25)*G17</f>
        <v>1.077423650588577</v>
      </c>
      <c r="I17" s="616">
        <f t="shared" si="1"/>
        <v>25624826.74184693</v>
      </c>
      <c r="J17" s="461">
        <v>60</v>
      </c>
      <c r="K17" s="462">
        <v>1.1499999999999999</v>
      </c>
      <c r="L17" s="464">
        <f t="shared" si="2"/>
        <v>69</v>
      </c>
      <c r="M17" s="15" t="s">
        <v>210</v>
      </c>
      <c r="N17" s="715"/>
      <c r="O17" s="663">
        <v>57.57</v>
      </c>
      <c r="Q17" s="664" t="s">
        <v>92</v>
      </c>
      <c r="R17" s="681">
        <v>40.58</v>
      </c>
    </row>
    <row r="18" spans="1:18" s="24" customFormat="1" ht="15" customHeight="1" x14ac:dyDescent="0.25">
      <c r="A18" s="1"/>
      <c r="C18" s="14">
        <v>118145</v>
      </c>
      <c r="D18" s="23" t="s">
        <v>51</v>
      </c>
      <c r="E18" s="161">
        <v>17596081</v>
      </c>
      <c r="F18" s="613">
        <v>42186</v>
      </c>
      <c r="G18" s="615">
        <f t="shared" si="0"/>
        <v>1.0511627906976744</v>
      </c>
      <c r="H18" s="615">
        <f>(1+'Inputs - network configuration'!$D$8)^((H$7-G$7)/365.25)*G18</f>
        <v>1.077423650588577</v>
      </c>
      <c r="I18" s="616">
        <f t="shared" si="1"/>
        <v>18958433.8270723</v>
      </c>
      <c r="J18" s="461">
        <v>80</v>
      </c>
      <c r="K18" s="462">
        <v>1.1499999999999999</v>
      </c>
      <c r="L18" s="464">
        <f>J18*K18+18</f>
        <v>110</v>
      </c>
      <c r="M18" s="15" t="s">
        <v>211</v>
      </c>
      <c r="N18" s="715"/>
      <c r="O18" s="663">
        <v>57.57</v>
      </c>
    </row>
    <row r="19" spans="1:18" s="24" customFormat="1" ht="15" customHeight="1" x14ac:dyDescent="0.25">
      <c r="A19" s="1"/>
      <c r="C19" s="14">
        <v>384667</v>
      </c>
      <c r="D19" s="23" t="s">
        <v>196</v>
      </c>
      <c r="E19" s="161">
        <v>821928.44</v>
      </c>
      <c r="F19" s="613">
        <v>42186</v>
      </c>
      <c r="G19" s="615">
        <f t="shared" si="0"/>
        <v>1.0511627906976744</v>
      </c>
      <c r="H19" s="615">
        <f>(1+'Inputs - network configuration'!$D$8)^((H$7-G$7)/365.25)*G19</f>
        <v>1.077423650588577</v>
      </c>
      <c r="I19" s="616">
        <f t="shared" si="1"/>
        <v>885565.14034737414</v>
      </c>
      <c r="J19" s="465">
        <f>7.5*0.95</f>
        <v>7.125</v>
      </c>
      <c r="K19" s="462">
        <v>0.66</v>
      </c>
      <c r="L19" s="464">
        <f t="shared" si="2"/>
        <v>4.7025000000000006</v>
      </c>
      <c r="M19" s="15" t="s">
        <v>212</v>
      </c>
      <c r="N19" s="715" t="s">
        <v>198</v>
      </c>
      <c r="O19" s="663">
        <v>60</v>
      </c>
    </row>
    <row r="20" spans="1:18" s="24" customFormat="1" ht="15" customHeight="1" x14ac:dyDescent="0.25">
      <c r="A20" s="1"/>
      <c r="C20" s="14">
        <v>118167</v>
      </c>
      <c r="D20" s="23" t="s">
        <v>45</v>
      </c>
      <c r="E20" s="161">
        <v>699896.05200000003</v>
      </c>
      <c r="F20" s="613">
        <v>42186</v>
      </c>
      <c r="G20" s="615">
        <f t="shared" si="0"/>
        <v>1.0511627906976744</v>
      </c>
      <c r="H20" s="615">
        <f>(1+'Inputs - network configuration'!$D$8)^((H$7-G$7)/365.25)*G20</f>
        <v>1.077423650588577</v>
      </c>
      <c r="I20" s="616">
        <f t="shared" si="1"/>
        <v>754084.55937837262</v>
      </c>
      <c r="J20" s="465">
        <f>7.9*0.95</f>
        <v>7.5049999999999999</v>
      </c>
      <c r="K20" s="466">
        <v>0.8</v>
      </c>
      <c r="L20" s="464">
        <f t="shared" si="2"/>
        <v>6.0040000000000004</v>
      </c>
      <c r="M20" s="17" t="s">
        <v>183</v>
      </c>
      <c r="N20" s="716"/>
      <c r="O20" s="663">
        <v>60</v>
      </c>
    </row>
    <row r="21" spans="1:18" s="24" customFormat="1" ht="15" customHeight="1" x14ac:dyDescent="0.25">
      <c r="A21" s="1"/>
      <c r="C21" s="14">
        <v>118168</v>
      </c>
      <c r="D21" s="460" t="s">
        <v>46</v>
      </c>
      <c r="E21" s="161">
        <v>178690.89600000001</v>
      </c>
      <c r="F21" s="613">
        <v>42186</v>
      </c>
      <c r="G21" s="615">
        <f t="shared" si="0"/>
        <v>1.0511627906976744</v>
      </c>
      <c r="H21" s="615">
        <f>(1+'Inputs - network configuration'!$D$8)^((H$7-G$7)/365.25)*G21</f>
        <v>1.077423650588577</v>
      </c>
      <c r="I21" s="616">
        <f t="shared" si="1"/>
        <v>192525.79749526377</v>
      </c>
      <c r="J21" s="465">
        <f>7.7*0.95</f>
        <v>7.3149999999999995</v>
      </c>
      <c r="K21" s="466">
        <v>0.8</v>
      </c>
      <c r="L21" s="464">
        <f t="shared" si="2"/>
        <v>5.8520000000000003</v>
      </c>
      <c r="M21" s="17" t="s">
        <v>184</v>
      </c>
      <c r="N21" s="716"/>
      <c r="O21" s="663">
        <v>45</v>
      </c>
    </row>
    <row r="22" spans="1:18" s="24" customFormat="1" ht="15" customHeight="1" x14ac:dyDescent="0.25">
      <c r="A22" s="1"/>
      <c r="C22" s="14">
        <v>118222</v>
      </c>
      <c r="D22" s="460" t="s">
        <v>50</v>
      </c>
      <c r="E22" s="590">
        <v>2658038.39</v>
      </c>
      <c r="F22" s="613">
        <v>43282</v>
      </c>
      <c r="G22" s="615">
        <v>1</v>
      </c>
      <c r="H22" s="615">
        <f>(1+'Inputs - network configuration'!$D$8)^((H$7-G$7)/365.25)*G22</f>
        <v>1.0249826764448853</v>
      </c>
      <c r="I22" s="616">
        <f t="shared" si="1"/>
        <v>2724443.3030754537</v>
      </c>
      <c r="J22" s="8"/>
      <c r="K22" s="9"/>
      <c r="L22" s="9"/>
      <c r="M22" s="11"/>
      <c r="N22" s="18"/>
      <c r="O22" s="663">
        <v>50.54</v>
      </c>
    </row>
    <row r="23" spans="1:18" s="24" customFormat="1" ht="15" customHeight="1" x14ac:dyDescent="0.25">
      <c r="A23" s="1"/>
      <c r="C23" s="7">
        <v>118229</v>
      </c>
      <c r="D23" s="23" t="s">
        <v>217</v>
      </c>
      <c r="E23" s="606">
        <v>1856493.17</v>
      </c>
      <c r="F23" s="613">
        <v>43282</v>
      </c>
      <c r="G23" s="615">
        <v>1</v>
      </c>
      <c r="H23" s="615">
        <f>(1+'Inputs - network configuration'!$D$8)^((H$7-G$7)/365.25)*G23</f>
        <v>1.0249826764448853</v>
      </c>
      <c r="I23" s="616">
        <f t="shared" si="1"/>
        <v>1902873.3381882494</v>
      </c>
      <c r="J23" s="8"/>
      <c r="K23" s="9"/>
      <c r="L23" s="9"/>
      <c r="M23" s="11" t="s">
        <v>218</v>
      </c>
      <c r="N23" s="18"/>
      <c r="O23" s="663">
        <v>50.54</v>
      </c>
    </row>
    <row r="24" spans="1:18" s="24" customFormat="1" ht="15" customHeight="1" x14ac:dyDescent="0.25">
      <c r="A24" s="1"/>
      <c r="C24" s="14">
        <v>118242</v>
      </c>
      <c r="D24" s="23" t="s">
        <v>39</v>
      </c>
      <c r="E24" s="248">
        <v>5097655</v>
      </c>
      <c r="F24" s="613">
        <v>42186</v>
      </c>
      <c r="G24" s="615">
        <f t="shared" ref="G24" si="3">E$29/E$28</f>
        <v>1.0511627906976744</v>
      </c>
      <c r="H24" s="615">
        <f>(1+'Inputs - network configuration'!$D$8)^((H$7-G$7)/365.25)*G24</f>
        <v>1.077423650588577</v>
      </c>
      <c r="I24" s="616">
        <f t="shared" si="1"/>
        <v>5492334.0595411127</v>
      </c>
      <c r="J24" s="8"/>
      <c r="K24" s="9"/>
      <c r="L24" s="9"/>
      <c r="M24" s="11"/>
      <c r="N24" s="18"/>
      <c r="O24" s="663">
        <v>45</v>
      </c>
    </row>
    <row r="25" spans="1:18" s="24" customFormat="1" ht="15" customHeight="1" x14ac:dyDescent="0.25">
      <c r="A25" s="1"/>
      <c r="C25" s="12">
        <v>118246</v>
      </c>
      <c r="D25" s="277" t="s">
        <v>40</v>
      </c>
      <c r="E25" s="607">
        <v>3015057.08</v>
      </c>
      <c r="F25" s="614">
        <v>43282</v>
      </c>
      <c r="G25" s="617">
        <v>1</v>
      </c>
      <c r="H25" s="617">
        <f>(1+'Inputs - network configuration'!$D$8)^((H$7-G$7)/365.25)*G25</f>
        <v>1.0249826764448853</v>
      </c>
      <c r="I25" s="629">
        <f t="shared" si="1"/>
        <v>3090381.2754925005</v>
      </c>
      <c r="J25" s="19"/>
      <c r="K25" s="20"/>
      <c r="L25" s="20"/>
      <c r="M25" s="13"/>
      <c r="N25" s="21"/>
      <c r="O25" s="665">
        <v>45</v>
      </c>
    </row>
    <row r="26" spans="1:18" s="24" customFormat="1" x14ac:dyDescent="0.25">
      <c r="A26" s="1"/>
      <c r="C26" s="54"/>
      <c r="I26" s="630">
        <f>SUM(I8:I25)</f>
        <v>97767474.142609119</v>
      </c>
    </row>
    <row r="27" spans="1:18" s="24" customFormat="1" x14ac:dyDescent="0.25">
      <c r="A27" s="1"/>
      <c r="F27"/>
    </row>
    <row r="28" spans="1:18" x14ac:dyDescent="0.25">
      <c r="C28" s="158"/>
      <c r="D28" s="87" t="s">
        <v>366</v>
      </c>
      <c r="E28" s="683">
        <v>107.5</v>
      </c>
      <c r="G28" s="159"/>
      <c r="H28" s="159"/>
      <c r="I28" s="159"/>
      <c r="P28" s="87"/>
    </row>
    <row r="29" spans="1:18" x14ac:dyDescent="0.25">
      <c r="C29" s="104"/>
      <c r="D29" s="87" t="s">
        <v>367</v>
      </c>
      <c r="E29" s="683">
        <v>113</v>
      </c>
      <c r="P29" s="87"/>
    </row>
    <row r="30" spans="1:18" x14ac:dyDescent="0.25">
      <c r="E30" s="38">
        <f>E29/E28</f>
        <v>1.0511627906976744</v>
      </c>
    </row>
    <row r="41" spans="15:15" x14ac:dyDescent="0.25">
      <c r="O41"/>
    </row>
  </sheetData>
  <mergeCells count="4">
    <mergeCell ref="J6:M6"/>
    <mergeCell ref="N8:N11"/>
    <mergeCell ref="N13:N18"/>
    <mergeCell ref="N19:N21"/>
  </mergeCells>
  <hyperlinks>
    <hyperlink ref="D3" display="http://thesource/npp/npmo/vspa/_layouts/xlviewer.aspx?id=/npp/npmo/vspa/Lists/RoadmapTable/Attachments/14/Transmission%20Estimation%20List%20of%20C20%20Standard%20Estimates.xlsx&amp;Source=http%3A%2F%2Fthesource%2Fnpp%2Fnpmo%2Fvspa%2FPages%2FEstimateRoadmap%2"/>
  </hyperlinks>
  <pageMargins left="0.7" right="0.7" top="0.75" bottom="0.75" header="0.3" footer="0.3"/>
  <pageSetup paperSize="9" scale="65" orientation="landscape"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38FA87"/>
    <pageSetUpPr fitToPage="1"/>
  </sheetPr>
  <dimension ref="B2:AE103"/>
  <sheetViews>
    <sheetView showGridLines="0" zoomScaleNormal="100" workbookViewId="0"/>
  </sheetViews>
  <sheetFormatPr defaultColWidth="9.140625" defaultRowHeight="12.75" x14ac:dyDescent="0.2"/>
  <cols>
    <col min="1" max="1" width="9.140625" style="87"/>
    <col min="2" max="2" width="4.85546875" style="87" customWidth="1"/>
    <col min="3" max="3" width="24.42578125" style="87" customWidth="1"/>
    <col min="4" max="4" width="18.140625" style="87" bestFit="1" customWidth="1"/>
    <col min="5" max="5" width="47.28515625" style="87" customWidth="1"/>
    <col min="6" max="6" width="12.7109375" style="109" bestFit="1" customWidth="1"/>
    <col min="7" max="7" width="9.42578125" style="87" bestFit="1" customWidth="1"/>
    <col min="8" max="8" width="8.42578125" style="254" customWidth="1"/>
    <col min="9" max="9" width="10.42578125" style="106" customWidth="1"/>
    <col min="10" max="10" width="10.42578125" style="87" customWidth="1"/>
    <col min="11" max="11" width="12.7109375" style="87" bestFit="1" customWidth="1"/>
    <col min="12" max="12" width="11.7109375" style="87" bestFit="1" customWidth="1"/>
    <col min="13" max="14" width="10.42578125" style="87" bestFit="1" customWidth="1"/>
    <col min="15" max="15" width="19.140625" style="87" bestFit="1" customWidth="1"/>
    <col min="16" max="16" width="9.85546875" style="87" customWidth="1"/>
    <col min="17" max="17" width="8.85546875" style="87" customWidth="1"/>
    <col min="18" max="18" width="10.28515625" style="87" customWidth="1"/>
    <col min="19" max="20" width="8.85546875" style="87" customWidth="1"/>
    <col min="21" max="21" width="9.7109375" style="87" customWidth="1"/>
    <col min="22" max="24" width="8.85546875" style="87" customWidth="1"/>
    <col min="25" max="16384" width="9.140625" style="87"/>
  </cols>
  <sheetData>
    <row r="2" spans="2:24" ht="18.75" x14ac:dyDescent="0.3">
      <c r="B2" s="88" t="s">
        <v>278</v>
      </c>
      <c r="C2" s="102"/>
      <c r="D2" s="102"/>
      <c r="E2" s="102"/>
      <c r="F2" s="107"/>
    </row>
    <row r="3" spans="2:24" s="24" customFormat="1" ht="12.75" customHeight="1" x14ac:dyDescent="0.25">
      <c r="B3" s="39"/>
      <c r="C3" s="39"/>
      <c r="D3" s="39"/>
      <c r="E3" s="39"/>
      <c r="F3" s="55"/>
      <c r="H3" s="255"/>
      <c r="I3" s="56"/>
    </row>
    <row r="4" spans="2:24" s="24" customFormat="1" ht="15" customHeight="1" x14ac:dyDescent="0.25">
      <c r="B4" s="39"/>
      <c r="C4" s="57"/>
      <c r="D4" s="709" t="s">
        <v>182</v>
      </c>
      <c r="E4" s="709"/>
      <c r="F4" s="709"/>
      <c r="G4" s="710"/>
      <c r="H4" s="255"/>
      <c r="I4" s="56"/>
    </row>
    <row r="5" spans="2:24" s="24" customFormat="1" ht="15" customHeight="1" x14ac:dyDescent="0.25">
      <c r="B5" s="39"/>
      <c r="C5" s="58" t="s">
        <v>47</v>
      </c>
      <c r="D5" s="52" t="s">
        <v>187</v>
      </c>
      <c r="E5" s="52" t="s">
        <v>188</v>
      </c>
      <c r="F5" s="52" t="s">
        <v>189</v>
      </c>
      <c r="G5" s="53" t="s">
        <v>190</v>
      </c>
      <c r="H5" s="255"/>
      <c r="I5" s="56"/>
    </row>
    <row r="6" spans="2:24" s="24" customFormat="1" ht="15" customHeight="1" x14ac:dyDescent="0.25">
      <c r="B6" s="39"/>
      <c r="C6" s="30" t="s">
        <v>0</v>
      </c>
      <c r="D6" s="177">
        <f>'Inputs - network configuration'!$D$10*'Inputs - tariff class'!E45</f>
        <v>500</v>
      </c>
      <c r="E6" s="584"/>
      <c r="F6" s="584"/>
      <c r="G6" s="585"/>
      <c r="H6" s="255"/>
      <c r="I6" s="56"/>
    </row>
    <row r="7" spans="2:24" s="24" customFormat="1" ht="15" customHeight="1" x14ac:dyDescent="0.25">
      <c r="B7" s="39"/>
      <c r="C7" s="31" t="s">
        <v>1</v>
      </c>
      <c r="D7" s="176">
        <f>'Inputs - network configuration'!$D$10*'Inputs - tariff class'!E46</f>
        <v>352.01179241678221</v>
      </c>
      <c r="E7" s="176">
        <f>'Inputs - network configuration'!D67*$D7</f>
        <v>352.01179241678221</v>
      </c>
      <c r="F7" s="176">
        <f>'Inputs - network configuration'!E67*$D7</f>
        <v>0</v>
      </c>
      <c r="G7" s="200">
        <f>'Inputs - network configuration'!F67*$D7</f>
        <v>0</v>
      </c>
      <c r="H7" s="255"/>
      <c r="I7" s="56"/>
    </row>
    <row r="8" spans="2:24" s="24" customFormat="1" ht="15" customHeight="1" x14ac:dyDescent="0.25">
      <c r="B8" s="39"/>
      <c r="C8" s="31" t="s">
        <v>2</v>
      </c>
      <c r="D8" s="176">
        <f>'Inputs - network configuration'!$D$10*'Inputs - tariff class'!E47</f>
        <v>343.73851798650213</v>
      </c>
      <c r="E8" s="586"/>
      <c r="F8" s="586"/>
      <c r="G8" s="587"/>
      <c r="H8" s="255"/>
      <c r="I8" s="56"/>
    </row>
    <row r="9" spans="2:24" s="24" customFormat="1" ht="15" customHeight="1" x14ac:dyDescent="0.25">
      <c r="B9" s="39"/>
      <c r="C9" s="31" t="s">
        <v>3</v>
      </c>
      <c r="D9" s="176">
        <f>'Inputs - network configuration'!$D$10*'Inputs - tariff class'!E48</f>
        <v>335.46524355622211</v>
      </c>
      <c r="E9" s="176">
        <f>'Inputs - network configuration'!D70*$D9</f>
        <v>268.37219484497768</v>
      </c>
      <c r="F9" s="176">
        <f>'Inputs - network configuration'!E70*$D9</f>
        <v>67.093048711244421</v>
      </c>
      <c r="G9" s="200">
        <f>'Inputs - network configuration'!F70*$D9</f>
        <v>0</v>
      </c>
      <c r="H9" s="255"/>
      <c r="I9" s="56"/>
    </row>
    <row r="10" spans="2:24" s="24" customFormat="1" ht="15" customHeight="1" x14ac:dyDescent="0.25">
      <c r="B10" s="39"/>
      <c r="C10" s="31" t="s">
        <v>4</v>
      </c>
      <c r="D10" s="176">
        <f>'Inputs - network configuration'!$D$10*'Inputs - tariff class'!E49</f>
        <v>143.77081866695232</v>
      </c>
      <c r="E10" s="176">
        <f>'Inputs - network configuration'!D71*$D10</f>
        <v>0</v>
      </c>
      <c r="F10" s="176">
        <f>'Inputs - network configuration'!E71*$D10</f>
        <v>0</v>
      </c>
      <c r="G10" s="200">
        <f>'Inputs - network configuration'!F71*$D10</f>
        <v>143.77081866695232</v>
      </c>
      <c r="H10" s="255"/>
      <c r="I10" s="56"/>
    </row>
    <row r="11" spans="2:24" s="24" customFormat="1" ht="15" customHeight="1" x14ac:dyDescent="0.25">
      <c r="B11" s="39"/>
      <c r="C11" s="31" t="s">
        <v>5</v>
      </c>
      <c r="D11" s="176">
        <f>'Inputs - network configuration'!$D$10*'Inputs - tariff class'!E50</f>
        <v>453.64133438290366</v>
      </c>
      <c r="E11" s="586"/>
      <c r="F11" s="586"/>
      <c r="G11" s="587"/>
      <c r="H11" s="255"/>
      <c r="I11" s="56"/>
    </row>
    <row r="12" spans="2:24" s="24" customFormat="1" ht="15" customHeight="1" x14ac:dyDescent="0.25">
      <c r="B12" s="39"/>
      <c r="C12" s="31" t="s">
        <v>6</v>
      </c>
      <c r="D12" s="176">
        <f>'Inputs - network configuration'!$D$10*'Inputs - tariff class'!E51</f>
        <v>402.02254104555794</v>
      </c>
      <c r="E12" s="176">
        <f>'Inputs - network configuration'!D73*$D12</f>
        <v>281.41577873189055</v>
      </c>
      <c r="F12" s="176">
        <f>'Inputs - network configuration'!E73*$D12</f>
        <v>80.404508209111597</v>
      </c>
      <c r="G12" s="200">
        <f>'Inputs - network configuration'!F73*$D12</f>
        <v>40.202254104555799</v>
      </c>
      <c r="H12" s="255"/>
      <c r="I12" s="56"/>
    </row>
    <row r="13" spans="2:24" s="24" customFormat="1" ht="15" customHeight="1" x14ac:dyDescent="0.25">
      <c r="B13" s="39"/>
      <c r="C13" s="32" t="s">
        <v>7</v>
      </c>
      <c r="D13" s="583">
        <f>'Inputs - network configuration'!$D$10*'Inputs - tariff class'!E52</f>
        <v>342.28329787098909</v>
      </c>
      <c r="E13" s="588"/>
      <c r="F13" s="588"/>
      <c r="G13" s="589"/>
      <c r="H13" s="255"/>
      <c r="I13" s="56"/>
    </row>
    <row r="14" spans="2:24" s="24" customFormat="1" ht="15" customHeight="1" x14ac:dyDescent="0.25">
      <c r="B14" s="39"/>
      <c r="C14" s="39"/>
      <c r="D14" s="39"/>
      <c r="E14" s="39"/>
      <c r="F14" s="55"/>
      <c r="H14" s="255"/>
      <c r="I14" s="56"/>
    </row>
    <row r="15" spans="2:24" s="24" customFormat="1" ht="15" customHeight="1" x14ac:dyDescent="0.25">
      <c r="F15" s="37"/>
      <c r="H15" s="255"/>
      <c r="I15" s="56"/>
    </row>
    <row r="16" spans="2:24" s="39" customFormat="1" ht="15" customHeight="1" x14ac:dyDescent="0.25">
      <c r="C16" s="57" t="s">
        <v>47</v>
      </c>
      <c r="D16" s="251" t="s">
        <v>32</v>
      </c>
      <c r="E16" s="251" t="s">
        <v>170</v>
      </c>
      <c r="F16" s="682" t="s">
        <v>89</v>
      </c>
      <c r="G16" s="251"/>
      <c r="H16" s="256"/>
      <c r="I16" s="717" t="s">
        <v>425</v>
      </c>
      <c r="J16" s="719"/>
      <c r="K16" s="60" t="s">
        <v>426</v>
      </c>
      <c r="L16" s="723" t="s">
        <v>31</v>
      </c>
      <c r="M16" s="717" t="s">
        <v>43</v>
      </c>
      <c r="N16" s="719"/>
      <c r="O16" s="723" t="s">
        <v>291</v>
      </c>
      <c r="P16" s="81" t="s">
        <v>370</v>
      </c>
      <c r="Q16" s="717" t="s">
        <v>383</v>
      </c>
      <c r="R16" s="718"/>
      <c r="S16" s="718"/>
      <c r="T16" s="718"/>
      <c r="U16" s="718"/>
      <c r="V16" s="718"/>
      <c r="W16" s="718"/>
      <c r="X16" s="719"/>
    </row>
    <row r="17" spans="3:24" s="39" customFormat="1" ht="30" x14ac:dyDescent="0.25">
      <c r="C17" s="58"/>
      <c r="D17" s="252"/>
      <c r="E17" s="252"/>
      <c r="F17" s="253" t="s">
        <v>427</v>
      </c>
      <c r="G17" s="253" t="s">
        <v>44</v>
      </c>
      <c r="H17" s="257" t="s">
        <v>19</v>
      </c>
      <c r="I17" s="62" t="s">
        <v>29</v>
      </c>
      <c r="J17" s="63" t="s">
        <v>20</v>
      </c>
      <c r="K17" s="61" t="s">
        <v>181</v>
      </c>
      <c r="L17" s="724"/>
      <c r="M17" s="725"/>
      <c r="N17" s="726"/>
      <c r="O17" s="724"/>
      <c r="P17" s="285" t="s">
        <v>371</v>
      </c>
      <c r="Q17" s="285" t="s">
        <v>0</v>
      </c>
      <c r="R17" s="285" t="s">
        <v>1</v>
      </c>
      <c r="S17" s="285" t="s">
        <v>2</v>
      </c>
      <c r="T17" s="285" t="s">
        <v>3</v>
      </c>
      <c r="U17" s="285" t="s">
        <v>4</v>
      </c>
      <c r="V17" s="285" t="s">
        <v>5</v>
      </c>
      <c r="W17" s="285" t="s">
        <v>6</v>
      </c>
      <c r="X17" s="285" t="s">
        <v>7</v>
      </c>
    </row>
    <row r="18" spans="3:24" s="24" customFormat="1" ht="15" customHeight="1" x14ac:dyDescent="0.25">
      <c r="C18" s="42" t="s">
        <v>62</v>
      </c>
      <c r="D18" s="50" t="s">
        <v>1</v>
      </c>
      <c r="E18" s="46" t="s">
        <v>26</v>
      </c>
      <c r="F18" s="64">
        <v>118145</v>
      </c>
      <c r="G18" s="192">
        <v>1</v>
      </c>
      <c r="H18" s="258" t="s">
        <v>22</v>
      </c>
      <c r="I18" s="172">
        <f>VLOOKUP(F18,std_est,10,FALSE)*G18</f>
        <v>110</v>
      </c>
      <c r="J18" s="727">
        <f>SUM(I18:I20)</f>
        <v>110</v>
      </c>
      <c r="K18" s="720">
        <f>E7</f>
        <v>352.01179241678221</v>
      </c>
      <c r="L18" s="729">
        <f>K18/J18</f>
        <v>3.2001072037889293</v>
      </c>
      <c r="M18" s="169">
        <f>G18*L18</f>
        <v>3.2001072037889293</v>
      </c>
      <c r="N18" s="166" t="s">
        <v>191</v>
      </c>
      <c r="O18" s="65">
        <f t="shared" ref="O18:O44" si="0">VLOOKUP(F18,std_est,3,FALSE)*M18</f>
        <v>56309345.566553511</v>
      </c>
      <c r="P18" s="633">
        <f t="shared" ref="P18:P44" si="1">VLOOKUP(F18,std_est,13,FALSE)</f>
        <v>57.57</v>
      </c>
      <c r="Q18" s="638" t="str">
        <f>IF($D18=Q$17,$P18,"")</f>
        <v/>
      </c>
      <c r="R18" s="639">
        <f t="shared" ref="R18:X18" si="2">IF($D18=R$17,$P18,"")</f>
        <v>57.57</v>
      </c>
      <c r="S18" s="639" t="str">
        <f t="shared" si="2"/>
        <v/>
      </c>
      <c r="T18" s="639" t="str">
        <f t="shared" si="2"/>
        <v/>
      </c>
      <c r="U18" s="639" t="str">
        <f t="shared" si="2"/>
        <v/>
      </c>
      <c r="V18" s="639" t="str">
        <f t="shared" si="2"/>
        <v/>
      </c>
      <c r="W18" s="639" t="str">
        <f t="shared" si="2"/>
        <v/>
      </c>
      <c r="X18" s="640" t="str">
        <f t="shared" si="2"/>
        <v/>
      </c>
    </row>
    <row r="19" spans="3:24" s="24" customFormat="1" ht="15" customHeight="1" x14ac:dyDescent="0.25">
      <c r="C19" s="42"/>
      <c r="D19" s="46" t="s">
        <v>0</v>
      </c>
      <c r="E19" s="46" t="s">
        <v>10</v>
      </c>
      <c r="F19" s="64">
        <v>118222</v>
      </c>
      <c r="G19" s="196">
        <f>'Inputs - network configuration'!G55</f>
        <v>20.341799999999999</v>
      </c>
      <c r="H19" s="258" t="s">
        <v>16</v>
      </c>
      <c r="I19" s="59"/>
      <c r="J19" s="727"/>
      <c r="K19" s="720"/>
      <c r="L19" s="729"/>
      <c r="M19" s="169">
        <f>G19*L18</f>
        <v>65.095940718033646</v>
      </c>
      <c r="N19" s="166" t="s">
        <v>16</v>
      </c>
      <c r="O19" s="66">
        <f t="shared" si="0"/>
        <v>173027509.46169761</v>
      </c>
      <c r="P19" s="634">
        <f t="shared" si="1"/>
        <v>50.54</v>
      </c>
      <c r="Q19" s="641">
        <f t="shared" ref="Q19:X44" si="3">IF($D19=Q$17,$P19,"")</f>
        <v>50.54</v>
      </c>
      <c r="R19" s="642" t="str">
        <f t="shared" si="3"/>
        <v/>
      </c>
      <c r="S19" s="642" t="str">
        <f t="shared" si="3"/>
        <v/>
      </c>
      <c r="T19" s="642" t="str">
        <f t="shared" si="3"/>
        <v/>
      </c>
      <c r="U19" s="642" t="str">
        <f t="shared" si="3"/>
        <v/>
      </c>
      <c r="V19" s="642" t="str">
        <f t="shared" si="3"/>
        <v/>
      </c>
      <c r="W19" s="642" t="str">
        <f t="shared" si="3"/>
        <v/>
      </c>
      <c r="X19" s="643" t="str">
        <f t="shared" si="3"/>
        <v/>
      </c>
    </row>
    <row r="20" spans="3:24" s="24" customFormat="1" ht="15" customHeight="1" x14ac:dyDescent="0.25">
      <c r="C20" s="43"/>
      <c r="D20" s="40" t="s">
        <v>0</v>
      </c>
      <c r="E20" s="40" t="s">
        <v>9</v>
      </c>
      <c r="F20" s="67">
        <v>118242</v>
      </c>
      <c r="G20" s="195">
        <f>'Inputs - network configuration'!H55</f>
        <v>0.70660000000000001</v>
      </c>
      <c r="H20" s="259" t="s">
        <v>16</v>
      </c>
      <c r="I20" s="164"/>
      <c r="J20" s="728"/>
      <c r="K20" s="721"/>
      <c r="L20" s="730"/>
      <c r="M20" s="170">
        <f>G20*L18</f>
        <v>2.2611957501972575</v>
      </c>
      <c r="N20" s="167" t="s">
        <v>16</v>
      </c>
      <c r="O20" s="68">
        <f t="shared" si="0"/>
        <v>11526795.8219718</v>
      </c>
      <c r="P20" s="635">
        <f t="shared" si="1"/>
        <v>45</v>
      </c>
      <c r="Q20" s="641">
        <f t="shared" si="3"/>
        <v>45</v>
      </c>
      <c r="R20" s="642" t="str">
        <f t="shared" si="3"/>
        <v/>
      </c>
      <c r="S20" s="642" t="str">
        <f t="shared" si="3"/>
        <v/>
      </c>
      <c r="T20" s="642" t="str">
        <f t="shared" si="3"/>
        <v/>
      </c>
      <c r="U20" s="642" t="str">
        <f t="shared" si="3"/>
        <v/>
      </c>
      <c r="V20" s="642" t="str">
        <f t="shared" si="3"/>
        <v/>
      </c>
      <c r="W20" s="642" t="str">
        <f t="shared" si="3"/>
        <v/>
      </c>
      <c r="X20" s="643" t="str">
        <f t="shared" si="3"/>
        <v/>
      </c>
    </row>
    <row r="21" spans="3:24" s="24" customFormat="1" ht="15" customHeight="1" x14ac:dyDescent="0.25">
      <c r="C21" s="42" t="s">
        <v>63</v>
      </c>
      <c r="D21" s="50" t="s">
        <v>1</v>
      </c>
      <c r="E21" s="46" t="s">
        <v>26</v>
      </c>
      <c r="F21" s="64">
        <v>118145</v>
      </c>
      <c r="G21" s="192">
        <v>1</v>
      </c>
      <c r="H21" s="258" t="s">
        <v>22</v>
      </c>
      <c r="I21" s="172">
        <f>VLOOKUP(F21,std_est,10,FALSE)*G21</f>
        <v>110</v>
      </c>
      <c r="J21" s="727">
        <f>SUM(I21:I23)</f>
        <v>110</v>
      </c>
      <c r="K21" s="720">
        <f>F7</f>
        <v>0</v>
      </c>
      <c r="L21" s="729">
        <f>K21/J21</f>
        <v>0</v>
      </c>
      <c r="M21" s="169">
        <f>G21*L21</f>
        <v>0</v>
      </c>
      <c r="N21" s="166" t="s">
        <v>191</v>
      </c>
      <c r="O21" s="65">
        <f t="shared" si="0"/>
        <v>0</v>
      </c>
      <c r="P21" s="633">
        <f t="shared" si="1"/>
        <v>57.57</v>
      </c>
      <c r="Q21" s="641" t="str">
        <f t="shared" si="3"/>
        <v/>
      </c>
      <c r="R21" s="642">
        <f t="shared" si="3"/>
        <v>57.57</v>
      </c>
      <c r="S21" s="642" t="str">
        <f t="shared" si="3"/>
        <v/>
      </c>
      <c r="T21" s="642" t="str">
        <f t="shared" si="3"/>
        <v/>
      </c>
      <c r="U21" s="642" t="str">
        <f t="shared" si="3"/>
        <v/>
      </c>
      <c r="V21" s="642" t="str">
        <f t="shared" si="3"/>
        <v/>
      </c>
      <c r="W21" s="642" t="str">
        <f t="shared" si="3"/>
        <v/>
      </c>
      <c r="X21" s="643" t="str">
        <f t="shared" si="3"/>
        <v/>
      </c>
    </row>
    <row r="22" spans="3:24" s="24" customFormat="1" ht="15" customHeight="1" x14ac:dyDescent="0.25">
      <c r="C22" s="42"/>
      <c r="D22" s="46" t="s">
        <v>0</v>
      </c>
      <c r="E22" s="46" t="s">
        <v>10</v>
      </c>
      <c r="F22" s="64">
        <v>118222</v>
      </c>
      <c r="G22" s="196">
        <f>'Inputs - network configuration'!G56</f>
        <v>40.103999999999999</v>
      </c>
      <c r="H22" s="258" t="s">
        <v>16</v>
      </c>
      <c r="I22" s="59"/>
      <c r="J22" s="727"/>
      <c r="K22" s="720"/>
      <c r="L22" s="729"/>
      <c r="M22" s="169">
        <f>G22*L21</f>
        <v>0</v>
      </c>
      <c r="N22" s="166" t="s">
        <v>16</v>
      </c>
      <c r="O22" s="66">
        <f t="shared" si="0"/>
        <v>0</v>
      </c>
      <c r="P22" s="634">
        <f t="shared" si="1"/>
        <v>50.54</v>
      </c>
      <c r="Q22" s="641">
        <f t="shared" si="3"/>
        <v>50.54</v>
      </c>
      <c r="R22" s="642" t="str">
        <f t="shared" si="3"/>
        <v/>
      </c>
      <c r="S22" s="642" t="str">
        <f t="shared" si="3"/>
        <v/>
      </c>
      <c r="T22" s="642" t="str">
        <f t="shared" si="3"/>
        <v/>
      </c>
      <c r="U22" s="642" t="str">
        <f t="shared" si="3"/>
        <v/>
      </c>
      <c r="V22" s="642" t="str">
        <f t="shared" si="3"/>
        <v/>
      </c>
      <c r="W22" s="642" t="str">
        <f t="shared" si="3"/>
        <v/>
      </c>
      <c r="X22" s="643" t="str">
        <f t="shared" si="3"/>
        <v/>
      </c>
    </row>
    <row r="23" spans="3:24" s="24" customFormat="1" ht="15" customHeight="1" x14ac:dyDescent="0.25">
      <c r="C23" s="43"/>
      <c r="D23" s="40" t="s">
        <v>0</v>
      </c>
      <c r="E23" s="40" t="s">
        <v>9</v>
      </c>
      <c r="F23" s="67">
        <v>118242</v>
      </c>
      <c r="G23" s="195">
        <f>'Inputs - network configuration'!H56</f>
        <v>0</v>
      </c>
      <c r="H23" s="259" t="s">
        <v>16</v>
      </c>
      <c r="I23" s="164"/>
      <c r="J23" s="728"/>
      <c r="K23" s="721"/>
      <c r="L23" s="730"/>
      <c r="M23" s="169">
        <f>G23*L21</f>
        <v>0</v>
      </c>
      <c r="N23" s="167" t="s">
        <v>16</v>
      </c>
      <c r="O23" s="68">
        <f t="shared" si="0"/>
        <v>0</v>
      </c>
      <c r="P23" s="635">
        <f t="shared" si="1"/>
        <v>45</v>
      </c>
      <c r="Q23" s="641">
        <f t="shared" si="3"/>
        <v>45</v>
      </c>
      <c r="R23" s="642" t="str">
        <f t="shared" si="3"/>
        <v/>
      </c>
      <c r="S23" s="642" t="str">
        <f t="shared" si="3"/>
        <v/>
      </c>
      <c r="T23" s="642" t="str">
        <f t="shared" si="3"/>
        <v/>
      </c>
      <c r="U23" s="642" t="str">
        <f t="shared" si="3"/>
        <v/>
      </c>
      <c r="V23" s="642" t="str">
        <f t="shared" si="3"/>
        <v/>
      </c>
      <c r="W23" s="642" t="str">
        <f t="shared" si="3"/>
        <v/>
      </c>
      <c r="X23" s="643" t="str">
        <f t="shared" si="3"/>
        <v/>
      </c>
    </row>
    <row r="24" spans="3:24" s="24" customFormat="1" ht="15" customHeight="1" x14ac:dyDescent="0.25">
      <c r="C24" s="41" t="s">
        <v>27</v>
      </c>
      <c r="D24" s="49" t="s">
        <v>4</v>
      </c>
      <c r="E24" s="49" t="s">
        <v>42</v>
      </c>
      <c r="F24" s="69">
        <v>118143</v>
      </c>
      <c r="G24" s="193">
        <v>1</v>
      </c>
      <c r="H24" s="260" t="s">
        <v>22</v>
      </c>
      <c r="I24" s="173">
        <f>VLOOKUP(F24,std_est,10,FALSE)*G24</f>
        <v>69</v>
      </c>
      <c r="J24" s="733">
        <f>SUM(I24:I26)</f>
        <v>69</v>
      </c>
      <c r="K24" s="722">
        <f>G10</f>
        <v>143.77081866695232</v>
      </c>
      <c r="L24" s="729">
        <f>K24/J24</f>
        <v>2.0836350531442367</v>
      </c>
      <c r="M24" s="171">
        <f>G24*L24</f>
        <v>2.0836350531442367</v>
      </c>
      <c r="N24" s="166" t="s">
        <v>191</v>
      </c>
      <c r="O24" s="65">
        <f t="shared" si="0"/>
        <v>49555982.181097075</v>
      </c>
      <c r="P24" s="633">
        <f t="shared" si="1"/>
        <v>57.57</v>
      </c>
      <c r="Q24" s="641" t="str">
        <f t="shared" si="3"/>
        <v/>
      </c>
      <c r="R24" s="642" t="str">
        <f t="shared" si="3"/>
        <v/>
      </c>
      <c r="S24" s="642" t="str">
        <f t="shared" si="3"/>
        <v/>
      </c>
      <c r="T24" s="642" t="str">
        <f t="shared" si="3"/>
        <v/>
      </c>
      <c r="U24" s="642">
        <f t="shared" si="3"/>
        <v>57.57</v>
      </c>
      <c r="V24" s="642" t="str">
        <f t="shared" si="3"/>
        <v/>
      </c>
      <c r="W24" s="642" t="str">
        <f t="shared" si="3"/>
        <v/>
      </c>
      <c r="X24" s="643" t="str">
        <f t="shared" si="3"/>
        <v/>
      </c>
    </row>
    <row r="25" spans="3:24" s="24" customFormat="1" ht="15" customHeight="1" x14ac:dyDescent="0.25">
      <c r="C25" s="42"/>
      <c r="D25" s="46" t="s">
        <v>0</v>
      </c>
      <c r="E25" s="46" t="s">
        <v>10</v>
      </c>
      <c r="F25" s="64">
        <v>118222</v>
      </c>
      <c r="G25" s="196">
        <f>'Inputs - network configuration'!G54</f>
        <v>2.3885999999999998</v>
      </c>
      <c r="H25" s="258" t="s">
        <v>16</v>
      </c>
      <c r="I25" s="174"/>
      <c r="J25" s="727"/>
      <c r="K25" s="720"/>
      <c r="L25" s="729"/>
      <c r="M25" s="169">
        <f>G25*L24</f>
        <v>4.976970687940323</v>
      </c>
      <c r="N25" s="166" t="s">
        <v>16</v>
      </c>
      <c r="O25" s="66">
        <f t="shared" si="0"/>
        <v>13228979.154450089</v>
      </c>
      <c r="P25" s="634">
        <f t="shared" si="1"/>
        <v>50.54</v>
      </c>
      <c r="Q25" s="641">
        <f t="shared" si="3"/>
        <v>50.54</v>
      </c>
      <c r="R25" s="642" t="str">
        <f t="shared" si="3"/>
        <v/>
      </c>
      <c r="S25" s="642" t="str">
        <f t="shared" si="3"/>
        <v/>
      </c>
      <c r="T25" s="642" t="str">
        <f t="shared" si="3"/>
        <v/>
      </c>
      <c r="U25" s="642" t="str">
        <f t="shared" si="3"/>
        <v/>
      </c>
      <c r="V25" s="642" t="str">
        <f t="shared" si="3"/>
        <v/>
      </c>
      <c r="W25" s="642" t="str">
        <f t="shared" si="3"/>
        <v/>
      </c>
      <c r="X25" s="643" t="str">
        <f t="shared" si="3"/>
        <v/>
      </c>
    </row>
    <row r="26" spans="3:24" s="24" customFormat="1" ht="15" customHeight="1" x14ac:dyDescent="0.25">
      <c r="C26" s="43"/>
      <c r="D26" s="40" t="s">
        <v>0</v>
      </c>
      <c r="E26" s="40" t="s">
        <v>9</v>
      </c>
      <c r="F26" s="67">
        <v>118242</v>
      </c>
      <c r="G26" s="195">
        <f>'Inputs - network configuration'!H54</f>
        <v>4.2909999999999995</v>
      </c>
      <c r="H26" s="259" t="s">
        <v>16</v>
      </c>
      <c r="I26" s="175"/>
      <c r="J26" s="728"/>
      <c r="K26" s="721"/>
      <c r="L26" s="730"/>
      <c r="M26" s="170">
        <f>G26*L24</f>
        <v>8.9408780130419192</v>
      </c>
      <c r="N26" s="167" t="s">
        <v>16</v>
      </c>
      <c r="O26" s="68">
        <f t="shared" si="0"/>
        <v>45577511.507573202</v>
      </c>
      <c r="P26" s="636">
        <f t="shared" si="1"/>
        <v>45</v>
      </c>
      <c r="Q26" s="641">
        <f t="shared" si="3"/>
        <v>45</v>
      </c>
      <c r="R26" s="642" t="str">
        <f t="shared" si="3"/>
        <v/>
      </c>
      <c r="S26" s="642" t="str">
        <f t="shared" si="3"/>
        <v/>
      </c>
      <c r="T26" s="642" t="str">
        <f t="shared" si="3"/>
        <v/>
      </c>
      <c r="U26" s="642" t="str">
        <f t="shared" si="3"/>
        <v/>
      </c>
      <c r="V26" s="642" t="str">
        <f t="shared" si="3"/>
        <v/>
      </c>
      <c r="W26" s="642" t="str">
        <f t="shared" si="3"/>
        <v/>
      </c>
      <c r="X26" s="643" t="str">
        <f t="shared" si="3"/>
        <v/>
      </c>
    </row>
    <row r="27" spans="3:24" s="24" customFormat="1" ht="15" customHeight="1" x14ac:dyDescent="0.25">
      <c r="C27" s="266" t="s">
        <v>23</v>
      </c>
      <c r="D27" s="23" t="s">
        <v>3</v>
      </c>
      <c r="E27" s="23" t="s">
        <v>21</v>
      </c>
      <c r="F27" s="72" t="s">
        <v>204</v>
      </c>
      <c r="G27" s="267">
        <v>2</v>
      </c>
      <c r="H27" s="268" t="s">
        <v>22</v>
      </c>
      <c r="I27" s="176">
        <f>VLOOKUP(F27,std_est,10,FALSE)*G27</f>
        <v>77.5</v>
      </c>
      <c r="J27" s="720">
        <f>SUM(I27:I30)</f>
        <v>116.25</v>
      </c>
      <c r="K27" s="720">
        <f>E9</f>
        <v>268.37219484497768</v>
      </c>
      <c r="L27" s="729">
        <f>K27/J27</f>
        <v>2.3085780201718511</v>
      </c>
      <c r="M27" s="169">
        <f>G27*L27</f>
        <v>4.6171560403437022</v>
      </c>
      <c r="N27" s="166" t="s">
        <v>191</v>
      </c>
      <c r="O27" s="66">
        <f t="shared" si="0"/>
        <v>44493875.201773778</v>
      </c>
      <c r="P27" s="633">
        <f t="shared" si="1"/>
        <v>45</v>
      </c>
      <c r="Q27" s="641" t="str">
        <f t="shared" si="3"/>
        <v/>
      </c>
      <c r="R27" s="642" t="str">
        <f t="shared" si="3"/>
        <v/>
      </c>
      <c r="S27" s="642" t="str">
        <f t="shared" si="3"/>
        <v/>
      </c>
      <c r="T27" s="642">
        <f t="shared" si="3"/>
        <v>45</v>
      </c>
      <c r="U27" s="642" t="str">
        <f t="shared" si="3"/>
        <v/>
      </c>
      <c r="V27" s="642" t="str">
        <f t="shared" si="3"/>
        <v/>
      </c>
      <c r="W27" s="642" t="str">
        <f t="shared" si="3"/>
        <v/>
      </c>
      <c r="X27" s="643" t="str">
        <f t="shared" si="3"/>
        <v/>
      </c>
    </row>
    <row r="28" spans="3:24" s="24" customFormat="1" ht="15" customHeight="1" x14ac:dyDescent="0.25">
      <c r="C28" s="266"/>
      <c r="D28" s="23" t="s">
        <v>3</v>
      </c>
      <c r="E28" s="269" t="s">
        <v>197</v>
      </c>
      <c r="F28" s="45">
        <v>118131</v>
      </c>
      <c r="G28" s="267">
        <v>1</v>
      </c>
      <c r="H28" s="268" t="s">
        <v>22</v>
      </c>
      <c r="I28" s="176">
        <f>VLOOKUP(F28,std_est,10,FALSE)*G28</f>
        <v>38.75</v>
      </c>
      <c r="J28" s="720"/>
      <c r="K28" s="720"/>
      <c r="L28" s="729"/>
      <c r="M28" s="169">
        <f>G28*L27</f>
        <v>2.3085780201718511</v>
      </c>
      <c r="N28" s="166" t="s">
        <v>191</v>
      </c>
      <c r="O28" s="66">
        <f t="shared" si="0"/>
        <v>29139192.662953909</v>
      </c>
      <c r="P28" s="634">
        <f t="shared" si="1"/>
        <v>45</v>
      </c>
      <c r="Q28" s="641" t="str">
        <f t="shared" si="3"/>
        <v/>
      </c>
      <c r="R28" s="642" t="str">
        <f t="shared" si="3"/>
        <v/>
      </c>
      <c r="S28" s="642" t="str">
        <f t="shared" si="3"/>
        <v/>
      </c>
      <c r="T28" s="642">
        <f t="shared" si="3"/>
        <v>45</v>
      </c>
      <c r="U28" s="642" t="str">
        <f t="shared" si="3"/>
        <v/>
      </c>
      <c r="V28" s="642" t="str">
        <f t="shared" si="3"/>
        <v/>
      </c>
      <c r="W28" s="642" t="str">
        <f t="shared" si="3"/>
        <v/>
      </c>
      <c r="X28" s="643" t="str">
        <f t="shared" si="3"/>
        <v/>
      </c>
    </row>
    <row r="29" spans="3:24" s="24" customFormat="1" ht="15" customHeight="1" x14ac:dyDescent="0.25">
      <c r="C29" s="266"/>
      <c r="D29" s="23" t="s">
        <v>2</v>
      </c>
      <c r="E29" s="23" t="s">
        <v>217</v>
      </c>
      <c r="F29" s="72">
        <v>118229</v>
      </c>
      <c r="G29" s="270">
        <f>'Inputs - network configuration'!G57/2</f>
        <v>9.9550000000000001</v>
      </c>
      <c r="H29" s="268" t="s">
        <v>16</v>
      </c>
      <c r="I29" s="59"/>
      <c r="J29" s="720"/>
      <c r="K29" s="720"/>
      <c r="L29" s="729"/>
      <c r="M29" s="169">
        <f>G29*L27</f>
        <v>22.981894190810777</v>
      </c>
      <c r="N29" s="166" t="s">
        <v>16</v>
      </c>
      <c r="O29" s="66">
        <f t="shared" si="0"/>
        <v>42665729.598902881</v>
      </c>
      <c r="P29" s="634">
        <f t="shared" si="1"/>
        <v>50.54</v>
      </c>
      <c r="Q29" s="641" t="str">
        <f t="shared" si="3"/>
        <v/>
      </c>
      <c r="R29" s="642" t="str">
        <f t="shared" si="3"/>
        <v/>
      </c>
      <c r="S29" s="642">
        <f t="shared" si="3"/>
        <v>50.54</v>
      </c>
      <c r="T29" s="642" t="str">
        <f t="shared" si="3"/>
        <v/>
      </c>
      <c r="U29" s="642" t="str">
        <f t="shared" si="3"/>
        <v/>
      </c>
      <c r="V29" s="642" t="str">
        <f t="shared" si="3"/>
        <v/>
      </c>
      <c r="W29" s="642" t="str">
        <f t="shared" si="3"/>
        <v/>
      </c>
      <c r="X29" s="643" t="str">
        <f t="shared" si="3"/>
        <v/>
      </c>
    </row>
    <row r="30" spans="3:24" s="24" customFormat="1" ht="15" customHeight="1" x14ac:dyDescent="0.25">
      <c r="C30" s="266"/>
      <c r="D30" s="23" t="s">
        <v>2</v>
      </c>
      <c r="E30" s="23" t="s">
        <v>13</v>
      </c>
      <c r="F30" s="72">
        <v>118246</v>
      </c>
      <c r="G30" s="271">
        <f>'Inputs - network configuration'!H57</f>
        <v>12.044999999999998</v>
      </c>
      <c r="H30" s="272" t="s">
        <v>16</v>
      </c>
      <c r="I30" s="59"/>
      <c r="J30" s="721"/>
      <c r="K30" s="721"/>
      <c r="L30" s="730"/>
      <c r="M30" s="169">
        <f>G30*L27</f>
        <v>27.80682225296994</v>
      </c>
      <c r="N30" s="167" t="s">
        <v>16</v>
      </c>
      <c r="O30" s="68">
        <f t="shared" si="0"/>
        <v>83839156.306118578</v>
      </c>
      <c r="P30" s="635">
        <f t="shared" si="1"/>
        <v>45</v>
      </c>
      <c r="Q30" s="641" t="str">
        <f t="shared" si="3"/>
        <v/>
      </c>
      <c r="R30" s="642" t="str">
        <f t="shared" si="3"/>
        <v/>
      </c>
      <c r="S30" s="642">
        <f t="shared" si="3"/>
        <v>45</v>
      </c>
      <c r="T30" s="642" t="str">
        <f t="shared" si="3"/>
        <v/>
      </c>
      <c r="U30" s="642" t="str">
        <f t="shared" si="3"/>
        <v/>
      </c>
      <c r="V30" s="642" t="str">
        <f t="shared" si="3"/>
        <v/>
      </c>
      <c r="W30" s="642" t="str">
        <f t="shared" si="3"/>
        <v/>
      </c>
      <c r="X30" s="643" t="str">
        <f t="shared" si="3"/>
        <v/>
      </c>
    </row>
    <row r="31" spans="3:24" s="24" customFormat="1" ht="15" customHeight="1" x14ac:dyDescent="0.25">
      <c r="C31" s="273" t="s">
        <v>24</v>
      </c>
      <c r="D31" s="22" t="s">
        <v>3</v>
      </c>
      <c r="E31" s="22" t="s">
        <v>21</v>
      </c>
      <c r="F31" s="274" t="s">
        <v>205</v>
      </c>
      <c r="G31" s="193">
        <v>2</v>
      </c>
      <c r="H31" s="275" t="s">
        <v>22</v>
      </c>
      <c r="I31" s="177">
        <f>VLOOKUP(F31,std_est,10,FALSE)*G31</f>
        <v>81.5</v>
      </c>
      <c r="J31" s="722">
        <f>SUM(I31:I34)</f>
        <v>90.7</v>
      </c>
      <c r="K31" s="722">
        <f>F9</f>
        <v>67.093048711244421</v>
      </c>
      <c r="L31" s="731">
        <f>K31/J31</f>
        <v>0.73972490310082051</v>
      </c>
      <c r="M31" s="171">
        <f>G31*L31</f>
        <v>1.479449806201641</v>
      </c>
      <c r="N31" s="166" t="s">
        <v>191</v>
      </c>
      <c r="O31" s="66">
        <f t="shared" si="0"/>
        <v>14256926.659884788</v>
      </c>
      <c r="P31" s="633">
        <f t="shared" si="1"/>
        <v>45</v>
      </c>
      <c r="Q31" s="641" t="str">
        <f t="shared" si="3"/>
        <v/>
      </c>
      <c r="R31" s="642" t="str">
        <f t="shared" si="3"/>
        <v/>
      </c>
      <c r="S31" s="642" t="str">
        <f t="shared" si="3"/>
        <v/>
      </c>
      <c r="T31" s="642">
        <f t="shared" si="3"/>
        <v>45</v>
      </c>
      <c r="U31" s="642" t="str">
        <f t="shared" si="3"/>
        <v/>
      </c>
      <c r="V31" s="642" t="str">
        <f t="shared" si="3"/>
        <v/>
      </c>
      <c r="W31" s="642" t="str">
        <f t="shared" si="3"/>
        <v/>
      </c>
      <c r="X31" s="643" t="str">
        <f t="shared" si="3"/>
        <v/>
      </c>
    </row>
    <row r="32" spans="3:24" s="24" customFormat="1" ht="15" customHeight="1" x14ac:dyDescent="0.25">
      <c r="C32" s="266"/>
      <c r="D32" s="23" t="s">
        <v>3</v>
      </c>
      <c r="E32" s="23" t="s">
        <v>25</v>
      </c>
      <c r="F32" s="72">
        <v>118123</v>
      </c>
      <c r="G32" s="194">
        <v>1</v>
      </c>
      <c r="H32" s="268" t="s">
        <v>22</v>
      </c>
      <c r="I32" s="64">
        <f>VLOOKUP(F32,std_est,10,FALSE)*G32</f>
        <v>9.1999999999999993</v>
      </c>
      <c r="J32" s="720"/>
      <c r="K32" s="720"/>
      <c r="L32" s="732"/>
      <c r="M32" s="169">
        <f>G32*L31</f>
        <v>0.73972490310082051</v>
      </c>
      <c r="N32" s="166" t="s">
        <v>191</v>
      </c>
      <c r="O32" s="66">
        <f t="shared" si="0"/>
        <v>1432372.2339184985</v>
      </c>
      <c r="P32" s="634">
        <f t="shared" si="1"/>
        <v>45</v>
      </c>
      <c r="Q32" s="641" t="str">
        <f t="shared" si="3"/>
        <v/>
      </c>
      <c r="R32" s="642" t="str">
        <f t="shared" si="3"/>
        <v/>
      </c>
      <c r="S32" s="642" t="str">
        <f t="shared" si="3"/>
        <v/>
      </c>
      <c r="T32" s="642">
        <f t="shared" si="3"/>
        <v>45</v>
      </c>
      <c r="U32" s="642" t="str">
        <f t="shared" si="3"/>
        <v/>
      </c>
      <c r="V32" s="642" t="str">
        <f t="shared" si="3"/>
        <v/>
      </c>
      <c r="W32" s="642" t="str">
        <f t="shared" si="3"/>
        <v/>
      </c>
      <c r="X32" s="643" t="str">
        <f t="shared" si="3"/>
        <v/>
      </c>
    </row>
    <row r="33" spans="2:24" s="24" customFormat="1" ht="15" customHeight="1" x14ac:dyDescent="0.25">
      <c r="C33" s="266"/>
      <c r="D33" s="23" t="s">
        <v>2</v>
      </c>
      <c r="E33" s="23" t="s">
        <v>217</v>
      </c>
      <c r="F33" s="72">
        <v>118229</v>
      </c>
      <c r="G33" s="270">
        <f>'Inputs - network configuration'!G58/2</f>
        <v>26.982285714285716</v>
      </c>
      <c r="H33" s="268" t="s">
        <v>16</v>
      </c>
      <c r="I33" s="59"/>
      <c r="J33" s="720"/>
      <c r="K33" s="720"/>
      <c r="L33" s="732"/>
      <c r="M33" s="169">
        <f>G33*L31</f>
        <v>19.959468685438654</v>
      </c>
      <c r="N33" s="166" t="s">
        <v>16</v>
      </c>
      <c r="O33" s="66">
        <f t="shared" si="0"/>
        <v>37054617.291345738</v>
      </c>
      <c r="P33" s="634">
        <f t="shared" si="1"/>
        <v>50.54</v>
      </c>
      <c r="Q33" s="641" t="str">
        <f t="shared" si="3"/>
        <v/>
      </c>
      <c r="R33" s="642" t="str">
        <f t="shared" si="3"/>
        <v/>
      </c>
      <c r="S33" s="642">
        <f t="shared" si="3"/>
        <v>50.54</v>
      </c>
      <c r="T33" s="642" t="str">
        <f t="shared" si="3"/>
        <v/>
      </c>
      <c r="U33" s="642" t="str">
        <f t="shared" si="3"/>
        <v/>
      </c>
      <c r="V33" s="642" t="str">
        <f t="shared" si="3"/>
        <v/>
      </c>
      <c r="W33" s="642" t="str">
        <f t="shared" si="3"/>
        <v/>
      </c>
      <c r="X33" s="643" t="str">
        <f t="shared" si="3"/>
        <v/>
      </c>
    </row>
    <row r="34" spans="2:24" s="24" customFormat="1" ht="15" customHeight="1" x14ac:dyDescent="0.25">
      <c r="C34" s="276"/>
      <c r="D34" s="277" t="s">
        <v>2</v>
      </c>
      <c r="E34" s="277" t="s">
        <v>13</v>
      </c>
      <c r="F34" s="73">
        <v>118246</v>
      </c>
      <c r="G34" s="271">
        <f>'Inputs - network configuration'!H58</f>
        <v>0</v>
      </c>
      <c r="H34" s="272" t="s">
        <v>16</v>
      </c>
      <c r="I34" s="59"/>
      <c r="J34" s="720"/>
      <c r="K34" s="720"/>
      <c r="L34" s="732"/>
      <c r="M34" s="169">
        <f>G34*L31</f>
        <v>0</v>
      </c>
      <c r="N34" s="166" t="s">
        <v>16</v>
      </c>
      <c r="O34" s="66">
        <f t="shared" si="0"/>
        <v>0</v>
      </c>
      <c r="P34" s="634">
        <f t="shared" si="1"/>
        <v>45</v>
      </c>
      <c r="Q34" s="641" t="str">
        <f t="shared" si="3"/>
        <v/>
      </c>
      <c r="R34" s="642" t="str">
        <f t="shared" si="3"/>
        <v/>
      </c>
      <c r="S34" s="642">
        <f t="shared" si="3"/>
        <v>45</v>
      </c>
      <c r="T34" s="642" t="str">
        <f t="shared" si="3"/>
        <v/>
      </c>
      <c r="U34" s="642" t="str">
        <f t="shared" si="3"/>
        <v/>
      </c>
      <c r="V34" s="642" t="str">
        <f t="shared" si="3"/>
        <v/>
      </c>
      <c r="W34" s="642" t="str">
        <f t="shared" si="3"/>
        <v/>
      </c>
      <c r="X34" s="643" t="str">
        <f t="shared" si="3"/>
        <v/>
      </c>
    </row>
    <row r="35" spans="2:24" s="24" customFormat="1" ht="15" customHeight="1" x14ac:dyDescent="0.25">
      <c r="C35" s="273" t="s">
        <v>73</v>
      </c>
      <c r="D35" s="22" t="s">
        <v>5</v>
      </c>
      <c r="E35" s="22" t="s">
        <v>14</v>
      </c>
      <c r="F35" s="274">
        <v>384667</v>
      </c>
      <c r="G35" s="279">
        <f>'Inputs - network configuration'!E36</f>
        <v>0.38600000000000001</v>
      </c>
      <c r="H35" s="275" t="s">
        <v>16</v>
      </c>
      <c r="I35" s="178">
        <f>VLOOKUP(F35,std_est,10,FALSE)*3</f>
        <v>14.107500000000002</v>
      </c>
      <c r="J35" s="179">
        <f>I35</f>
        <v>14.107500000000002</v>
      </c>
      <c r="K35" s="582">
        <f>G12</f>
        <v>40.202254104555799</v>
      </c>
      <c r="L35" s="180">
        <f t="shared" ref="L35:L42" si="4">K35/J35</f>
        <v>2.8497078932876692</v>
      </c>
      <c r="M35" s="171">
        <f t="shared" ref="M35:M44" si="5">G35*L35</f>
        <v>1.0999872468090404</v>
      </c>
      <c r="N35" s="168" t="s">
        <v>16</v>
      </c>
      <c r="O35" s="70">
        <f t="shared" si="0"/>
        <v>904110.80178964941</v>
      </c>
      <c r="P35" s="633">
        <f t="shared" si="1"/>
        <v>60</v>
      </c>
      <c r="Q35" s="641" t="str">
        <f t="shared" si="3"/>
        <v/>
      </c>
      <c r="R35" s="642" t="str">
        <f t="shared" si="3"/>
        <v/>
      </c>
      <c r="S35" s="642" t="str">
        <f t="shared" si="3"/>
        <v/>
      </c>
      <c r="T35" s="642" t="str">
        <f t="shared" si="3"/>
        <v/>
      </c>
      <c r="U35" s="642" t="str">
        <f t="shared" si="3"/>
        <v/>
      </c>
      <c r="V35" s="642">
        <f t="shared" si="3"/>
        <v>60</v>
      </c>
      <c r="W35" s="642" t="str">
        <f t="shared" si="3"/>
        <v/>
      </c>
      <c r="X35" s="643" t="str">
        <f t="shared" si="3"/>
        <v/>
      </c>
    </row>
    <row r="36" spans="2:24" s="24" customFormat="1" ht="15" customHeight="1" x14ac:dyDescent="0.25">
      <c r="C36" s="276"/>
      <c r="D36" s="277" t="s">
        <v>6</v>
      </c>
      <c r="E36" s="277" t="s">
        <v>199</v>
      </c>
      <c r="F36" s="73">
        <v>118120</v>
      </c>
      <c r="G36" s="73">
        <v>1</v>
      </c>
      <c r="H36" s="272" t="s">
        <v>22</v>
      </c>
      <c r="I36" s="181">
        <f>VLOOKUP(F36,std_est,10,FALSE)*G36</f>
        <v>2.5499999999999998</v>
      </c>
      <c r="J36" s="182">
        <f t="shared" ref="J36" si="6">I36</f>
        <v>2.5499999999999998</v>
      </c>
      <c r="K36" s="581">
        <f>G12</f>
        <v>40.202254104555799</v>
      </c>
      <c r="L36" s="183">
        <f t="shared" si="4"/>
        <v>15.765589844923843</v>
      </c>
      <c r="M36" s="170">
        <f>G36*L36</f>
        <v>15.765589844923843</v>
      </c>
      <c r="N36" s="167" t="s">
        <v>191</v>
      </c>
      <c r="O36" s="71">
        <f t="shared" si="0"/>
        <v>13537533.625679826</v>
      </c>
      <c r="P36" s="635">
        <f t="shared" si="1"/>
        <v>40.58</v>
      </c>
      <c r="Q36" s="641" t="str">
        <f t="shared" si="3"/>
        <v/>
      </c>
      <c r="R36" s="642" t="str">
        <f t="shared" si="3"/>
        <v/>
      </c>
      <c r="S36" s="642" t="str">
        <f t="shared" si="3"/>
        <v/>
      </c>
      <c r="T36" s="642" t="str">
        <f t="shared" si="3"/>
        <v/>
      </c>
      <c r="U36" s="642" t="str">
        <f t="shared" si="3"/>
        <v/>
      </c>
      <c r="V36" s="642" t="str">
        <f t="shared" si="3"/>
        <v/>
      </c>
      <c r="W36" s="642">
        <f t="shared" si="3"/>
        <v>40.58</v>
      </c>
      <c r="X36" s="643" t="str">
        <f t="shared" si="3"/>
        <v/>
      </c>
    </row>
    <row r="37" spans="2:24" s="24" customFormat="1" ht="15" customHeight="1" x14ac:dyDescent="0.25">
      <c r="C37" s="266" t="s">
        <v>35</v>
      </c>
      <c r="D37" s="23" t="s">
        <v>6</v>
      </c>
      <c r="E37" s="23" t="s">
        <v>101</v>
      </c>
      <c r="F37" s="72">
        <v>1695096</v>
      </c>
      <c r="G37" s="72">
        <v>1</v>
      </c>
      <c r="H37" s="261" t="s">
        <v>22</v>
      </c>
      <c r="I37" s="184">
        <f>VLOOKUP(F37,std_est,10,FALSE)*G37</f>
        <v>0.86249999999999993</v>
      </c>
      <c r="J37" s="185">
        <f t="shared" ref="J37:J39" si="7">I37</f>
        <v>0.86249999999999993</v>
      </c>
      <c r="K37" s="580">
        <f>E12</f>
        <v>281.41577873189055</v>
      </c>
      <c r="L37" s="186">
        <f t="shared" si="4"/>
        <v>326.27916374711953</v>
      </c>
      <c r="M37" s="169">
        <f t="shared" si="5"/>
        <v>326.27916374711953</v>
      </c>
      <c r="N37" s="166" t="s">
        <v>191</v>
      </c>
      <c r="O37" s="66">
        <f t="shared" si="0"/>
        <v>99273372.082534835</v>
      </c>
      <c r="P37" s="633">
        <f t="shared" si="1"/>
        <v>40.58</v>
      </c>
      <c r="Q37" s="641" t="str">
        <f t="shared" si="3"/>
        <v/>
      </c>
      <c r="R37" s="642" t="str">
        <f t="shared" si="3"/>
        <v/>
      </c>
      <c r="S37" s="642" t="str">
        <f t="shared" si="3"/>
        <v/>
      </c>
      <c r="T37" s="642" t="str">
        <f t="shared" si="3"/>
        <v/>
      </c>
      <c r="U37" s="642" t="str">
        <f t="shared" si="3"/>
        <v/>
      </c>
      <c r="V37" s="642" t="str">
        <f t="shared" si="3"/>
        <v/>
      </c>
      <c r="W37" s="642">
        <f t="shared" si="3"/>
        <v>40.58</v>
      </c>
      <c r="X37" s="643" t="str">
        <f t="shared" si="3"/>
        <v/>
      </c>
    </row>
    <row r="38" spans="2:24" s="24" customFormat="1" ht="15" customHeight="1" x14ac:dyDescent="0.25">
      <c r="C38" s="266"/>
      <c r="D38" s="23" t="s">
        <v>5</v>
      </c>
      <c r="E38" s="23" t="s">
        <v>14</v>
      </c>
      <c r="F38" s="72">
        <v>118167</v>
      </c>
      <c r="G38" s="270">
        <f>'Inputs - network configuration'!E37</f>
        <v>4.2409999999999997</v>
      </c>
      <c r="H38" s="261" t="s">
        <v>16</v>
      </c>
      <c r="I38" s="187">
        <f>VLOOKUP(F38,std_est,10,FALSE)</f>
        <v>6.0040000000000004</v>
      </c>
      <c r="J38" s="187">
        <f t="shared" si="7"/>
        <v>6.0040000000000004</v>
      </c>
      <c r="K38" s="580">
        <f>E12*'Inputs - network configuration'!G37</f>
        <v>140.70788936594528</v>
      </c>
      <c r="L38" s="186">
        <f t="shared" si="4"/>
        <v>23.435691100257372</v>
      </c>
      <c r="M38" s="169">
        <f t="shared" si="5"/>
        <v>99.390765956191515</v>
      </c>
      <c r="N38" s="166" t="s">
        <v>16</v>
      </c>
      <c r="O38" s="66">
        <f t="shared" si="0"/>
        <v>69563204.697994456</v>
      </c>
      <c r="P38" s="634">
        <f t="shared" si="1"/>
        <v>60</v>
      </c>
      <c r="Q38" s="641" t="str">
        <f t="shared" si="3"/>
        <v/>
      </c>
      <c r="R38" s="642" t="str">
        <f t="shared" si="3"/>
        <v/>
      </c>
      <c r="S38" s="642" t="str">
        <f t="shared" si="3"/>
        <v/>
      </c>
      <c r="T38" s="642" t="str">
        <f t="shared" si="3"/>
        <v/>
      </c>
      <c r="U38" s="642" t="str">
        <f t="shared" si="3"/>
        <v/>
      </c>
      <c r="V38" s="642">
        <f t="shared" si="3"/>
        <v>60</v>
      </c>
      <c r="W38" s="642" t="str">
        <f t="shared" si="3"/>
        <v/>
      </c>
      <c r="X38" s="643" t="str">
        <f t="shared" si="3"/>
        <v/>
      </c>
    </row>
    <row r="39" spans="2:24" s="24" customFormat="1" ht="15" customHeight="1" x14ac:dyDescent="0.25">
      <c r="C39" s="266"/>
      <c r="D39" s="23" t="s">
        <v>5</v>
      </c>
      <c r="E39" s="23" t="s">
        <v>15</v>
      </c>
      <c r="F39" s="73">
        <v>118168</v>
      </c>
      <c r="G39" s="271">
        <f>'Inputs - network configuration'!D37</f>
        <v>4.8890000000000002</v>
      </c>
      <c r="H39" s="261" t="s">
        <v>16</v>
      </c>
      <c r="I39" s="188">
        <f>VLOOKUP(F39,std_est,10,FALSE)</f>
        <v>5.8520000000000003</v>
      </c>
      <c r="J39" s="188">
        <f t="shared" si="7"/>
        <v>5.8520000000000003</v>
      </c>
      <c r="K39" s="581">
        <f>E12*'Inputs - network configuration'!F37</f>
        <v>140.70788936594528</v>
      </c>
      <c r="L39" s="186">
        <f t="shared" si="4"/>
        <v>24.044410349614708</v>
      </c>
      <c r="M39" s="170">
        <f t="shared" si="5"/>
        <v>117.55312219926631</v>
      </c>
      <c r="N39" s="167" t="s">
        <v>16</v>
      </c>
      <c r="O39" s="68">
        <f t="shared" si="0"/>
        <v>21005672.733384389</v>
      </c>
      <c r="P39" s="635">
        <f t="shared" si="1"/>
        <v>45</v>
      </c>
      <c r="Q39" s="641" t="str">
        <f t="shared" si="3"/>
        <v/>
      </c>
      <c r="R39" s="642" t="str">
        <f t="shared" si="3"/>
        <v/>
      </c>
      <c r="S39" s="642" t="str">
        <f t="shared" si="3"/>
        <v/>
      </c>
      <c r="T39" s="642" t="str">
        <f t="shared" si="3"/>
        <v/>
      </c>
      <c r="U39" s="642" t="str">
        <f t="shared" si="3"/>
        <v/>
      </c>
      <c r="V39" s="642">
        <f t="shared" si="3"/>
        <v>45</v>
      </c>
      <c r="W39" s="642" t="str">
        <f t="shared" si="3"/>
        <v/>
      </c>
      <c r="X39" s="643" t="str">
        <f t="shared" si="3"/>
        <v/>
      </c>
    </row>
    <row r="40" spans="2:24" s="24" customFormat="1" ht="15" customHeight="1" x14ac:dyDescent="0.25">
      <c r="C40" s="273" t="s">
        <v>36</v>
      </c>
      <c r="D40" s="22" t="s">
        <v>6</v>
      </c>
      <c r="E40" s="22" t="s">
        <v>102</v>
      </c>
      <c r="F40" s="274">
        <v>165193</v>
      </c>
      <c r="G40" s="193">
        <v>1</v>
      </c>
      <c r="H40" s="275" t="s">
        <v>22</v>
      </c>
      <c r="I40" s="178">
        <f>VLOOKUP(F40,std_est,10,FALSE)*G40</f>
        <v>0.36224999999999996</v>
      </c>
      <c r="J40" s="179">
        <f>I40</f>
        <v>0.36224999999999996</v>
      </c>
      <c r="K40" s="582">
        <f>F12</f>
        <v>80.404508209111597</v>
      </c>
      <c r="L40" s="189">
        <f t="shared" si="4"/>
        <v>221.95861479395887</v>
      </c>
      <c r="M40" s="171">
        <f t="shared" si="5"/>
        <v>221.95861479395887</v>
      </c>
      <c r="N40" s="166" t="s">
        <v>191</v>
      </c>
      <c r="O40" s="65">
        <f t="shared" si="0"/>
        <v>16183446.521857129</v>
      </c>
      <c r="P40" s="633">
        <f t="shared" si="1"/>
        <v>40.58</v>
      </c>
      <c r="Q40" s="641" t="str">
        <f t="shared" si="3"/>
        <v/>
      </c>
      <c r="R40" s="642" t="str">
        <f t="shared" si="3"/>
        <v/>
      </c>
      <c r="S40" s="642" t="str">
        <f t="shared" si="3"/>
        <v/>
      </c>
      <c r="T40" s="642" t="str">
        <f t="shared" si="3"/>
        <v/>
      </c>
      <c r="U40" s="642" t="str">
        <f t="shared" si="3"/>
        <v/>
      </c>
      <c r="V40" s="642" t="str">
        <f t="shared" si="3"/>
        <v/>
      </c>
      <c r="W40" s="642">
        <f t="shared" si="3"/>
        <v>40.58</v>
      </c>
      <c r="X40" s="643" t="str">
        <f t="shared" si="3"/>
        <v/>
      </c>
    </row>
    <row r="41" spans="2:24" s="24" customFormat="1" ht="15" customHeight="1" x14ac:dyDescent="0.25">
      <c r="C41" s="266"/>
      <c r="D41" s="23" t="s">
        <v>5</v>
      </c>
      <c r="E41" s="23" t="s">
        <v>14</v>
      </c>
      <c r="F41" s="72">
        <v>118167</v>
      </c>
      <c r="G41" s="270">
        <f>'Inputs - network configuration'!E38</f>
        <v>8.1240000000000006</v>
      </c>
      <c r="H41" s="268" t="s">
        <v>16</v>
      </c>
      <c r="I41" s="187">
        <f>VLOOKUP(F41,std_est,10,FALSE)</f>
        <v>6.0040000000000004</v>
      </c>
      <c r="J41" s="187">
        <f t="shared" ref="J41:J42" si="8">I41</f>
        <v>6.0040000000000004</v>
      </c>
      <c r="K41" s="580">
        <f>F12*'Inputs - network configuration'!G38</f>
        <v>20.101127052277899</v>
      </c>
      <c r="L41" s="186">
        <f t="shared" si="4"/>
        <v>3.3479558714653392</v>
      </c>
      <c r="M41" s="169">
        <f t="shared" si="5"/>
        <v>27.198793499784419</v>
      </c>
      <c r="N41" s="166" t="s">
        <v>16</v>
      </c>
      <c r="O41" s="66">
        <f t="shared" si="0"/>
        <v>19036328.189662378</v>
      </c>
      <c r="P41" s="634">
        <f t="shared" si="1"/>
        <v>60</v>
      </c>
      <c r="Q41" s="641" t="str">
        <f t="shared" si="3"/>
        <v/>
      </c>
      <c r="R41" s="642" t="str">
        <f t="shared" si="3"/>
        <v/>
      </c>
      <c r="S41" s="642" t="str">
        <f t="shared" si="3"/>
        <v/>
      </c>
      <c r="T41" s="642" t="str">
        <f t="shared" si="3"/>
        <v/>
      </c>
      <c r="U41" s="642" t="str">
        <f t="shared" si="3"/>
        <v/>
      </c>
      <c r="V41" s="642">
        <f t="shared" si="3"/>
        <v>60</v>
      </c>
      <c r="W41" s="642" t="str">
        <f t="shared" si="3"/>
        <v/>
      </c>
      <c r="X41" s="643" t="str">
        <f t="shared" si="3"/>
        <v/>
      </c>
    </row>
    <row r="42" spans="2:24" s="24" customFormat="1" ht="15" customHeight="1" x14ac:dyDescent="0.25">
      <c r="C42" s="276"/>
      <c r="D42" s="277" t="s">
        <v>5</v>
      </c>
      <c r="E42" s="277" t="s">
        <v>15</v>
      </c>
      <c r="F42" s="73">
        <v>118168</v>
      </c>
      <c r="G42" s="271">
        <f>'Inputs - network configuration'!D38</f>
        <v>45.86</v>
      </c>
      <c r="H42" s="272" t="s">
        <v>16</v>
      </c>
      <c r="I42" s="188">
        <f>VLOOKUP(F42,std_est,10,FALSE)</f>
        <v>5.8520000000000003</v>
      </c>
      <c r="J42" s="188">
        <f t="shared" si="8"/>
        <v>5.8520000000000003</v>
      </c>
      <c r="K42" s="581">
        <f>F12*'Inputs - network configuration'!F38</f>
        <v>60.303381156833694</v>
      </c>
      <c r="L42" s="186">
        <f t="shared" si="4"/>
        <v>10.304747292692019</v>
      </c>
      <c r="M42" s="170">
        <f t="shared" si="5"/>
        <v>472.57571084285598</v>
      </c>
      <c r="N42" s="167" t="s">
        <v>16</v>
      </c>
      <c r="O42" s="68">
        <f t="shared" si="0"/>
        <v>84444977.198346853</v>
      </c>
      <c r="P42" s="635">
        <f t="shared" si="1"/>
        <v>45</v>
      </c>
      <c r="Q42" s="641" t="str">
        <f t="shared" si="3"/>
        <v/>
      </c>
      <c r="R42" s="642" t="str">
        <f t="shared" si="3"/>
        <v/>
      </c>
      <c r="S42" s="642" t="str">
        <f t="shared" si="3"/>
        <v/>
      </c>
      <c r="T42" s="642" t="str">
        <f t="shared" si="3"/>
        <v/>
      </c>
      <c r="U42" s="642" t="str">
        <f t="shared" si="3"/>
        <v/>
      </c>
      <c r="V42" s="642">
        <f t="shared" si="3"/>
        <v>45</v>
      </c>
      <c r="W42" s="642" t="str">
        <f t="shared" si="3"/>
        <v/>
      </c>
      <c r="X42" s="643" t="str">
        <f t="shared" si="3"/>
        <v/>
      </c>
    </row>
    <row r="43" spans="2:24" s="24" customFormat="1" ht="15" customHeight="1" x14ac:dyDescent="0.25">
      <c r="C43" s="273" t="s">
        <v>7</v>
      </c>
      <c r="D43" s="22" t="s">
        <v>7</v>
      </c>
      <c r="E43" s="22" t="s">
        <v>11</v>
      </c>
      <c r="F43" s="278" t="s">
        <v>128</v>
      </c>
      <c r="G43" s="279">
        <f>'Inputs - network configuration'!D39</f>
        <v>1611.402448011457</v>
      </c>
      <c r="H43" s="280" t="s">
        <v>16</v>
      </c>
      <c r="I43" s="190"/>
      <c r="J43" s="163"/>
      <c r="K43" s="163"/>
      <c r="L43" s="283">
        <v>1</v>
      </c>
      <c r="M43" s="197">
        <f t="shared" si="5"/>
        <v>1611.402448011457</v>
      </c>
      <c r="N43" s="168" t="s">
        <v>16</v>
      </c>
      <c r="O43" s="65">
        <f t="shared" si="0"/>
        <v>450572295.50072354</v>
      </c>
      <c r="P43" s="637">
        <f t="shared" si="1"/>
        <v>60</v>
      </c>
      <c r="Q43" s="641" t="str">
        <f t="shared" si="3"/>
        <v/>
      </c>
      <c r="R43" s="642" t="str">
        <f t="shared" si="3"/>
        <v/>
      </c>
      <c r="S43" s="642" t="str">
        <f t="shared" si="3"/>
        <v/>
      </c>
      <c r="T43" s="642" t="str">
        <f t="shared" si="3"/>
        <v/>
      </c>
      <c r="U43" s="642" t="str">
        <f t="shared" si="3"/>
        <v/>
      </c>
      <c r="V43" s="642" t="str">
        <f t="shared" si="3"/>
        <v/>
      </c>
      <c r="W43" s="642" t="str">
        <f t="shared" si="3"/>
        <v/>
      </c>
      <c r="X43" s="643">
        <f t="shared" si="3"/>
        <v>60</v>
      </c>
    </row>
    <row r="44" spans="2:24" s="24" customFormat="1" ht="15" customHeight="1" x14ac:dyDescent="0.25">
      <c r="C44" s="276"/>
      <c r="D44" s="277" t="s">
        <v>7</v>
      </c>
      <c r="E44" s="277" t="s">
        <v>12</v>
      </c>
      <c r="F44" s="281" t="s">
        <v>129</v>
      </c>
      <c r="G44" s="220">
        <f>'Inputs - network configuration'!E39</f>
        <v>1330.5813623313868</v>
      </c>
      <c r="H44" s="282" t="s">
        <v>16</v>
      </c>
      <c r="I44" s="191"/>
      <c r="J44" s="165"/>
      <c r="K44" s="165"/>
      <c r="L44" s="284">
        <v>1</v>
      </c>
      <c r="M44" s="198">
        <f t="shared" si="5"/>
        <v>1330.5813623313868</v>
      </c>
      <c r="N44" s="167" t="s">
        <v>16</v>
      </c>
      <c r="O44" s="68">
        <f t="shared" si="0"/>
        <v>71693054.383777454</v>
      </c>
      <c r="P44" s="635">
        <f t="shared" si="1"/>
        <v>45</v>
      </c>
      <c r="Q44" s="644" t="str">
        <f t="shared" si="3"/>
        <v/>
      </c>
      <c r="R44" s="645" t="str">
        <f t="shared" si="3"/>
        <v/>
      </c>
      <c r="S44" s="645" t="str">
        <f t="shared" si="3"/>
        <v/>
      </c>
      <c r="T44" s="645" t="str">
        <f t="shared" si="3"/>
        <v/>
      </c>
      <c r="U44" s="645" t="str">
        <f t="shared" si="3"/>
        <v/>
      </c>
      <c r="V44" s="645" t="str">
        <f t="shared" si="3"/>
        <v/>
      </c>
      <c r="W44" s="645" t="str">
        <f t="shared" si="3"/>
        <v/>
      </c>
      <c r="X44" s="646">
        <f t="shared" si="3"/>
        <v>45</v>
      </c>
    </row>
    <row r="45" spans="2:24" s="24" customFormat="1" ht="15" customHeight="1" x14ac:dyDescent="0.25">
      <c r="F45" s="37"/>
      <c r="H45" s="255"/>
      <c r="I45" s="56"/>
      <c r="O45" s="74">
        <f>SUM(O18:O44)</f>
        <v>1448321989.3839917</v>
      </c>
      <c r="Q45" s="647">
        <f>SUMPRODUCT($O18:$O44,Q18:Q44)/SUMIFS($O18:$O44,$D18:$D44,Q17)</f>
        <v>49.240045907656068</v>
      </c>
      <c r="R45" s="648">
        <f t="shared" ref="R45:X45" si="9">SUMPRODUCT($O18:$O44,R18:R44)/SUMIFS($O18:$O44,$D18:$D44,R17)</f>
        <v>57.57</v>
      </c>
      <c r="S45" s="648">
        <f t="shared" si="9"/>
        <v>47.700244945362407</v>
      </c>
      <c r="T45" s="648">
        <f t="shared" si="9"/>
        <v>44.999999999999993</v>
      </c>
      <c r="U45" s="648">
        <f t="shared" si="9"/>
        <v>57.57</v>
      </c>
      <c r="V45" s="648">
        <f t="shared" si="9"/>
        <v>51.886509809065608</v>
      </c>
      <c r="W45" s="648">
        <f t="shared" si="9"/>
        <v>40.58</v>
      </c>
      <c r="X45" s="649">
        <f t="shared" si="9"/>
        <v>57.940901467052164</v>
      </c>
    </row>
    <row r="46" spans="2:24" s="24" customFormat="1" ht="15" customHeight="1" x14ac:dyDescent="0.25">
      <c r="H46" s="54"/>
      <c r="L46" s="48"/>
    </row>
    <row r="47" spans="2:24" s="24" customFormat="1" ht="15" customHeight="1" x14ac:dyDescent="0.25">
      <c r="B47" s="39" t="s">
        <v>100</v>
      </c>
      <c r="H47" s="54"/>
      <c r="I47" s="56"/>
      <c r="M47" s="75"/>
    </row>
    <row r="48" spans="2:24" s="24" customFormat="1" ht="15" customHeight="1" x14ac:dyDescent="0.25">
      <c r="B48" s="39"/>
      <c r="F48" s="77"/>
      <c r="H48" s="54"/>
      <c r="I48" s="56"/>
      <c r="M48" s="75"/>
    </row>
    <row r="49" spans="2:31" s="24" customFormat="1" ht="15" customHeight="1" x14ac:dyDescent="0.25">
      <c r="C49" s="57" t="s">
        <v>47</v>
      </c>
      <c r="D49" s="76" t="s">
        <v>71</v>
      </c>
      <c r="E49" s="610" t="s">
        <v>428</v>
      </c>
      <c r="H49" s="264" t="s">
        <v>250</v>
      </c>
      <c r="I49" s="265"/>
      <c r="J49" s="44"/>
      <c r="K49" s="44"/>
      <c r="L49" s="44"/>
      <c r="M49" s="44"/>
      <c r="N49" s="44"/>
    </row>
    <row r="50" spans="2:31" s="24" customFormat="1" ht="15" customHeight="1" x14ac:dyDescent="0.25">
      <c r="C50" s="30" t="s">
        <v>0</v>
      </c>
      <c r="D50" s="70">
        <f t="shared" ref="D50:D57" si="10">SUMIFS($O$18:$O$44,$D$18:$D$44,C50)</f>
        <v>243360795.94569272</v>
      </c>
      <c r="E50" s="650">
        <f>Q45</f>
        <v>49.240045907656068</v>
      </c>
      <c r="F50" s="77"/>
      <c r="H50" s="262" t="s">
        <v>244</v>
      </c>
      <c r="I50" s="44"/>
      <c r="J50" s="95" t="s">
        <v>245</v>
      </c>
      <c r="K50" s="95" t="s">
        <v>246</v>
      </c>
      <c r="L50" s="95" t="s">
        <v>247</v>
      </c>
      <c r="M50" s="95" t="s">
        <v>248</v>
      </c>
      <c r="N50" s="95" t="s">
        <v>249</v>
      </c>
    </row>
    <row r="51" spans="2:31" s="24" customFormat="1" ht="15" customHeight="1" x14ac:dyDescent="0.25">
      <c r="C51" s="31" t="s">
        <v>1</v>
      </c>
      <c r="D51" s="79">
        <f t="shared" si="10"/>
        <v>56309345.566553511</v>
      </c>
      <c r="E51" s="651">
        <f>R45</f>
        <v>57.57</v>
      </c>
      <c r="F51" s="77"/>
      <c r="G51" s="78"/>
      <c r="H51" s="263" t="s">
        <v>274</v>
      </c>
      <c r="I51" s="44"/>
      <c r="J51" s="96">
        <v>51879</v>
      </c>
      <c r="K51" s="96">
        <v>52176</v>
      </c>
      <c r="L51" s="96">
        <v>52635</v>
      </c>
      <c r="M51" s="96">
        <v>53270</v>
      </c>
      <c r="N51" s="96">
        <v>53774</v>
      </c>
    </row>
    <row r="52" spans="2:31" s="24" customFormat="1" ht="15" customHeight="1" x14ac:dyDescent="0.25">
      <c r="C52" s="31" t="s">
        <v>2</v>
      </c>
      <c r="D52" s="79">
        <f t="shared" si="10"/>
        <v>163559503.1963672</v>
      </c>
      <c r="E52" s="651">
        <f>S45</f>
        <v>47.700244945362407</v>
      </c>
      <c r="F52" s="77"/>
      <c r="G52" s="78"/>
      <c r="H52" s="262" t="s">
        <v>273</v>
      </c>
      <c r="I52" s="44"/>
      <c r="J52" s="44"/>
      <c r="K52" s="44"/>
      <c r="L52" s="44"/>
      <c r="M52" s="44"/>
      <c r="N52" s="44"/>
    </row>
    <row r="53" spans="2:31" s="24" customFormat="1" ht="15" customHeight="1" x14ac:dyDescent="0.25">
      <c r="C53" s="31" t="s">
        <v>3</v>
      </c>
      <c r="D53" s="79">
        <f t="shared" si="10"/>
        <v>89322366.758530989</v>
      </c>
      <c r="E53" s="651">
        <f>T45</f>
        <v>44.999999999999993</v>
      </c>
      <c r="F53" s="77"/>
      <c r="G53" s="78"/>
      <c r="H53" s="263" t="s">
        <v>20</v>
      </c>
      <c r="I53" s="44"/>
      <c r="J53" s="96">
        <v>35094</v>
      </c>
      <c r="K53" s="96">
        <v>35112</v>
      </c>
      <c r="L53" s="96">
        <v>35171</v>
      </c>
      <c r="M53" s="96">
        <v>35177</v>
      </c>
      <c r="N53" s="96">
        <v>35120</v>
      </c>
    </row>
    <row r="54" spans="2:31" s="24" customFormat="1" ht="15" customHeight="1" x14ac:dyDescent="0.25">
      <c r="C54" s="31" t="s">
        <v>4</v>
      </c>
      <c r="D54" s="79">
        <f t="shared" si="10"/>
        <v>49555982.181097075</v>
      </c>
      <c r="E54" s="651">
        <f>U45</f>
        <v>57.57</v>
      </c>
      <c r="F54" s="77"/>
      <c r="G54" s="78"/>
      <c r="H54" s="263" t="s">
        <v>7</v>
      </c>
      <c r="I54" s="44"/>
      <c r="J54" s="96">
        <v>14262</v>
      </c>
      <c r="K54" s="96">
        <v>14242</v>
      </c>
      <c r="L54" s="96">
        <v>14226</v>
      </c>
      <c r="M54" s="96">
        <v>14222</v>
      </c>
      <c r="N54" s="96">
        <v>14202</v>
      </c>
    </row>
    <row r="55" spans="2:31" s="24" customFormat="1" ht="15" customHeight="1" x14ac:dyDescent="0.25">
      <c r="C55" s="31" t="s">
        <v>5</v>
      </c>
      <c r="D55" s="79">
        <f t="shared" si="10"/>
        <v>194954293.62117773</v>
      </c>
      <c r="E55" s="651">
        <f>V45</f>
        <v>51.886509809065608</v>
      </c>
      <c r="F55" s="77"/>
      <c r="G55" s="78"/>
      <c r="H55" s="263" t="s">
        <v>262</v>
      </c>
      <c r="I55" s="44"/>
      <c r="J55" s="96">
        <v>17529</v>
      </c>
      <c r="K55" s="96">
        <v>17541</v>
      </c>
      <c r="L55" s="96">
        <v>17553</v>
      </c>
      <c r="M55" s="96">
        <v>17571</v>
      </c>
      <c r="N55" s="96">
        <v>17572</v>
      </c>
    </row>
    <row r="56" spans="2:31" s="24" customFormat="1" ht="15" customHeight="1" x14ac:dyDescent="0.25">
      <c r="C56" s="31" t="s">
        <v>6</v>
      </c>
      <c r="D56" s="79">
        <f t="shared" si="10"/>
        <v>128994352.23007178</v>
      </c>
      <c r="E56" s="651">
        <f>W45</f>
        <v>40.58</v>
      </c>
      <c r="F56" s="77"/>
      <c r="G56" s="78"/>
      <c r="H56" s="263" t="s">
        <v>269</v>
      </c>
      <c r="I56" s="44"/>
      <c r="J56" s="96">
        <v>2130</v>
      </c>
      <c r="K56" s="96">
        <v>2196</v>
      </c>
      <c r="L56" s="96">
        <v>2219</v>
      </c>
      <c r="M56" s="96">
        <v>2211</v>
      </c>
      <c r="N56" s="96">
        <v>2193</v>
      </c>
    </row>
    <row r="57" spans="2:31" s="24" customFormat="1" ht="15" customHeight="1" x14ac:dyDescent="0.25">
      <c r="C57" s="32" t="s">
        <v>7</v>
      </c>
      <c r="D57" s="71">
        <f t="shared" si="10"/>
        <v>522265349.88450098</v>
      </c>
      <c r="E57" s="652">
        <f>X45</f>
        <v>57.940901467052164</v>
      </c>
      <c r="F57" s="77"/>
      <c r="G57" s="78"/>
      <c r="H57" s="263" t="s">
        <v>270</v>
      </c>
      <c r="I57" s="44"/>
      <c r="J57" s="96">
        <v>1173</v>
      </c>
      <c r="K57" s="96">
        <v>1173</v>
      </c>
      <c r="L57" s="96">
        <v>1173</v>
      </c>
      <c r="M57" s="96">
        <v>1173</v>
      </c>
      <c r="N57" s="96">
        <v>1154</v>
      </c>
    </row>
    <row r="58" spans="2:31" s="24" customFormat="1" ht="15" customHeight="1" x14ac:dyDescent="0.25">
      <c r="D58" s="74">
        <f>SUM(D50:D57)</f>
        <v>1448321989.383992</v>
      </c>
      <c r="F58" s="77"/>
      <c r="G58" s="80"/>
      <c r="H58" s="262" t="s">
        <v>272</v>
      </c>
      <c r="I58" s="44"/>
      <c r="J58" s="44"/>
      <c r="K58" s="44"/>
      <c r="L58" s="44"/>
      <c r="M58" s="44"/>
      <c r="N58" s="44"/>
    </row>
    <row r="59" spans="2:31" s="24" customFormat="1" ht="15" customHeight="1" x14ac:dyDescent="0.25">
      <c r="F59" s="77"/>
      <c r="G59" s="23"/>
      <c r="H59" s="263" t="s">
        <v>20</v>
      </c>
      <c r="I59" s="44"/>
      <c r="J59" s="96">
        <v>16785</v>
      </c>
      <c r="K59" s="96">
        <v>17064</v>
      </c>
      <c r="L59" s="96">
        <v>17464</v>
      </c>
      <c r="M59" s="96">
        <v>18093</v>
      </c>
      <c r="N59" s="96">
        <v>18654</v>
      </c>
    </row>
    <row r="60" spans="2:31" s="24" customFormat="1" ht="15" customHeight="1" x14ac:dyDescent="0.25">
      <c r="B60" s="87"/>
      <c r="C60" s="87"/>
      <c r="D60" s="87"/>
      <c r="E60" s="87"/>
      <c r="F60" s="109"/>
      <c r="G60" s="87"/>
      <c r="H60" s="263" t="s">
        <v>7</v>
      </c>
      <c r="I60" s="44"/>
      <c r="J60" s="96">
        <v>10457</v>
      </c>
      <c r="K60" s="96">
        <v>10599</v>
      </c>
      <c r="L60" s="96">
        <v>10848</v>
      </c>
      <c r="M60" s="96">
        <v>11300</v>
      </c>
      <c r="N60" s="96">
        <v>11727</v>
      </c>
    </row>
    <row r="61" spans="2:31" s="24" customFormat="1" ht="15" customHeight="1" x14ac:dyDescent="0.25">
      <c r="B61" s="87"/>
      <c r="C61" s="108"/>
      <c r="D61" s="87"/>
      <c r="E61" s="87"/>
      <c r="F61" s="109"/>
      <c r="G61" s="87"/>
      <c r="H61" s="263" t="s">
        <v>262</v>
      </c>
      <c r="I61" s="44"/>
      <c r="J61" s="96">
        <v>5290</v>
      </c>
      <c r="K61" s="96">
        <v>5421</v>
      </c>
      <c r="L61" s="96">
        <v>5547</v>
      </c>
      <c r="M61" s="96">
        <v>5754</v>
      </c>
      <c r="N61" s="96">
        <v>5917</v>
      </c>
    </row>
    <row r="62" spans="2:31" s="24" customFormat="1" ht="15" customHeight="1" x14ac:dyDescent="0.25">
      <c r="B62" s="87"/>
      <c r="C62" s="87"/>
      <c r="D62" s="87"/>
      <c r="E62" s="87"/>
      <c r="F62" s="109"/>
      <c r="G62" s="87"/>
      <c r="H62" s="263" t="s">
        <v>269</v>
      </c>
      <c r="I62" s="44"/>
      <c r="J62" s="44">
        <v>892</v>
      </c>
      <c r="K62" s="44">
        <v>892</v>
      </c>
      <c r="L62" s="44">
        <v>913</v>
      </c>
      <c r="M62" s="44">
        <v>883</v>
      </c>
      <c r="N62" s="44">
        <v>8455</v>
      </c>
    </row>
    <row r="63" spans="2:31" s="24" customFormat="1" ht="15" customHeight="1" x14ac:dyDescent="0.25">
      <c r="B63" s="87"/>
      <c r="C63" s="108"/>
      <c r="D63" s="87"/>
      <c r="E63" s="87"/>
      <c r="F63" s="109"/>
      <c r="G63" s="87"/>
      <c r="H63" s="263" t="s">
        <v>270</v>
      </c>
      <c r="I63" s="44"/>
      <c r="J63" s="44">
        <v>146</v>
      </c>
      <c r="K63" s="44">
        <v>152</v>
      </c>
      <c r="L63" s="44">
        <v>156</v>
      </c>
      <c r="M63" s="44">
        <v>156</v>
      </c>
      <c r="N63" s="44">
        <v>164</v>
      </c>
      <c r="U63" s="87"/>
      <c r="V63" s="87"/>
      <c r="W63" s="87"/>
      <c r="X63" s="87"/>
      <c r="Y63" s="87"/>
      <c r="Z63" s="87"/>
      <c r="AA63" s="87"/>
      <c r="AB63" s="87"/>
      <c r="AC63" s="87"/>
      <c r="AD63" s="87"/>
      <c r="AE63" s="87"/>
    </row>
    <row r="64" spans="2:31" s="24" customFormat="1" ht="15" customHeight="1" x14ac:dyDescent="0.25">
      <c r="B64" s="87"/>
      <c r="C64" s="87"/>
      <c r="D64" s="87"/>
      <c r="E64" s="87"/>
      <c r="F64" s="109"/>
      <c r="G64" s="87"/>
      <c r="H64" s="262" t="s">
        <v>271</v>
      </c>
      <c r="I64" s="44"/>
      <c r="J64" s="44"/>
      <c r="K64" s="44"/>
      <c r="L64" s="44"/>
      <c r="M64" s="44"/>
      <c r="N64" s="44"/>
      <c r="U64" s="87"/>
      <c r="V64" s="87"/>
      <c r="W64" s="87"/>
      <c r="X64" s="87"/>
      <c r="Y64" s="87"/>
      <c r="Z64" s="87"/>
      <c r="AA64" s="87"/>
      <c r="AB64" s="87"/>
      <c r="AC64" s="87"/>
      <c r="AD64" s="87"/>
      <c r="AE64" s="87"/>
    </row>
    <row r="65" spans="2:31" s="24" customFormat="1" ht="15" customHeight="1" x14ac:dyDescent="0.25">
      <c r="B65" s="87"/>
      <c r="C65" s="108"/>
      <c r="D65" s="87"/>
      <c r="E65" s="87"/>
      <c r="F65" s="109"/>
      <c r="G65" s="87"/>
      <c r="H65" s="263" t="s">
        <v>90</v>
      </c>
      <c r="I65" s="44"/>
      <c r="J65" s="44">
        <v>41</v>
      </c>
      <c r="K65" s="44">
        <v>42</v>
      </c>
      <c r="L65" s="44">
        <v>42</v>
      </c>
      <c r="M65" s="44">
        <v>42</v>
      </c>
      <c r="N65" s="44">
        <v>42</v>
      </c>
      <c r="U65" s="87"/>
      <c r="V65" s="87"/>
      <c r="W65" s="87"/>
      <c r="X65" s="87"/>
      <c r="Y65" s="87"/>
      <c r="Z65" s="87"/>
      <c r="AA65" s="87"/>
      <c r="AB65" s="87"/>
      <c r="AC65" s="87"/>
      <c r="AD65" s="87"/>
      <c r="AE65" s="87"/>
    </row>
    <row r="66" spans="2:31" s="24" customFormat="1" ht="15" customHeight="1" x14ac:dyDescent="0.25">
      <c r="B66" s="87"/>
      <c r="C66" s="87"/>
      <c r="D66" s="87"/>
      <c r="E66" s="87"/>
      <c r="F66" s="109"/>
      <c r="G66" s="87"/>
      <c r="H66" s="263" t="s">
        <v>91</v>
      </c>
      <c r="I66" s="44"/>
      <c r="J66" s="44">
        <v>238</v>
      </c>
      <c r="K66" s="44">
        <v>242</v>
      </c>
      <c r="L66" s="44">
        <v>244</v>
      </c>
      <c r="M66" s="44">
        <v>246</v>
      </c>
      <c r="N66" s="44">
        <v>246</v>
      </c>
      <c r="U66" s="87"/>
      <c r="V66" s="87"/>
      <c r="W66" s="87"/>
      <c r="X66" s="87"/>
      <c r="Y66" s="87"/>
      <c r="Z66" s="87"/>
      <c r="AA66" s="87"/>
      <c r="AB66" s="87"/>
      <c r="AC66" s="87"/>
      <c r="AD66" s="87"/>
      <c r="AE66" s="87"/>
    </row>
    <row r="67" spans="2:31" s="24" customFormat="1" ht="15" customHeight="1" x14ac:dyDescent="0.25">
      <c r="B67" s="87"/>
      <c r="C67" s="108"/>
      <c r="D67" s="87"/>
      <c r="E67" s="87"/>
      <c r="F67" s="109"/>
      <c r="G67" s="87"/>
      <c r="H67" s="263" t="s">
        <v>268</v>
      </c>
      <c r="I67" s="44"/>
      <c r="J67" s="96">
        <v>658886</v>
      </c>
      <c r="K67" s="96">
        <v>661714</v>
      </c>
      <c r="L67" s="96">
        <v>667469</v>
      </c>
      <c r="M67" s="96">
        <v>675459</v>
      </c>
      <c r="N67" s="96">
        <v>683529</v>
      </c>
      <c r="U67" s="87"/>
      <c r="V67" s="87"/>
      <c r="W67" s="87"/>
      <c r="X67" s="87"/>
      <c r="Y67" s="87"/>
      <c r="Z67" s="87"/>
      <c r="AA67" s="87"/>
      <c r="AB67" s="87"/>
      <c r="AC67" s="87"/>
      <c r="AD67" s="87"/>
      <c r="AE67" s="87"/>
    </row>
    <row r="68" spans="2:31" s="24" customFormat="1" ht="15" customHeight="1" x14ac:dyDescent="0.25">
      <c r="B68" s="87"/>
      <c r="C68" s="87"/>
      <c r="D68" s="87"/>
      <c r="E68" s="87"/>
      <c r="F68" s="109"/>
      <c r="G68" s="87"/>
      <c r="H68" s="263" t="s">
        <v>92</v>
      </c>
      <c r="I68" s="44"/>
      <c r="J68" s="96">
        <v>47436</v>
      </c>
      <c r="K68" s="96">
        <v>47875</v>
      </c>
      <c r="L68" s="96">
        <v>48436</v>
      </c>
      <c r="M68" s="96">
        <v>49093</v>
      </c>
      <c r="N68" s="96">
        <v>49781</v>
      </c>
      <c r="U68" s="87"/>
      <c r="V68" s="87"/>
      <c r="W68" s="87"/>
      <c r="X68" s="87"/>
      <c r="Y68" s="87"/>
      <c r="Z68" s="87"/>
      <c r="AA68" s="87"/>
      <c r="AB68" s="87"/>
      <c r="AC68" s="87"/>
      <c r="AD68" s="87"/>
      <c r="AE68" s="87"/>
    </row>
    <row r="69" spans="2:31" s="24" customFormat="1" ht="15" customHeight="1" x14ac:dyDescent="0.25">
      <c r="B69" s="87"/>
      <c r="C69" s="108"/>
      <c r="D69" s="87"/>
      <c r="E69" s="87"/>
      <c r="F69" s="109"/>
      <c r="G69" s="87"/>
      <c r="H69" s="263" t="s">
        <v>267</v>
      </c>
      <c r="I69" s="44"/>
      <c r="J69" s="96">
        <v>345807</v>
      </c>
      <c r="K69" s="96">
        <v>348716</v>
      </c>
      <c r="L69" s="96">
        <v>354691</v>
      </c>
      <c r="M69" s="96">
        <v>362907</v>
      </c>
      <c r="N69" s="96">
        <v>372164</v>
      </c>
      <c r="U69" s="87"/>
      <c r="V69" s="87"/>
      <c r="W69" s="87"/>
      <c r="X69" s="87"/>
      <c r="Y69" s="87"/>
      <c r="Z69" s="87"/>
      <c r="AA69" s="87"/>
      <c r="AB69" s="87"/>
      <c r="AC69" s="87"/>
      <c r="AD69" s="87"/>
      <c r="AE69" s="87"/>
    </row>
    <row r="70" spans="2:31" s="24" customFormat="1" ht="15" customHeight="1" x14ac:dyDescent="0.25">
      <c r="B70" s="87"/>
      <c r="C70" s="87"/>
      <c r="D70" s="87"/>
      <c r="E70" s="87"/>
      <c r="F70" s="109"/>
      <c r="G70" s="87"/>
      <c r="H70" s="263" t="s">
        <v>243</v>
      </c>
      <c r="I70" s="44"/>
      <c r="J70" s="96"/>
      <c r="K70" s="44"/>
      <c r="L70" s="44"/>
      <c r="M70" s="44"/>
      <c r="N70" s="44"/>
      <c r="U70" s="87"/>
      <c r="V70" s="87"/>
      <c r="W70" s="87"/>
      <c r="X70" s="87"/>
      <c r="Y70" s="87"/>
      <c r="Z70" s="87"/>
      <c r="AA70" s="87"/>
      <c r="AB70" s="87"/>
      <c r="AC70" s="87"/>
      <c r="AD70" s="87"/>
      <c r="AE70" s="87"/>
    </row>
    <row r="71" spans="2:31" s="24" customFormat="1" ht="15" customHeight="1" x14ac:dyDescent="0.25">
      <c r="B71" s="87"/>
      <c r="C71" s="108"/>
      <c r="D71" s="87"/>
      <c r="E71" s="87"/>
      <c r="F71" s="109"/>
      <c r="G71" s="87"/>
      <c r="H71" s="263" t="s">
        <v>266</v>
      </c>
      <c r="I71" s="44"/>
      <c r="J71" s="96">
        <v>1235740</v>
      </c>
      <c r="K71" s="96">
        <v>1250326</v>
      </c>
      <c r="L71" s="96">
        <v>1271644</v>
      </c>
      <c r="M71" s="96">
        <v>1297106</v>
      </c>
      <c r="N71" s="96">
        <v>1323876</v>
      </c>
      <c r="U71" s="87"/>
      <c r="V71" s="87"/>
      <c r="W71" s="87"/>
      <c r="X71" s="87"/>
      <c r="Y71" s="87"/>
      <c r="Z71" s="87"/>
      <c r="AA71" s="87"/>
      <c r="AB71" s="87"/>
      <c r="AC71" s="87"/>
      <c r="AD71" s="87"/>
      <c r="AE71" s="87"/>
    </row>
    <row r="72" spans="2:31" s="24" customFormat="1" ht="15" customHeight="1" x14ac:dyDescent="0.25">
      <c r="B72" s="87"/>
      <c r="C72" s="87"/>
      <c r="D72" s="87"/>
      <c r="E72" s="87"/>
      <c r="F72" s="109"/>
      <c r="G72" s="87"/>
      <c r="H72" s="263" t="s">
        <v>265</v>
      </c>
      <c r="I72" s="44"/>
      <c r="J72" s="96">
        <v>111455</v>
      </c>
      <c r="K72" s="96">
        <v>113489</v>
      </c>
      <c r="L72" s="96">
        <v>113801</v>
      </c>
      <c r="M72" s="96">
        <v>114522</v>
      </c>
      <c r="N72" s="96">
        <v>115592</v>
      </c>
      <c r="U72" s="87"/>
      <c r="V72" s="87"/>
      <c r="W72" s="87"/>
      <c r="X72" s="87"/>
      <c r="Y72" s="87"/>
      <c r="Z72" s="87"/>
      <c r="AA72" s="87"/>
      <c r="AB72" s="87"/>
      <c r="AC72" s="87"/>
      <c r="AD72" s="87"/>
      <c r="AE72" s="87"/>
    </row>
    <row r="73" spans="2:31" s="24" customFormat="1" ht="15" customHeight="1" x14ac:dyDescent="0.25">
      <c r="B73" s="87"/>
      <c r="C73" s="108"/>
      <c r="D73" s="87"/>
      <c r="E73" s="87"/>
      <c r="F73" s="109"/>
      <c r="G73" s="87"/>
      <c r="H73" s="263" t="s">
        <v>20</v>
      </c>
      <c r="I73" s="44"/>
      <c r="J73" s="96">
        <v>1347195</v>
      </c>
      <c r="K73" s="96">
        <v>1363815</v>
      </c>
      <c r="L73" s="96">
        <v>1385445</v>
      </c>
      <c r="M73" s="96">
        <v>1411628</v>
      </c>
      <c r="N73" s="96">
        <v>1439468</v>
      </c>
      <c r="U73" s="87"/>
      <c r="V73" s="87"/>
      <c r="W73" s="87"/>
      <c r="X73" s="87"/>
      <c r="Y73" s="87"/>
      <c r="Z73" s="87"/>
      <c r="AA73" s="87"/>
      <c r="AB73" s="87"/>
      <c r="AC73" s="87"/>
      <c r="AD73" s="87"/>
      <c r="AE73" s="87"/>
    </row>
    <row r="74" spans="2:31" s="24" customFormat="1" ht="15" customHeight="1" x14ac:dyDescent="0.25">
      <c r="B74" s="87"/>
      <c r="C74" s="87"/>
      <c r="D74" s="87"/>
      <c r="E74" s="87"/>
      <c r="F74" s="109"/>
      <c r="G74" s="87"/>
      <c r="U74" s="87"/>
      <c r="V74" s="87"/>
      <c r="W74" s="87"/>
      <c r="X74" s="87"/>
      <c r="Y74" s="87"/>
      <c r="Z74" s="87"/>
      <c r="AA74" s="87"/>
      <c r="AB74" s="87"/>
      <c r="AC74" s="87"/>
      <c r="AD74" s="87"/>
      <c r="AE74" s="87"/>
    </row>
    <row r="75" spans="2:31" s="24" customFormat="1" ht="15" customHeight="1" x14ac:dyDescent="0.25">
      <c r="B75" s="87"/>
      <c r="C75" s="108"/>
      <c r="D75" s="87"/>
      <c r="E75" s="87"/>
      <c r="F75" s="109"/>
      <c r="G75" s="87"/>
      <c r="U75" s="87"/>
      <c r="V75" s="87"/>
      <c r="W75" s="87"/>
      <c r="X75" s="87"/>
      <c r="Y75" s="87"/>
      <c r="Z75" s="87"/>
      <c r="AA75" s="87"/>
      <c r="AB75" s="87"/>
      <c r="AC75" s="87"/>
      <c r="AD75" s="87"/>
      <c r="AE75" s="87"/>
    </row>
    <row r="76" spans="2:31" s="24" customFormat="1" ht="15" customHeight="1" x14ac:dyDescent="0.25">
      <c r="B76" s="87"/>
      <c r="C76" s="87"/>
      <c r="D76" s="87"/>
      <c r="E76" s="87"/>
      <c r="F76" s="109"/>
      <c r="G76" s="87"/>
      <c r="U76" s="87"/>
      <c r="V76" s="87"/>
      <c r="W76" s="87"/>
      <c r="X76" s="87"/>
      <c r="Y76" s="87"/>
      <c r="Z76" s="87"/>
      <c r="AA76" s="87"/>
      <c r="AB76" s="87"/>
      <c r="AC76" s="87"/>
      <c r="AD76" s="87"/>
      <c r="AE76" s="87"/>
    </row>
    <row r="77" spans="2:31" s="24" customFormat="1" ht="15" customHeight="1" x14ac:dyDescent="0.25">
      <c r="B77" s="87"/>
      <c r="C77" s="108"/>
      <c r="D77" s="87"/>
      <c r="E77" s="87"/>
      <c r="F77" s="109"/>
      <c r="G77" s="87"/>
      <c r="U77" s="87"/>
      <c r="V77" s="87"/>
      <c r="W77" s="87"/>
      <c r="X77" s="87"/>
      <c r="Y77" s="87"/>
      <c r="Z77" s="87"/>
      <c r="AA77" s="87"/>
      <c r="AB77" s="87"/>
      <c r="AC77" s="87"/>
      <c r="AD77" s="87"/>
      <c r="AE77" s="87"/>
    </row>
    <row r="78" spans="2:31" s="24" customFormat="1" ht="15" customHeight="1" x14ac:dyDescent="0.25">
      <c r="B78" s="87"/>
      <c r="C78" s="87"/>
      <c r="D78" s="87"/>
      <c r="E78" s="87"/>
      <c r="F78" s="109"/>
      <c r="G78" s="87"/>
      <c r="U78" s="87"/>
      <c r="V78" s="87"/>
      <c r="W78" s="87"/>
      <c r="X78" s="87"/>
      <c r="Y78" s="87"/>
      <c r="Z78" s="87"/>
      <c r="AA78" s="87"/>
      <c r="AB78" s="87"/>
      <c r="AC78" s="87"/>
      <c r="AD78" s="87"/>
      <c r="AE78" s="87"/>
    </row>
    <row r="79" spans="2:31" s="24" customFormat="1" ht="15" customHeight="1" x14ac:dyDescent="0.25">
      <c r="B79" s="87"/>
      <c r="C79" s="108"/>
      <c r="D79" s="87"/>
      <c r="E79" s="87"/>
      <c r="F79" s="109"/>
      <c r="G79" s="87"/>
      <c r="U79" s="87"/>
      <c r="V79" s="87"/>
      <c r="W79" s="87"/>
      <c r="X79" s="87"/>
      <c r="Y79" s="87"/>
      <c r="Z79" s="87"/>
      <c r="AA79" s="87"/>
      <c r="AB79" s="87"/>
      <c r="AC79" s="87"/>
      <c r="AD79" s="87"/>
      <c r="AE79" s="87"/>
    </row>
    <row r="80" spans="2:31" s="24" customFormat="1" ht="15" customHeight="1" x14ac:dyDescent="0.25">
      <c r="B80" s="87"/>
      <c r="C80" s="87"/>
      <c r="D80" s="87"/>
      <c r="E80" s="87"/>
      <c r="F80" s="109"/>
      <c r="G80" s="87"/>
      <c r="U80" s="87"/>
      <c r="V80" s="87"/>
      <c r="W80" s="87"/>
      <c r="X80" s="87"/>
      <c r="Y80" s="87"/>
      <c r="Z80" s="87"/>
      <c r="AA80" s="87"/>
      <c r="AB80" s="87"/>
      <c r="AC80" s="87"/>
      <c r="AD80" s="87"/>
      <c r="AE80" s="87"/>
    </row>
    <row r="81" spans="2:31" s="24" customFormat="1" ht="15" customHeight="1" x14ac:dyDescent="0.25">
      <c r="B81" s="87"/>
      <c r="C81" s="108"/>
      <c r="D81" s="87"/>
      <c r="E81" s="87"/>
      <c r="F81" s="109"/>
      <c r="G81" s="87"/>
      <c r="U81" s="87"/>
      <c r="V81" s="87"/>
      <c r="W81" s="87"/>
      <c r="X81" s="87"/>
      <c r="Y81" s="87"/>
      <c r="Z81" s="87"/>
      <c r="AA81" s="87"/>
      <c r="AB81" s="87"/>
      <c r="AC81" s="87"/>
      <c r="AD81" s="87"/>
      <c r="AE81" s="87"/>
    </row>
    <row r="82" spans="2:31" s="24" customFormat="1" ht="15" customHeight="1" x14ac:dyDescent="0.25">
      <c r="B82" s="87"/>
      <c r="C82" s="87"/>
      <c r="D82" s="87"/>
      <c r="E82" s="87"/>
      <c r="F82" s="109"/>
      <c r="G82" s="87"/>
      <c r="U82" s="87"/>
      <c r="V82" s="87"/>
      <c r="W82" s="87"/>
      <c r="X82" s="87"/>
      <c r="Y82" s="87"/>
      <c r="Z82" s="87"/>
      <c r="AA82" s="87"/>
      <c r="AB82" s="87"/>
      <c r="AC82" s="87"/>
      <c r="AD82" s="87"/>
      <c r="AE82" s="87"/>
    </row>
    <row r="83" spans="2:31" s="24" customFormat="1" ht="15" customHeight="1" x14ac:dyDescent="0.25">
      <c r="B83" s="87"/>
      <c r="C83" s="108"/>
      <c r="D83" s="87"/>
      <c r="E83" s="87"/>
      <c r="F83" s="109"/>
      <c r="G83" s="87"/>
      <c r="U83" s="87"/>
      <c r="V83" s="87"/>
      <c r="W83" s="87"/>
      <c r="X83" s="87"/>
      <c r="Y83" s="87"/>
      <c r="Z83" s="87"/>
      <c r="AA83" s="87"/>
      <c r="AB83" s="87"/>
      <c r="AC83" s="87"/>
      <c r="AD83" s="87"/>
      <c r="AE83" s="87"/>
    </row>
    <row r="84" spans="2:31" s="24" customFormat="1" ht="15" customHeight="1" x14ac:dyDescent="0.25">
      <c r="B84" s="87"/>
      <c r="C84" s="87"/>
      <c r="D84" s="87"/>
      <c r="E84" s="87"/>
      <c r="F84" s="109"/>
      <c r="G84" s="87"/>
      <c r="U84" s="87"/>
      <c r="V84" s="87"/>
      <c r="W84" s="87"/>
      <c r="X84" s="87"/>
      <c r="Y84" s="87"/>
      <c r="Z84" s="87"/>
      <c r="AA84" s="87"/>
      <c r="AB84" s="87"/>
      <c r="AC84" s="87"/>
      <c r="AD84" s="87"/>
      <c r="AE84" s="87"/>
    </row>
    <row r="85" spans="2:31" s="24" customFormat="1" ht="15" customHeight="1" x14ac:dyDescent="0.25">
      <c r="B85" s="87"/>
      <c r="C85" s="108"/>
      <c r="D85" s="87"/>
      <c r="E85" s="87"/>
      <c r="F85" s="109"/>
      <c r="G85" s="87"/>
      <c r="U85" s="87"/>
      <c r="V85" s="87"/>
      <c r="W85" s="87"/>
      <c r="X85" s="87"/>
      <c r="Y85" s="87"/>
      <c r="Z85" s="87"/>
      <c r="AA85" s="87"/>
      <c r="AB85" s="87"/>
      <c r="AC85" s="87"/>
      <c r="AD85" s="87"/>
      <c r="AE85" s="87"/>
    </row>
    <row r="86" spans="2:31" s="24" customFormat="1" ht="15" customHeight="1" x14ac:dyDescent="0.25">
      <c r="B86" s="87"/>
      <c r="C86" s="87"/>
      <c r="D86" s="87"/>
      <c r="E86" s="87"/>
      <c r="F86" s="109"/>
      <c r="G86" s="87"/>
      <c r="U86" s="87"/>
      <c r="V86" s="87"/>
      <c r="W86" s="87"/>
      <c r="X86" s="87"/>
      <c r="Y86" s="87"/>
      <c r="Z86" s="87"/>
      <c r="AA86" s="87"/>
      <c r="AB86" s="87"/>
      <c r="AC86" s="87"/>
      <c r="AD86" s="87"/>
      <c r="AE86" s="87"/>
    </row>
    <row r="87" spans="2:31" s="24" customFormat="1" ht="15" customHeight="1" x14ac:dyDescent="0.25">
      <c r="B87" s="87"/>
      <c r="C87" s="108"/>
      <c r="D87" s="87"/>
      <c r="E87" s="87"/>
      <c r="F87" s="109"/>
      <c r="G87" s="87"/>
      <c r="H87" s="54"/>
      <c r="U87" s="87"/>
      <c r="V87" s="87"/>
      <c r="W87" s="87"/>
      <c r="X87" s="87"/>
      <c r="Y87" s="87"/>
      <c r="Z87" s="87"/>
      <c r="AA87" s="87"/>
      <c r="AB87" s="87"/>
      <c r="AC87" s="87"/>
      <c r="AD87" s="87"/>
      <c r="AE87" s="87"/>
    </row>
    <row r="88" spans="2:31" s="24" customFormat="1" ht="15" customHeight="1" x14ac:dyDescent="0.25">
      <c r="B88" s="87"/>
      <c r="C88" s="87"/>
      <c r="D88" s="87"/>
      <c r="E88" s="87"/>
      <c r="F88" s="109"/>
      <c r="G88" s="87"/>
      <c r="H88" s="54"/>
      <c r="U88" s="87"/>
      <c r="V88" s="87"/>
      <c r="W88" s="87"/>
      <c r="X88" s="87"/>
      <c r="Y88" s="87"/>
      <c r="Z88" s="87"/>
      <c r="AA88" s="87"/>
      <c r="AB88" s="87"/>
      <c r="AC88" s="87"/>
      <c r="AD88" s="87"/>
      <c r="AE88" s="87"/>
    </row>
    <row r="89" spans="2:31" s="24" customFormat="1" ht="15" customHeight="1" x14ac:dyDescent="0.25">
      <c r="B89" s="87"/>
      <c r="C89" s="108"/>
      <c r="D89" s="87"/>
      <c r="E89" s="87"/>
      <c r="F89" s="109"/>
      <c r="G89" s="87"/>
      <c r="H89" s="54"/>
      <c r="U89" s="87"/>
      <c r="V89" s="87"/>
      <c r="W89" s="87"/>
      <c r="X89" s="87"/>
      <c r="Y89" s="87"/>
      <c r="Z89" s="87"/>
      <c r="AA89" s="87"/>
      <c r="AB89" s="87"/>
      <c r="AC89" s="87"/>
      <c r="AD89" s="87"/>
      <c r="AE89" s="87"/>
    </row>
    <row r="90" spans="2:31" s="24" customFormat="1" ht="15" customHeight="1" x14ac:dyDescent="0.25">
      <c r="B90" s="87"/>
      <c r="C90" s="87"/>
      <c r="D90" s="87"/>
      <c r="E90" s="87"/>
      <c r="F90" s="109"/>
      <c r="G90" s="87"/>
      <c r="H90" s="255"/>
      <c r="I90" s="56"/>
      <c r="U90" s="87"/>
      <c r="V90" s="87"/>
      <c r="W90" s="87"/>
      <c r="X90" s="87"/>
      <c r="Y90" s="87"/>
      <c r="Z90" s="87"/>
      <c r="AA90" s="87"/>
      <c r="AB90" s="87"/>
      <c r="AC90" s="87"/>
      <c r="AD90" s="87"/>
      <c r="AE90" s="87"/>
    </row>
    <row r="91" spans="2:31" s="24" customFormat="1" ht="15" customHeight="1" x14ac:dyDescent="0.25">
      <c r="B91" s="87"/>
      <c r="C91" s="108"/>
      <c r="D91" s="87"/>
      <c r="E91" s="87"/>
      <c r="F91" s="109"/>
      <c r="G91" s="87"/>
      <c r="H91" s="255"/>
      <c r="I91" s="56"/>
      <c r="U91" s="87"/>
      <c r="V91" s="87"/>
      <c r="W91" s="87"/>
      <c r="X91" s="87"/>
      <c r="Y91" s="87"/>
      <c r="Z91" s="87"/>
      <c r="AA91" s="87"/>
      <c r="AB91" s="87"/>
      <c r="AC91" s="87"/>
      <c r="AD91" s="87"/>
      <c r="AE91" s="87"/>
    </row>
    <row r="92" spans="2:31" ht="15" customHeight="1" x14ac:dyDescent="0.25">
      <c r="P92" s="24"/>
    </row>
    <row r="93" spans="2:31" ht="15" customHeight="1" x14ac:dyDescent="0.25">
      <c r="C93" s="108"/>
      <c r="P93" s="24"/>
    </row>
    <row r="94" spans="2:31" ht="15" customHeight="1" x14ac:dyDescent="0.2"/>
    <row r="95" spans="2:31" ht="15" customHeight="1" x14ac:dyDescent="0.2"/>
    <row r="96" spans="2:31"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sheetData>
  <mergeCells count="21">
    <mergeCell ref="L27:L30"/>
    <mergeCell ref="L31:L34"/>
    <mergeCell ref="K27:K30"/>
    <mergeCell ref="J21:J23"/>
    <mergeCell ref="J27:J30"/>
    <mergeCell ref="J31:J34"/>
    <mergeCell ref="J24:J26"/>
    <mergeCell ref="K31:K34"/>
    <mergeCell ref="Q16:X16"/>
    <mergeCell ref="D4:G4"/>
    <mergeCell ref="K18:K20"/>
    <mergeCell ref="K21:K23"/>
    <mergeCell ref="K24:K26"/>
    <mergeCell ref="L16:L17"/>
    <mergeCell ref="O16:O17"/>
    <mergeCell ref="M16:N17"/>
    <mergeCell ref="I16:J16"/>
    <mergeCell ref="J18:J20"/>
    <mergeCell ref="L18:L20"/>
    <mergeCell ref="L21:L23"/>
    <mergeCell ref="L24:L26"/>
  </mergeCells>
  <pageMargins left="0.75" right="0.75" top="1" bottom="1" header="0.5" footer="0.5"/>
  <pageSetup paperSize="9" scale="53"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38FA87"/>
    <pageSetUpPr fitToPage="1"/>
  </sheetPr>
  <dimension ref="B2:U16"/>
  <sheetViews>
    <sheetView showGridLines="0" zoomScaleNormal="100" workbookViewId="0"/>
  </sheetViews>
  <sheetFormatPr defaultColWidth="9.140625" defaultRowHeight="12.75" x14ac:dyDescent="0.2"/>
  <cols>
    <col min="1" max="1" width="9.140625" style="87"/>
    <col min="2" max="2" width="3.42578125" style="87" customWidth="1"/>
    <col min="3" max="3" width="16.7109375" style="87" customWidth="1"/>
    <col min="4" max="4" width="7.28515625" style="87" bestFit="1" customWidth="1"/>
    <col min="5" max="5" width="17.42578125" style="87" customWidth="1"/>
    <col min="6" max="6" width="10.85546875" style="87" customWidth="1"/>
    <col min="7" max="7" width="17.42578125" style="87" customWidth="1"/>
    <col min="8" max="8" width="11.85546875" style="87" customWidth="1"/>
    <col min="9" max="9" width="14.140625" style="87" customWidth="1"/>
    <col min="10" max="10" width="16" style="87" bestFit="1" customWidth="1"/>
    <col min="11" max="11" width="9" style="87" customWidth="1"/>
    <col min="12" max="12" width="15.85546875" style="87" customWidth="1"/>
    <col min="13" max="13" width="12.42578125" style="87" customWidth="1"/>
    <col min="14" max="14" width="17.42578125" style="87" customWidth="1"/>
    <col min="15" max="15" width="13.85546875" style="87" customWidth="1"/>
    <col min="16" max="16" width="8.28515625" style="87" bestFit="1" customWidth="1"/>
    <col min="17" max="17" width="10.42578125" style="87" bestFit="1" customWidth="1"/>
    <col min="18" max="18" width="9.28515625" style="87" bestFit="1" customWidth="1"/>
    <col min="19" max="19" width="9.140625" style="87"/>
    <col min="20" max="20" width="9.28515625" style="87" bestFit="1" customWidth="1"/>
    <col min="21" max="16384" width="9.140625" style="87"/>
  </cols>
  <sheetData>
    <row r="2" spans="2:21" ht="18.75" x14ac:dyDescent="0.3">
      <c r="B2" s="88" t="s">
        <v>298</v>
      </c>
    </row>
    <row r="3" spans="2:21" s="24" customFormat="1" ht="15" customHeight="1" x14ac:dyDescent="0.25">
      <c r="B3" s="39"/>
    </row>
    <row r="4" spans="2:21" s="24" customFormat="1" ht="15" customHeight="1" x14ac:dyDescent="0.25">
      <c r="J4" s="656">
        <f>PMT('Inputs - network configuration'!D7,H7,-1)</f>
        <v>4.2346842152596716E-2</v>
      </c>
    </row>
    <row r="5" spans="2:21" s="24" customFormat="1" ht="15" customHeight="1" x14ac:dyDescent="0.25">
      <c r="B5" s="39"/>
      <c r="D5" s="25"/>
    </row>
    <row r="6" spans="2:21" s="29" customFormat="1" ht="53.1" customHeight="1" x14ac:dyDescent="0.25">
      <c r="B6" s="101"/>
      <c r="C6" s="26" t="s">
        <v>47</v>
      </c>
      <c r="D6" s="27" t="s">
        <v>171</v>
      </c>
      <c r="E6" s="28" t="s">
        <v>72</v>
      </c>
      <c r="F6" s="28" t="s">
        <v>180</v>
      </c>
      <c r="G6" s="27" t="s">
        <v>71</v>
      </c>
      <c r="H6" s="219" t="s">
        <v>369</v>
      </c>
      <c r="I6" s="219" t="s">
        <v>296</v>
      </c>
      <c r="J6" s="217" t="s">
        <v>276</v>
      </c>
      <c r="K6" s="218" t="s">
        <v>275</v>
      </c>
      <c r="L6" s="219" t="s">
        <v>172</v>
      </c>
      <c r="M6" s="33" t="s">
        <v>173</v>
      </c>
      <c r="N6" s="33" t="s">
        <v>304</v>
      </c>
      <c r="O6" s="34" t="s">
        <v>174</v>
      </c>
      <c r="P6" s="24"/>
      <c r="Q6" s="24"/>
      <c r="R6" s="24"/>
      <c r="S6" s="24"/>
      <c r="T6" s="24"/>
      <c r="U6" s="24"/>
    </row>
    <row r="7" spans="2:21" s="24" customFormat="1" ht="15" customHeight="1" x14ac:dyDescent="0.25">
      <c r="B7" s="39"/>
      <c r="C7" s="31" t="s">
        <v>277</v>
      </c>
      <c r="D7" s="199">
        <f>'Inputs - network configuration'!D20</f>
        <v>1.0037</v>
      </c>
      <c r="E7" s="561">
        <f>'Inputs - tariff class'!E45</f>
        <v>1</v>
      </c>
      <c r="F7" s="200">
        <f>'Inputs - network configuration'!$D$10/D7*E7</f>
        <v>498.15681976686261</v>
      </c>
      <c r="G7" s="201">
        <f>ROUND('Calcs - LRIC - Asset costs'!D50,-3)</f>
        <v>243361000</v>
      </c>
      <c r="H7" s="653">
        <f>'Calcs - LRIC - Asset costs'!E50</f>
        <v>49.240045907656068</v>
      </c>
      <c r="I7" s="286"/>
      <c r="J7" s="204">
        <f>G7*PMT('Inputs - network configuration'!$D$7,H7,-1)/F7/1000</f>
        <v>20.687400923109102</v>
      </c>
      <c r="K7" s="657">
        <f>'Inputs - network configuration'!D12</f>
        <v>1.4999999999999999E-2</v>
      </c>
      <c r="L7" s="206">
        <f>K7*G7</f>
        <v>3650415</v>
      </c>
      <c r="M7" s="207">
        <f t="shared" ref="M7:M14" si="0">L7/F7/1000</f>
        <v>7.3278430710000002</v>
      </c>
      <c r="N7" s="564">
        <f>G7+L7</f>
        <v>247011415</v>
      </c>
      <c r="O7" s="202">
        <f t="shared" ref="O7:O14" si="1">J7+M7</f>
        <v>28.015243994109102</v>
      </c>
    </row>
    <row r="8" spans="2:21" s="24" customFormat="1" ht="15" customHeight="1" x14ac:dyDescent="0.25">
      <c r="B8" s="39"/>
      <c r="C8" s="31" t="s">
        <v>1</v>
      </c>
      <c r="D8" s="199">
        <f>'Inputs - network configuration'!D21</f>
        <v>1.0089999999999999</v>
      </c>
      <c r="E8" s="562">
        <f>'Inputs - tariff class'!E46</f>
        <v>0.70402358483356442</v>
      </c>
      <c r="F8" s="200">
        <f>'Inputs - network configuration'!$D$10/D8*E8</f>
        <v>348.87194491256912</v>
      </c>
      <c r="G8" s="203">
        <f>ROUND('Calcs - LRIC - Asset costs'!D51,-3)</f>
        <v>56309000</v>
      </c>
      <c r="H8" s="654">
        <f>'Calcs - LRIC - Asset costs'!E51</f>
        <v>57.57</v>
      </c>
      <c r="I8" s="206"/>
      <c r="J8" s="204">
        <f>G8*PMT('Inputs - network configuration'!$D$7,H8,-1)/F8/1000</f>
        <v>6.4635297884535685</v>
      </c>
      <c r="K8" s="658">
        <f>K7</f>
        <v>1.4999999999999999E-2</v>
      </c>
      <c r="L8" s="206">
        <f t="shared" ref="L8:L14" si="2">K8*G8</f>
        <v>844635</v>
      </c>
      <c r="M8" s="207">
        <f t="shared" si="0"/>
        <v>2.4210459233449515</v>
      </c>
      <c r="N8" s="565">
        <f t="shared" ref="N8:N14" si="3">G8+L8</f>
        <v>57153635</v>
      </c>
      <c r="O8" s="208">
        <f t="shared" si="1"/>
        <v>8.8845757117985205</v>
      </c>
    </row>
    <row r="9" spans="2:21" s="24" customFormat="1" ht="15" customHeight="1" x14ac:dyDescent="0.25">
      <c r="B9" s="39"/>
      <c r="C9" s="31" t="s">
        <v>2</v>
      </c>
      <c r="D9" s="199">
        <f>'Inputs - network configuration'!D21</f>
        <v>1.0089999999999999</v>
      </c>
      <c r="E9" s="562">
        <f>'Inputs - tariff class'!E47</f>
        <v>0.68747703597300425</v>
      </c>
      <c r="F9" s="200">
        <f>'Inputs - network configuration'!$D$10/D9*E9</f>
        <v>340.67246579435295</v>
      </c>
      <c r="G9" s="203">
        <f>ROUND('Calcs - LRIC - Asset costs'!D52,-3)</f>
        <v>163560000</v>
      </c>
      <c r="H9" s="654">
        <f>'Calcs - LRIC - Asset costs'!E52</f>
        <v>47.700244945362407</v>
      </c>
      <c r="I9" s="206"/>
      <c r="J9" s="204">
        <f>G9*PMT('Inputs - network configuration'!$D$7,H9,-1)/F9/1000</f>
        <v>20.588563056282446</v>
      </c>
      <c r="K9" s="657">
        <f>'Inputs - network configuration'!D13</f>
        <v>0.02</v>
      </c>
      <c r="L9" s="206">
        <f t="shared" si="2"/>
        <v>3271200</v>
      </c>
      <c r="M9" s="207">
        <f t="shared" si="0"/>
        <v>9.6021848797567966</v>
      </c>
      <c r="N9" s="565">
        <f t="shared" si="3"/>
        <v>166831200</v>
      </c>
      <c r="O9" s="208">
        <f t="shared" si="1"/>
        <v>30.190747936039244</v>
      </c>
    </row>
    <row r="10" spans="2:21" s="24" customFormat="1" ht="15" customHeight="1" x14ac:dyDescent="0.25">
      <c r="B10" s="39"/>
      <c r="C10" s="31" t="s">
        <v>3</v>
      </c>
      <c r="D10" s="199">
        <f>'Inputs - network configuration'!D22</f>
        <v>1.0130999999999999</v>
      </c>
      <c r="E10" s="562">
        <f>'Inputs - tariff class'!E48</f>
        <v>0.67093048711244418</v>
      </c>
      <c r="F10" s="200">
        <f>'Inputs - network configuration'!$D$10/D10*E10</f>
        <v>331.12747365138893</v>
      </c>
      <c r="G10" s="203">
        <f>ROUND('Calcs - LRIC - Asset costs'!D53,-3)</f>
        <v>89322000</v>
      </c>
      <c r="H10" s="654">
        <f>'Calcs - LRIC - Asset costs'!E53</f>
        <v>44.999999999999993</v>
      </c>
      <c r="I10" s="206"/>
      <c r="J10" s="204">
        <f>G10*PMT('Inputs - network configuration'!$D$7,H10,-1)/F10/1000</f>
        <v>11.850482243067136</v>
      </c>
      <c r="K10" s="658">
        <f>K9</f>
        <v>0.02</v>
      </c>
      <c r="L10" s="206">
        <f t="shared" si="2"/>
        <v>1786440</v>
      </c>
      <c r="M10" s="207">
        <f t="shared" si="0"/>
        <v>5.3950219844360134</v>
      </c>
      <c r="N10" s="565">
        <f t="shared" si="3"/>
        <v>91108440</v>
      </c>
      <c r="O10" s="208">
        <f t="shared" si="1"/>
        <v>17.245504227503147</v>
      </c>
    </row>
    <row r="11" spans="2:21" s="24" customFormat="1" ht="15" customHeight="1" x14ac:dyDescent="0.25">
      <c r="B11" s="39"/>
      <c r="C11" s="31" t="s">
        <v>48</v>
      </c>
      <c r="D11" s="199">
        <f>'Inputs - network configuration'!D22</f>
        <v>1.0130999999999999</v>
      </c>
      <c r="E11" s="562">
        <f>'Inputs - tariff class'!E49</f>
        <v>0.28754163733390464</v>
      </c>
      <c r="F11" s="200">
        <f>'Inputs - network configuration'!$D$10/D11*E11</f>
        <v>141.91177442202383</v>
      </c>
      <c r="G11" s="203">
        <f>ROUND('Calcs - LRIC - Asset costs'!D54,-3)</f>
        <v>49556000</v>
      </c>
      <c r="H11" s="654">
        <f>'Calcs - LRIC - Asset costs'!E54</f>
        <v>57.57</v>
      </c>
      <c r="I11" s="206"/>
      <c r="J11" s="204">
        <f>G11*PMT('Inputs - network configuration'!$D$7,H11,-1)/F11/1000</f>
        <v>13.98414119356686</v>
      </c>
      <c r="K11" s="657">
        <f>'Inputs - network configuration'!D14</f>
        <v>0.02</v>
      </c>
      <c r="L11" s="206">
        <f t="shared" si="2"/>
        <v>991120</v>
      </c>
      <c r="M11" s="207">
        <f t="shared" si="0"/>
        <v>6.9840575529170774</v>
      </c>
      <c r="N11" s="565">
        <f t="shared" si="3"/>
        <v>50547120</v>
      </c>
      <c r="O11" s="208">
        <f t="shared" si="1"/>
        <v>20.968198746483935</v>
      </c>
    </row>
    <row r="12" spans="2:21" s="24" customFormat="1" ht="15" customHeight="1" x14ac:dyDescent="0.25">
      <c r="B12" s="39"/>
      <c r="C12" s="31" t="s">
        <v>5</v>
      </c>
      <c r="D12" s="199">
        <f>'Inputs - network configuration'!D23</f>
        <v>1.0198</v>
      </c>
      <c r="E12" s="562">
        <f>'Inputs - tariff class'!E50</f>
        <v>0.90728266876580732</v>
      </c>
      <c r="F12" s="200">
        <f>'Inputs - network configuration'!$D$10/D12*E12</f>
        <v>444.83362853785411</v>
      </c>
      <c r="G12" s="203">
        <f>ROUND('Calcs - LRIC - Asset costs'!D55,-3)</f>
        <v>194954000</v>
      </c>
      <c r="H12" s="654">
        <f>'Calcs - LRIC - Asset costs'!E55</f>
        <v>51.886509809065608</v>
      </c>
      <c r="I12" s="287">
        <f>'Inputs - network configuration'!D47</f>
        <v>0.25</v>
      </c>
      <c r="J12" s="289">
        <f>G12*PMT('Inputs - network configuration'!$D$7,H12,-1)/F12/1000*(1-I12)</f>
        <v>13.645934963683853</v>
      </c>
      <c r="K12" s="205">
        <f>K11</f>
        <v>0.02</v>
      </c>
      <c r="L12" s="206">
        <f t="shared" si="2"/>
        <v>3899080</v>
      </c>
      <c r="M12" s="207">
        <f t="shared" si="0"/>
        <v>8.7652545802710122</v>
      </c>
      <c r="N12" s="565">
        <f t="shared" si="3"/>
        <v>198853080</v>
      </c>
      <c r="O12" s="208">
        <f t="shared" si="1"/>
        <v>22.411189543954865</v>
      </c>
    </row>
    <row r="13" spans="2:21" s="24" customFormat="1" ht="15" customHeight="1" x14ac:dyDescent="0.25">
      <c r="B13" s="39"/>
      <c r="C13" s="31" t="s">
        <v>6</v>
      </c>
      <c r="D13" s="199">
        <f>'Inputs - network configuration'!D24</f>
        <v>1.0337000000000001</v>
      </c>
      <c r="E13" s="562">
        <f>'Inputs - tariff class'!E51</f>
        <v>0.80404508209111591</v>
      </c>
      <c r="F13" s="200">
        <f>'Inputs - network configuration'!$D$10/D13*E13</f>
        <v>388.91606950329685</v>
      </c>
      <c r="G13" s="203">
        <f>ROUND('Calcs - LRIC - Asset costs'!D56,-3)</f>
        <v>128994000</v>
      </c>
      <c r="H13" s="654">
        <f>'Calcs - LRIC - Asset costs'!E56</f>
        <v>40.58</v>
      </c>
      <c r="I13" s="287">
        <f>'Inputs - network configuration'!D48</f>
        <v>0.25</v>
      </c>
      <c r="J13" s="289">
        <f>G13*PMT('Inputs - network configuration'!$D$7,H13,-1)/F13/1000*(1-I13)</f>
        <v>11.44475290125327</v>
      </c>
      <c r="K13" s="209">
        <f>'Inputs - network configuration'!D15</f>
        <v>2.5000000000000001E-2</v>
      </c>
      <c r="L13" s="206">
        <f t="shared" si="2"/>
        <v>3224850</v>
      </c>
      <c r="M13" s="207">
        <f t="shared" si="0"/>
        <v>8.2918918833017337</v>
      </c>
      <c r="N13" s="565">
        <f t="shared" si="3"/>
        <v>132218850</v>
      </c>
      <c r="O13" s="208">
        <f t="shared" si="1"/>
        <v>19.736644784555004</v>
      </c>
    </row>
    <row r="14" spans="2:21" s="24" customFormat="1" ht="15" customHeight="1" x14ac:dyDescent="0.25">
      <c r="B14" s="39"/>
      <c r="C14" s="32" t="s">
        <v>7</v>
      </c>
      <c r="D14" s="210">
        <f>'Inputs - network configuration'!D25</f>
        <v>1.0533999999999999</v>
      </c>
      <c r="E14" s="563">
        <f>'Inputs - tariff class'!E52</f>
        <v>0.6845665957419782</v>
      </c>
      <c r="F14" s="211">
        <f>'Inputs - network configuration'!$D$10/D14*E14</f>
        <v>324.93193266659307</v>
      </c>
      <c r="G14" s="212">
        <f>ROUND('Calcs - LRIC - Asset costs'!D57,-3)</f>
        <v>522265000</v>
      </c>
      <c r="H14" s="655">
        <f>'Calcs - LRIC - Asset costs'!E57</f>
        <v>57.940901467052164</v>
      </c>
      <c r="I14" s="288">
        <f>'Inputs - network configuration'!D49</f>
        <v>0.9</v>
      </c>
      <c r="J14" s="290">
        <f>G14*PMT('Inputs - network configuration'!$D$7,H14,-1)/F14/1000*(1-I14)</f>
        <v>6.4232243502594297</v>
      </c>
      <c r="K14" s="213">
        <f>K13</f>
        <v>2.5000000000000001E-2</v>
      </c>
      <c r="L14" s="214">
        <f t="shared" si="2"/>
        <v>13056625</v>
      </c>
      <c r="M14" s="215">
        <f t="shared" si="0"/>
        <v>40.182646540305328</v>
      </c>
      <c r="N14" s="566">
        <f t="shared" si="3"/>
        <v>535321625</v>
      </c>
      <c r="O14" s="216">
        <f t="shared" si="1"/>
        <v>46.605870890564759</v>
      </c>
    </row>
    <row r="15" spans="2:21" s="24" customFormat="1" ht="15" customHeight="1" x14ac:dyDescent="0.25">
      <c r="B15" s="39"/>
      <c r="G15" s="303">
        <f>SUM(G7:G14)</f>
        <v>1448321000</v>
      </c>
      <c r="H15" s="303"/>
      <c r="I15" s="35"/>
      <c r="J15" s="36"/>
      <c r="L15" s="303">
        <f>SUM(L7:L14)</f>
        <v>30724365</v>
      </c>
      <c r="M15" s="36"/>
      <c r="N15" s="303">
        <f>SUM(N7:N14)</f>
        <v>1479045365</v>
      </c>
    </row>
    <row r="16" spans="2:21" s="24" customFormat="1" ht="15" customHeight="1" x14ac:dyDescent="0.25">
      <c r="B16" s="39"/>
      <c r="J16" s="99"/>
      <c r="K16" s="100" t="s">
        <v>297</v>
      </c>
    </row>
  </sheetData>
  <pageMargins left="0.75" right="0.75" top="1" bottom="1" header="0.5" footer="0.5"/>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72CF69EB15E147BA3769A3537F3E8C" ma:contentTypeVersion="6" ma:contentTypeDescription="Create a new document." ma:contentTypeScope="" ma:versionID="f88b757df27e13299a9d592fdb907366">
  <xsd:schema xmlns:xsd="http://www.w3.org/2001/XMLSchema" xmlns:xs="http://www.w3.org/2001/XMLSchema" xmlns:p="http://schemas.microsoft.com/office/2006/metadata/properties" xmlns:ns2="65930c9a-4307-4bf5-9068-61a0eebb0c4e" xmlns:ns3="http://schemas.microsoft.com/sharepoint/v3/fields" targetNamespace="http://schemas.microsoft.com/office/2006/metadata/properties" ma:root="true" ma:fieldsID="4e18a3f193d1ae7930018ea8f15fc6c7" ns2:_="" ns3:_="">
    <xsd:import namespace="65930c9a-4307-4bf5-9068-61a0eebb0c4e"/>
    <xsd:import namespace="http://schemas.microsoft.com/sharepoint/v3/fields"/>
    <xsd:element name="properties">
      <xsd:complexType>
        <xsd:sequence>
          <xsd:element name="documentManagement">
            <xsd:complexType>
              <xsd:all>
                <xsd:element ref="ns2:Internal_x0020__x002f__x0020_Public" minOccurs="0"/>
                <xsd:element ref="ns2:Stage" minOccurs="0"/>
                <xsd:element ref="ns2:Document_x0020_Section" minOccurs="0"/>
                <xsd:element ref="ns2:Responsibility" minOccurs="0"/>
                <xsd:element ref="ns3:_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930c9a-4307-4bf5-9068-61a0eebb0c4e" elementFormDefault="qualified">
    <xsd:import namespace="http://schemas.microsoft.com/office/2006/documentManagement/types"/>
    <xsd:import namespace="http://schemas.microsoft.com/office/infopath/2007/PartnerControls"/>
    <xsd:element name="Internal_x0020__x002f__x0020_Public" ma:index="8" nillable="true" ma:displayName="Internal / Public" ma:format="Dropdown" ma:internalName="Internal_x0020__x002f__x0020_Public">
      <xsd:simpleType>
        <xsd:restriction base="dms:Choice">
          <xsd:enumeration value="Internal"/>
          <xsd:enumeration value="Public"/>
        </xsd:restriction>
      </xsd:simpleType>
    </xsd:element>
    <xsd:element name="Stage" ma:index="9" nillable="true" ma:displayName="Document Type" ma:format="Dropdown" ma:internalName="Stage">
      <xsd:simpleType>
        <xsd:restriction base="dms:Choice">
          <xsd:enumeration value="Forecast"/>
          <xsd:enumeration value="Historical"/>
          <xsd:enumeration value="Regulatory documents"/>
          <xsd:enumeration value="Submitted justification documents"/>
          <xsd:enumeration value="Management"/>
          <xsd:enumeration value="Template"/>
          <xsd:enumeration value="Internal Comms"/>
          <xsd:enumeration value="Governance"/>
          <xsd:enumeration value="Decision Support"/>
          <xsd:enumeration value="Customer Communications"/>
          <xsd:enumeration value="AER communications"/>
          <xsd:enumeration value="Government Relations"/>
          <xsd:enumeration value="Preliminary Proposal"/>
        </xsd:restriction>
      </xsd:simpleType>
    </xsd:element>
    <xsd:element name="Document_x0020_Section" ma:index="10" nillable="true" ma:displayName="Audience" ma:format="Dropdown" ma:internalName="Document_x0020_Section">
      <xsd:simpleType>
        <xsd:restriction base="dms:Choice">
          <xsd:enumeration value="Project internal"/>
          <xsd:enumeration value="GM Governance Group"/>
          <xsd:enumeration value="RSSC"/>
          <xsd:enumeration value="DNSP Boards"/>
          <xsd:enumeration value="Board Regulatory Committee"/>
          <xsd:enumeration value="EQL Board"/>
          <xsd:enumeration value="Public"/>
        </xsd:restriction>
      </xsd:simpleType>
    </xsd:element>
    <xsd:element name="Responsibility" ma:index="11" nillable="true" ma:displayName="Responsibility" ma:format="Dropdown" ma:indexed="true" ma:internalName="Responsibility">
      <xsd:simpleType>
        <xsd:restriction base="dms:Choice">
          <xsd:enumeration value="Central"/>
          <xsd:enumeration value="Regulatory"/>
          <xsd:enumeration value="Customer"/>
          <xsd:enumeration value="Investment"/>
          <xsd:enumeration value="Finance"/>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12"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Document_x0020_Section xmlns="65930c9a-4307-4bf5-9068-61a0eebb0c4e" xsi:nil="true"/>
    <Internal_x0020__x002f__x0020_Public xmlns="65930c9a-4307-4bf5-9068-61a0eebb0c4e" xsi:nil="true"/>
    <Stage xmlns="65930c9a-4307-4bf5-9068-61a0eebb0c4e" xsi:nil="true"/>
    <Responsibility xmlns="65930c9a-4307-4bf5-9068-61a0eebb0c4e" xsi:nil="true"/>
  </documentManagement>
</p:properties>
</file>

<file path=customXml/itemProps1.xml><?xml version="1.0" encoding="utf-8"?>
<ds:datastoreItem xmlns:ds="http://schemas.openxmlformats.org/officeDocument/2006/customXml" ds:itemID="{76147EE3-C956-4D4D-B7BD-E001EB3C202C}">
  <ds:schemaRefs>
    <ds:schemaRef ds:uri="http://schemas.microsoft.com/sharepoint/v3/contenttype/forms"/>
  </ds:schemaRefs>
</ds:datastoreItem>
</file>

<file path=customXml/itemProps2.xml><?xml version="1.0" encoding="utf-8"?>
<ds:datastoreItem xmlns:ds="http://schemas.openxmlformats.org/officeDocument/2006/customXml" ds:itemID="{FD7DBDF7-E4C1-48E0-ABC7-7D0079D703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930c9a-4307-4bf5-9068-61a0eebb0c4e"/>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432CAE-F91A-4D8F-9578-E89F010E7F60}">
  <ds:schemaRefs>
    <ds:schemaRef ds:uri="http://purl.org/dc/terms/"/>
    <ds:schemaRef ds:uri="http://schemas.openxmlformats.org/package/2006/metadata/core-properties"/>
    <ds:schemaRef ds:uri="65930c9a-4307-4bf5-9068-61a0eebb0c4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field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Cover</vt:lpstr>
      <vt:lpstr>Required Inputs</vt:lpstr>
      <vt:lpstr>Model Notes</vt:lpstr>
      <vt:lpstr>Version Control</vt:lpstr>
      <vt:lpstr>Inputs - network configuration</vt:lpstr>
      <vt:lpstr>Inputs - tariff class</vt:lpstr>
      <vt:lpstr>Standard estimates</vt:lpstr>
      <vt:lpstr>Calcs - LRIC - Asset costs</vt:lpstr>
      <vt:lpstr>Calcs - LRIC - $kW by voltage</vt:lpstr>
      <vt:lpstr>Calcs - Energex TC</vt:lpstr>
      <vt:lpstr>Asset Diagrams</vt:lpstr>
      <vt:lpstr>'Asset Diagrams'!Print_Area</vt:lpstr>
      <vt:lpstr>std_est</vt:lpstr>
    </vt:vector>
  </TitlesOfParts>
  <Company>EQL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EGX 14.008 2020-25 LRMC Model JAN19 PUBLIC</dc:title>
  <cp:lastModifiedBy>Jane Kelly</cp:lastModifiedBy>
  <cp:lastPrinted>2014-07-24T23:20:28Z</cp:lastPrinted>
  <dcterms:created xsi:type="dcterms:W3CDTF">2013-03-21T22:29:28Z</dcterms:created>
  <dcterms:modified xsi:type="dcterms:W3CDTF">2019-12-12T02:49:39Z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0x0101006672CF69EB15E147BA3769A3537F3E8C</vt:lpwstr>
  </property>
  <property fmtid="{D5CDD505-2E9C-101B-9397-08002B2CF9AE}" pid="3" name="_MarkAsFinal">
    <vt:bool>true</vt:bool>
  </property>
</Properties>
</file>