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120" yWindow="-120" windowWidth="29040" windowHeight="15840" tabRatio="879"/>
  </bookViews>
  <sheets>
    <sheet name="Cover" sheetId="18" r:id="rId1"/>
    <sheet name="Intro" sheetId="35" r:id="rId2"/>
    <sheet name="Issues Log" sheetId="36" r:id="rId3"/>
    <sheet name="&gt;&gt;&gt;Inputs" sheetId="4" r:id="rId4"/>
    <sheet name="Lists" sheetId="22" r:id="rId5"/>
    <sheet name="Escalators &amp; overheads" sheetId="1" r:id="rId6"/>
    <sheet name="Labour rates" sheetId="2" r:id="rId7"/>
    <sheet name="Material costs" sheetId="3" r:id="rId8"/>
    <sheet name="Traffic control fees" sheetId="15" r:id="rId9"/>
    <sheet name="Contractor costs" sheetId="39" r:id="rId10"/>
    <sheet name="Travel time inputs" sheetId="11" r:id="rId11"/>
    <sheet name="&gt;&gt;&gt; Fee based calculation" sheetId="9" r:id="rId12"/>
    <sheet name="ERG Service assumptions" sheetId="5" r:id="rId13"/>
    <sheet name="EGX Service assumptions" sheetId="23" r:id="rId14"/>
    <sheet name="&gt;&gt;&gt;Price path" sheetId="12" r:id="rId15"/>
    <sheet name="ERG prices (all incl)" sheetId="6" r:id="rId16"/>
    <sheet name="EGX prices (all incl) " sheetId="26" r:id="rId17"/>
    <sheet name="&gt;&gt;&gt;Quoted Service calc" sheetId="32" r:id="rId18"/>
    <sheet name="Selected examples" sheetId="34" r:id="rId19"/>
  </sheets>
  <definedNames>
    <definedName name="_xlnm._FilterDatabase" localSheetId="16" hidden="1">'EGX prices (all incl) '!$A$3:$K$187</definedName>
    <definedName name="_xlnm._FilterDatabase" localSheetId="13" hidden="1">'EGX Service assumptions'!$D$5:$AY$151</definedName>
    <definedName name="_xlnm._FilterDatabase" localSheetId="15" hidden="1">'ERG prices (all incl)'!$A$3:$K$313</definedName>
    <definedName name="_xlnm._FilterDatabase" localSheetId="12" hidden="1">'ERG Service assumptions'!$A$5:$AY$315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6" l="1"/>
  <c r="C5" i="6" s="1"/>
  <c r="A6" i="6"/>
  <c r="E6" i="6" s="1"/>
  <c r="A7" i="6"/>
  <c r="E7" i="6" s="1"/>
  <c r="A8" i="6"/>
  <c r="A9" i="6"/>
  <c r="A10" i="6"/>
  <c r="E10" i="6" s="1"/>
  <c r="A11" i="6"/>
  <c r="E11" i="6" s="1"/>
  <c r="A12" i="6"/>
  <c r="A13" i="6"/>
  <c r="C13" i="6" s="1"/>
  <c r="A14" i="6"/>
  <c r="E14" i="6" s="1"/>
  <c r="A15" i="6"/>
  <c r="E15" i="6" s="1"/>
  <c r="A16" i="6"/>
  <c r="D16" i="6" s="1"/>
  <c r="A17" i="6"/>
  <c r="A18" i="6"/>
  <c r="C18" i="6" s="1"/>
  <c r="A19" i="6"/>
  <c r="B19" i="6" s="1"/>
  <c r="A20" i="6"/>
  <c r="A21" i="6"/>
  <c r="C21" i="6" s="1"/>
  <c r="A22" i="6"/>
  <c r="A23" i="6"/>
  <c r="A24" i="6"/>
  <c r="A25" i="6"/>
  <c r="A26" i="6"/>
  <c r="C26" i="6" s="1"/>
  <c r="A27" i="6"/>
  <c r="B27" i="6" s="1"/>
  <c r="A28" i="6"/>
  <c r="C28" i="6" s="1"/>
  <c r="D28" i="6"/>
  <c r="E28" i="6"/>
  <c r="A29" i="6"/>
  <c r="B29" i="6" s="1"/>
  <c r="A30" i="6"/>
  <c r="C30" i="6" s="1"/>
  <c r="A31" i="6"/>
  <c r="E31" i="6" s="1"/>
  <c r="A32" i="6"/>
  <c r="A33" i="6"/>
  <c r="F33" i="6" s="1"/>
  <c r="A34" i="6"/>
  <c r="F34" i="6" s="1"/>
  <c r="A35" i="6"/>
  <c r="A36" i="6"/>
  <c r="C36" i="6" s="1"/>
  <c r="A37" i="6"/>
  <c r="A38" i="6"/>
  <c r="A39" i="6"/>
  <c r="E39" i="6" s="1"/>
  <c r="A40" i="6"/>
  <c r="D40" i="6" s="1"/>
  <c r="A41" i="6"/>
  <c r="A42" i="6"/>
  <c r="C42" i="6" s="1"/>
  <c r="A43" i="6"/>
  <c r="A44" i="6"/>
  <c r="C44" i="6" s="1"/>
  <c r="A45" i="6"/>
  <c r="F45" i="6" s="1"/>
  <c r="A46" i="6"/>
  <c r="F46" i="6" s="1"/>
  <c r="A47" i="6"/>
  <c r="A48" i="6"/>
  <c r="A49" i="6"/>
  <c r="C49" i="6" s="1"/>
  <c r="A50" i="6"/>
  <c r="E50" i="6" s="1"/>
  <c r="A51" i="6"/>
  <c r="A52" i="6"/>
  <c r="A53" i="6"/>
  <c r="D53" i="6" s="1"/>
  <c r="A54" i="6"/>
  <c r="A55" i="6"/>
  <c r="E55" i="6" s="1"/>
  <c r="A56" i="6"/>
  <c r="D56" i="6" s="1"/>
  <c r="A57" i="6"/>
  <c r="D57" i="6" s="1"/>
  <c r="A58" i="6"/>
  <c r="F58" i="6" s="1"/>
  <c r="A59" i="6"/>
  <c r="A60" i="6"/>
  <c r="F60" i="6" s="1"/>
  <c r="A61" i="6"/>
  <c r="A62" i="6"/>
  <c r="D62" i="6" s="1"/>
  <c r="A63" i="6"/>
  <c r="E63" i="6" s="1"/>
  <c r="A64" i="6"/>
  <c r="D64" i="6" s="1"/>
  <c r="A65" i="6"/>
  <c r="E65" i="6" s="1"/>
  <c r="A66" i="6"/>
  <c r="C66" i="6" s="1"/>
  <c r="A67" i="6"/>
  <c r="A68" i="6"/>
  <c r="E68" i="6" s="1"/>
  <c r="A69" i="6"/>
  <c r="E69" i="6" s="1"/>
  <c r="A70" i="6"/>
  <c r="B70" i="6" s="1"/>
  <c r="A71" i="6"/>
  <c r="C71" i="6" s="1"/>
  <c r="A72" i="6"/>
  <c r="F72" i="6" s="1"/>
  <c r="A73" i="6"/>
  <c r="E73" i="6" s="1"/>
  <c r="A74" i="6"/>
  <c r="E74" i="6" s="1"/>
  <c r="A75" i="6"/>
  <c r="A76" i="6"/>
  <c r="B76" i="6" s="1"/>
  <c r="A77" i="6"/>
  <c r="E77" i="6" s="1"/>
  <c r="A78" i="6"/>
  <c r="D78" i="6" s="1"/>
  <c r="A79" i="6"/>
  <c r="A80" i="6"/>
  <c r="E80" i="6" s="1"/>
  <c r="A81" i="6"/>
  <c r="C81" i="6" s="1"/>
  <c r="A82" i="6"/>
  <c r="F82" i="6" s="1"/>
  <c r="A83" i="6"/>
  <c r="A84" i="6"/>
  <c r="D84" i="6" s="1"/>
  <c r="A85" i="6"/>
  <c r="C85" i="6" s="1"/>
  <c r="A86" i="6"/>
  <c r="E86" i="6" s="1"/>
  <c r="A87" i="6"/>
  <c r="A88" i="6"/>
  <c r="A89" i="6"/>
  <c r="F89" i="6" s="1"/>
  <c r="A90" i="6"/>
  <c r="A91" i="6"/>
  <c r="A92" i="6"/>
  <c r="A93" i="6"/>
  <c r="E93" i="6" s="1"/>
  <c r="A94" i="6"/>
  <c r="B94" i="6" s="1"/>
  <c r="A95" i="6"/>
  <c r="A96" i="6"/>
  <c r="A97" i="6"/>
  <c r="F97" i="6" s="1"/>
  <c r="A98" i="6"/>
  <c r="F98" i="6" s="1"/>
  <c r="A99" i="6"/>
  <c r="A100" i="6"/>
  <c r="E100" i="6" s="1"/>
  <c r="A101" i="6"/>
  <c r="B101" i="6" s="1"/>
  <c r="A102" i="6"/>
  <c r="D102" i="6" s="1"/>
  <c r="A103" i="6"/>
  <c r="A104" i="6"/>
  <c r="F104" i="6" s="1"/>
  <c r="A105" i="6"/>
  <c r="F105" i="6" s="1"/>
  <c r="A106" i="6"/>
  <c r="E106" i="6" s="1"/>
  <c r="A107" i="6"/>
  <c r="A108" i="6"/>
  <c r="B108" i="6" s="1"/>
  <c r="A109" i="6"/>
  <c r="A110" i="6"/>
  <c r="A111" i="6"/>
  <c r="A112" i="6"/>
  <c r="A113" i="6"/>
  <c r="F113" i="6" s="1"/>
  <c r="A114" i="6"/>
  <c r="E114" i="6" s="1"/>
  <c r="A115" i="6"/>
  <c r="A116" i="6"/>
  <c r="B116" i="6" s="1"/>
  <c r="A117" i="6"/>
  <c r="E117" i="6" s="1"/>
  <c r="A118" i="6"/>
  <c r="C118" i="6" s="1"/>
  <c r="A119" i="6"/>
  <c r="D119" i="6" s="1"/>
  <c r="A120" i="6"/>
  <c r="D120" i="6" s="1"/>
  <c r="A121" i="6"/>
  <c r="A122" i="6"/>
  <c r="B122" i="6" s="1"/>
  <c r="A123" i="6"/>
  <c r="C123" i="6" s="1"/>
  <c r="A124" i="6"/>
  <c r="F124" i="6" s="1"/>
  <c r="A125" i="6"/>
  <c r="E125" i="6" s="1"/>
  <c r="A126" i="6"/>
  <c r="A127" i="6"/>
  <c r="A128" i="6"/>
  <c r="C128" i="6" s="1"/>
  <c r="A129" i="6"/>
  <c r="A130" i="6"/>
  <c r="A131" i="6"/>
  <c r="E131" i="6" s="1"/>
  <c r="A132" i="6"/>
  <c r="A133" i="6"/>
  <c r="D133" i="6" s="1"/>
  <c r="A134" i="6"/>
  <c r="F134" i="6" s="1"/>
  <c r="A135" i="6"/>
  <c r="D135" i="6" s="1"/>
  <c r="E135" i="6"/>
  <c r="A136" i="6"/>
  <c r="E136" i="6" s="1"/>
  <c r="A137" i="6"/>
  <c r="D137" i="6" s="1"/>
  <c r="A138" i="6"/>
  <c r="A139" i="6"/>
  <c r="B139" i="6" s="1"/>
  <c r="A140" i="6"/>
  <c r="A141" i="6"/>
  <c r="D141" i="6" s="1"/>
  <c r="A142" i="6"/>
  <c r="C142" i="6" s="1"/>
  <c r="A143" i="6"/>
  <c r="B143" i="6" s="1"/>
  <c r="A144" i="6"/>
  <c r="C144" i="6" s="1"/>
  <c r="A145" i="6"/>
  <c r="A146" i="6"/>
  <c r="A147" i="6"/>
  <c r="B147" i="6" s="1"/>
  <c r="A148" i="6"/>
  <c r="A149" i="6"/>
  <c r="F149" i="6" s="1"/>
  <c r="A150" i="6"/>
  <c r="F150" i="6" s="1"/>
  <c r="A151" i="6"/>
  <c r="F151" i="6" s="1"/>
  <c r="A152" i="6"/>
  <c r="E152" i="6" s="1"/>
  <c r="A153" i="6"/>
  <c r="F153" i="6" s="1"/>
  <c r="A154" i="6"/>
  <c r="C154" i="6" s="1"/>
  <c r="A155" i="6"/>
  <c r="B155" i="6" s="1"/>
  <c r="A156" i="6"/>
  <c r="D156" i="6" s="1"/>
  <c r="A157" i="6"/>
  <c r="B157" i="6" s="1"/>
  <c r="A158" i="6"/>
  <c r="F158" i="6" s="1"/>
  <c r="A159" i="6"/>
  <c r="A160" i="6"/>
  <c r="E160" i="6" s="1"/>
  <c r="A161" i="6"/>
  <c r="B161" i="6" s="1"/>
  <c r="A162" i="6"/>
  <c r="A163" i="6"/>
  <c r="F163" i="6" s="1"/>
  <c r="A164" i="6"/>
  <c r="A165" i="6"/>
  <c r="F165" i="6" s="1"/>
  <c r="A166" i="6"/>
  <c r="A167" i="6"/>
  <c r="C167" i="6" s="1"/>
  <c r="A168" i="6"/>
  <c r="E168" i="6" s="1"/>
  <c r="A169" i="6"/>
  <c r="B169" i="6" s="1"/>
  <c r="A170" i="6"/>
  <c r="A171" i="6"/>
  <c r="F171" i="6" s="1"/>
  <c r="A172" i="6"/>
  <c r="C172" i="6" s="1"/>
  <c r="A173" i="6"/>
  <c r="D173" i="6" s="1"/>
  <c r="A174" i="6"/>
  <c r="E174" i="6" s="1"/>
  <c r="A175" i="6"/>
  <c r="F175" i="6" s="1"/>
  <c r="A176" i="6"/>
  <c r="C176" i="6" s="1"/>
  <c r="A177" i="6"/>
  <c r="D177" i="6" s="1"/>
  <c r="A178" i="6"/>
  <c r="E178" i="6" s="1"/>
  <c r="A179" i="6"/>
  <c r="C179" i="6" s="1"/>
  <c r="A180" i="6"/>
  <c r="D180" i="6" s="1"/>
  <c r="A181" i="6"/>
  <c r="A182" i="6"/>
  <c r="A183" i="6"/>
  <c r="E183" i="6" s="1"/>
  <c r="A184" i="6"/>
  <c r="D184" i="6" s="1"/>
  <c r="A185" i="6"/>
  <c r="C185" i="6" s="1"/>
  <c r="A186" i="6"/>
  <c r="E186" i="6" s="1"/>
  <c r="A187" i="6"/>
  <c r="C187" i="6" s="1"/>
  <c r="A188" i="6"/>
  <c r="D188" i="6" s="1"/>
  <c r="A189" i="6"/>
  <c r="C189" i="6" s="1"/>
  <c r="A190" i="6"/>
  <c r="E190" i="6" s="1"/>
  <c r="A191" i="6"/>
  <c r="B191" i="6" s="1"/>
  <c r="A192" i="6"/>
  <c r="D192" i="6" s="1"/>
  <c r="A193" i="6"/>
  <c r="F193" i="6" s="1"/>
  <c r="A194" i="6"/>
  <c r="A195" i="6"/>
  <c r="A196" i="6"/>
  <c r="C196" i="6" s="1"/>
  <c r="A197" i="6"/>
  <c r="D197" i="6" s="1"/>
  <c r="A198" i="6"/>
  <c r="C198" i="6" s="1"/>
  <c r="A199" i="6"/>
  <c r="D199" i="6" s="1"/>
  <c r="A200" i="6"/>
  <c r="C200" i="6" s="1"/>
  <c r="A201" i="6"/>
  <c r="C201" i="6" s="1"/>
  <c r="A202" i="6"/>
  <c r="C202" i="6" s="1"/>
  <c r="A203" i="6"/>
  <c r="B203" i="6" s="1"/>
  <c r="A204" i="6"/>
  <c r="C204" i="6" s="1"/>
  <c r="A205" i="6"/>
  <c r="C205" i="6" s="1"/>
  <c r="A206" i="6"/>
  <c r="C206" i="6" s="1"/>
  <c r="A207" i="6"/>
  <c r="D207" i="6" s="1"/>
  <c r="A208" i="6"/>
  <c r="C208" i="6" s="1"/>
  <c r="A209" i="6"/>
  <c r="F209" i="6" s="1"/>
  <c r="A210" i="6"/>
  <c r="A211" i="6"/>
  <c r="C211" i="6" s="1"/>
  <c r="D211" i="6"/>
  <c r="A212" i="6"/>
  <c r="E212" i="6" s="1"/>
  <c r="A213" i="6"/>
  <c r="C213" i="6" s="1"/>
  <c r="A214" i="6"/>
  <c r="C214" i="6" s="1"/>
  <c r="A215" i="6"/>
  <c r="D215" i="6" s="1"/>
  <c r="A216" i="6"/>
  <c r="E216" i="6" s="1"/>
  <c r="A217" i="6"/>
  <c r="B217" i="6" s="1"/>
  <c r="A218" i="6"/>
  <c r="E218" i="6" s="1"/>
  <c r="A219" i="6"/>
  <c r="C219" i="6" s="1"/>
  <c r="A220" i="6"/>
  <c r="D220" i="6" s="1"/>
  <c r="A221" i="6"/>
  <c r="A222" i="6"/>
  <c r="C222" i="6" s="1"/>
  <c r="A223" i="6"/>
  <c r="B223" i="6" s="1"/>
  <c r="A224" i="6"/>
  <c r="E224" i="6" s="1"/>
  <c r="A225" i="6"/>
  <c r="E225" i="6" s="1"/>
  <c r="A226" i="6"/>
  <c r="E226" i="6" s="1"/>
  <c r="A227" i="6"/>
  <c r="A228" i="6"/>
  <c r="D228" i="6" s="1"/>
  <c r="A229" i="6"/>
  <c r="E229" i="6" s="1"/>
  <c r="A230" i="6"/>
  <c r="C230" i="6" s="1"/>
  <c r="A231" i="6"/>
  <c r="D231" i="6" s="1"/>
  <c r="A232" i="6"/>
  <c r="C232" i="6" s="1"/>
  <c r="A233" i="6"/>
  <c r="E233" i="6" s="1"/>
  <c r="A234" i="6"/>
  <c r="A235" i="6"/>
  <c r="B235" i="6" s="1"/>
  <c r="A236" i="6"/>
  <c r="C236" i="6" s="1"/>
  <c r="A237" i="6"/>
  <c r="D237" i="6" s="1"/>
  <c r="A238" i="6"/>
  <c r="B238" i="6" s="1"/>
  <c r="A239" i="6"/>
  <c r="D239" i="6" s="1"/>
  <c r="A240" i="6"/>
  <c r="E240" i="6" s="1"/>
  <c r="A241" i="6"/>
  <c r="B241" i="6" s="1"/>
  <c r="A242" i="6"/>
  <c r="D242" i="6" s="1"/>
  <c r="A243" i="6"/>
  <c r="B243" i="6" s="1"/>
  <c r="A244" i="6"/>
  <c r="E244" i="6" s="1"/>
  <c r="A245" i="6"/>
  <c r="E245" i="6" s="1"/>
  <c r="A246" i="6"/>
  <c r="E246" i="6" s="1"/>
  <c r="A247" i="6"/>
  <c r="B247" i="6" s="1"/>
  <c r="A248" i="6"/>
  <c r="E248" i="6" s="1"/>
  <c r="A249" i="6"/>
  <c r="B249" i="6" s="1"/>
  <c r="A250" i="6"/>
  <c r="F250" i="6" s="1"/>
  <c r="A251" i="6"/>
  <c r="A252" i="6"/>
  <c r="C252" i="6" s="1"/>
  <c r="A253" i="6"/>
  <c r="B253" i="6" s="1"/>
  <c r="A254" i="6"/>
  <c r="D254" i="6" s="1"/>
  <c r="A255" i="6"/>
  <c r="B255" i="6" s="1"/>
  <c r="A256" i="6"/>
  <c r="A257" i="6"/>
  <c r="D257" i="6" s="1"/>
  <c r="A258" i="6"/>
  <c r="D258" i="6" s="1"/>
  <c r="A259" i="6"/>
  <c r="C259" i="6" s="1"/>
  <c r="A260" i="6"/>
  <c r="A261" i="6"/>
  <c r="F261" i="6" s="1"/>
  <c r="A262" i="6"/>
  <c r="D262" i="6" s="1"/>
  <c r="A263" i="6"/>
  <c r="B263" i="6" s="1"/>
  <c r="A264" i="6"/>
  <c r="D264" i="6" s="1"/>
  <c r="A265" i="6"/>
  <c r="B265" i="6" s="1"/>
  <c r="A266" i="6"/>
  <c r="D266" i="6" s="1"/>
  <c r="A267" i="6"/>
  <c r="C267" i="6" s="1"/>
  <c r="A268" i="6"/>
  <c r="C268" i="6" s="1"/>
  <c r="A269" i="6"/>
  <c r="E269" i="6" s="1"/>
  <c r="A270" i="6"/>
  <c r="D270" i="6" s="1"/>
  <c r="A271" i="6"/>
  <c r="B271" i="6" s="1"/>
  <c r="A272" i="6"/>
  <c r="D272" i="6" s="1"/>
  <c r="A273" i="6"/>
  <c r="D273" i="6" s="1"/>
  <c r="A274" i="6"/>
  <c r="D274" i="6" s="1"/>
  <c r="A275" i="6"/>
  <c r="C275" i="6" s="1"/>
  <c r="A276" i="6"/>
  <c r="A277" i="6"/>
  <c r="F277" i="6" s="1"/>
  <c r="A278" i="6"/>
  <c r="D278" i="6" s="1"/>
  <c r="A279" i="6"/>
  <c r="B279" i="6" s="1"/>
  <c r="A280" i="6"/>
  <c r="D280" i="6" s="1"/>
  <c r="A281" i="6"/>
  <c r="D281" i="6" s="1"/>
  <c r="A282" i="6"/>
  <c r="A283" i="6"/>
  <c r="C283" i="6" s="1"/>
  <c r="A284" i="6"/>
  <c r="A285" i="6"/>
  <c r="A286" i="6"/>
  <c r="D286" i="6" s="1"/>
  <c r="A287" i="6"/>
  <c r="B287" i="6" s="1"/>
  <c r="A288" i="6"/>
  <c r="D288" i="6" s="1"/>
  <c r="A289" i="6"/>
  <c r="D289" i="6" s="1"/>
  <c r="A290" i="6"/>
  <c r="D290" i="6" s="1"/>
  <c r="A291" i="6"/>
  <c r="C291" i="6" s="1"/>
  <c r="A292" i="6"/>
  <c r="C292" i="6" s="1"/>
  <c r="A293" i="6"/>
  <c r="B293" i="6" s="1"/>
  <c r="A294" i="6"/>
  <c r="A295" i="6"/>
  <c r="B295" i="6" s="1"/>
  <c r="A296" i="6"/>
  <c r="C296" i="6" s="1"/>
  <c r="A297" i="6"/>
  <c r="D297" i="6" s="1"/>
  <c r="A298" i="6"/>
  <c r="A299" i="6"/>
  <c r="B299" i="6" s="1"/>
  <c r="A300" i="6"/>
  <c r="C300" i="6" s="1"/>
  <c r="A301" i="6"/>
  <c r="B301" i="6" s="1"/>
  <c r="A302" i="6"/>
  <c r="A303" i="6"/>
  <c r="B303" i="6" s="1"/>
  <c r="A304" i="6"/>
  <c r="C304" i="6" s="1"/>
  <c r="A305" i="6"/>
  <c r="D305" i="6" s="1"/>
  <c r="A306" i="6"/>
  <c r="E306" i="6" s="1"/>
  <c r="D306" i="6"/>
  <c r="A307" i="6"/>
  <c r="B307" i="6" s="1"/>
  <c r="A308" i="6"/>
  <c r="C308" i="6" s="1"/>
  <c r="A309" i="6"/>
  <c r="B309" i="6" s="1"/>
  <c r="A310" i="6"/>
  <c r="B310" i="6" s="1"/>
  <c r="A311" i="6"/>
  <c r="B311" i="6" s="1"/>
  <c r="A312" i="6"/>
  <c r="C312" i="6" s="1"/>
  <c r="A313" i="6"/>
  <c r="A5" i="26"/>
  <c r="B5" i="26" s="1"/>
  <c r="A6" i="26"/>
  <c r="E6" i="26" s="1"/>
  <c r="A7" i="26"/>
  <c r="D7" i="26" s="1"/>
  <c r="A8" i="26"/>
  <c r="E8" i="26" s="1"/>
  <c r="A9" i="26"/>
  <c r="C9" i="26" s="1"/>
  <c r="A10" i="26"/>
  <c r="E10" i="26" s="1"/>
  <c r="A11" i="26"/>
  <c r="C11" i="26" s="1"/>
  <c r="A12" i="26"/>
  <c r="D12" i="26" s="1"/>
  <c r="B12" i="26"/>
  <c r="A13" i="26"/>
  <c r="B13" i="26" s="1"/>
  <c r="A14" i="26"/>
  <c r="E14" i="26" s="1"/>
  <c r="A15" i="26"/>
  <c r="B15" i="26" s="1"/>
  <c r="A16" i="26"/>
  <c r="D16" i="26" s="1"/>
  <c r="A17" i="26"/>
  <c r="E17" i="26" s="1"/>
  <c r="A18" i="26"/>
  <c r="D18" i="26" s="1"/>
  <c r="A19" i="26"/>
  <c r="B19" i="26" s="1"/>
  <c r="A20" i="26"/>
  <c r="B20" i="26" s="1"/>
  <c r="A21" i="26"/>
  <c r="B21" i="26" s="1"/>
  <c r="A22" i="26"/>
  <c r="A23" i="26"/>
  <c r="A24" i="26"/>
  <c r="A25" i="26"/>
  <c r="B25" i="26" s="1"/>
  <c r="A26" i="26"/>
  <c r="D26" i="26" s="1"/>
  <c r="A27" i="26"/>
  <c r="A28" i="26"/>
  <c r="D28" i="26" s="1"/>
  <c r="A29" i="26"/>
  <c r="B29" i="26" s="1"/>
  <c r="A30" i="26"/>
  <c r="F30" i="26" s="1"/>
  <c r="A31" i="26"/>
  <c r="D31" i="26" s="1"/>
  <c r="A32" i="26"/>
  <c r="D32" i="26" s="1"/>
  <c r="A33" i="26"/>
  <c r="D33" i="26" s="1"/>
  <c r="A34" i="26"/>
  <c r="E34" i="26" s="1"/>
  <c r="A35" i="26"/>
  <c r="E35" i="26" s="1"/>
  <c r="A36" i="26"/>
  <c r="B36" i="26" s="1"/>
  <c r="A37" i="26"/>
  <c r="A38" i="26"/>
  <c r="B38" i="26" s="1"/>
  <c r="A39" i="26"/>
  <c r="D39" i="26" s="1"/>
  <c r="A40" i="26"/>
  <c r="C40" i="26" s="1"/>
  <c r="A41" i="26"/>
  <c r="E41" i="26" s="1"/>
  <c r="A42" i="26"/>
  <c r="E42" i="26" s="1"/>
  <c r="A43" i="26"/>
  <c r="B43" i="26" s="1"/>
  <c r="A44" i="26"/>
  <c r="D44" i="26" s="1"/>
  <c r="A45" i="26"/>
  <c r="E45" i="26" s="1"/>
  <c r="A46" i="26"/>
  <c r="B46" i="26" s="1"/>
  <c r="A47" i="26"/>
  <c r="D47" i="26" s="1"/>
  <c r="A48" i="26"/>
  <c r="B48" i="26" s="1"/>
  <c r="A49" i="26"/>
  <c r="D49" i="26" s="1"/>
  <c r="A50" i="26"/>
  <c r="E50" i="26" s="1"/>
  <c r="A51" i="26"/>
  <c r="C51" i="26" s="1"/>
  <c r="A52" i="26"/>
  <c r="B52" i="26" s="1"/>
  <c r="A53" i="26"/>
  <c r="D53" i="26" s="1"/>
  <c r="A54" i="26"/>
  <c r="F54" i="26" s="1"/>
  <c r="A55" i="26"/>
  <c r="D55" i="26" s="1"/>
  <c r="A56" i="26"/>
  <c r="E56" i="26" s="1"/>
  <c r="A57" i="26"/>
  <c r="E57" i="26" s="1"/>
  <c r="A58" i="26"/>
  <c r="E58" i="26" s="1"/>
  <c r="A59" i="26"/>
  <c r="E59" i="26" s="1"/>
  <c r="A60" i="26"/>
  <c r="C60" i="26" s="1"/>
  <c r="A61" i="26"/>
  <c r="F61" i="26" s="1"/>
  <c r="A62" i="26"/>
  <c r="A63" i="26"/>
  <c r="D63" i="26" s="1"/>
  <c r="A64" i="26"/>
  <c r="D64" i="26" s="1"/>
  <c r="A65" i="26"/>
  <c r="E65" i="26" s="1"/>
  <c r="A66" i="26"/>
  <c r="A67" i="26"/>
  <c r="E67" i="26" s="1"/>
  <c r="A68" i="26"/>
  <c r="D68" i="26" s="1"/>
  <c r="A69" i="26"/>
  <c r="F69" i="26" s="1"/>
  <c r="A70" i="26"/>
  <c r="A71" i="26"/>
  <c r="E71" i="26" s="1"/>
  <c r="A72" i="26"/>
  <c r="A73" i="26"/>
  <c r="A74" i="26"/>
  <c r="F74" i="26" s="1"/>
  <c r="A75" i="26"/>
  <c r="B75" i="26" s="1"/>
  <c r="A76" i="26"/>
  <c r="C76" i="26" s="1"/>
  <c r="A77" i="26"/>
  <c r="B77" i="26" s="1"/>
  <c r="A78" i="26"/>
  <c r="B78" i="26" s="1"/>
  <c r="A79" i="26"/>
  <c r="E79" i="26" s="1"/>
  <c r="A80" i="26"/>
  <c r="C80" i="26" s="1"/>
  <c r="A81" i="26"/>
  <c r="D81" i="26" s="1"/>
  <c r="A82" i="26"/>
  <c r="A83" i="26"/>
  <c r="B83" i="26" s="1"/>
  <c r="A84" i="26"/>
  <c r="A85" i="26"/>
  <c r="E85" i="26" s="1"/>
  <c r="A86" i="26"/>
  <c r="C86" i="26" s="1"/>
  <c r="A87" i="26"/>
  <c r="D87" i="26" s="1"/>
  <c r="A88" i="26"/>
  <c r="E88" i="26" s="1"/>
  <c r="A89" i="26"/>
  <c r="A90" i="26"/>
  <c r="B90" i="26" s="1"/>
  <c r="A91" i="26"/>
  <c r="D91" i="26" s="1"/>
  <c r="A92" i="26"/>
  <c r="C92" i="26" s="1"/>
  <c r="A93" i="26"/>
  <c r="B93" i="26" s="1"/>
  <c r="A94" i="26"/>
  <c r="B94" i="26" s="1"/>
  <c r="A95" i="26"/>
  <c r="D95" i="26" s="1"/>
  <c r="A96" i="26"/>
  <c r="E96" i="26" s="1"/>
  <c r="A97" i="26"/>
  <c r="B97" i="26" s="1"/>
  <c r="A98" i="26"/>
  <c r="D98" i="26" s="1"/>
  <c r="A99" i="26"/>
  <c r="D99" i="26" s="1"/>
  <c r="A100" i="26"/>
  <c r="A101" i="26"/>
  <c r="E101" i="26" s="1"/>
  <c r="A102" i="26"/>
  <c r="F102" i="26" s="1"/>
  <c r="A103" i="26"/>
  <c r="C103" i="26" s="1"/>
  <c r="A104" i="26"/>
  <c r="B104" i="26" s="1"/>
  <c r="A105" i="26"/>
  <c r="D105" i="26" s="1"/>
  <c r="A106" i="26"/>
  <c r="C106" i="26" s="1"/>
  <c r="A107" i="26"/>
  <c r="A108" i="26"/>
  <c r="F108" i="26" s="1"/>
  <c r="A109" i="26"/>
  <c r="A110" i="26"/>
  <c r="D110" i="26" s="1"/>
  <c r="A111" i="26"/>
  <c r="C111" i="26" s="1"/>
  <c r="A112" i="26"/>
  <c r="F112" i="26" s="1"/>
  <c r="A113" i="26"/>
  <c r="D113" i="26" s="1"/>
  <c r="A114" i="26"/>
  <c r="C114" i="26" s="1"/>
  <c r="A115" i="26"/>
  <c r="E115" i="26" s="1"/>
  <c r="A116" i="26"/>
  <c r="D116" i="26" s="1"/>
  <c r="A117" i="26"/>
  <c r="B117" i="26" s="1"/>
  <c r="A118" i="26"/>
  <c r="C118" i="26" s="1"/>
  <c r="A119" i="26"/>
  <c r="A120" i="26"/>
  <c r="E120" i="26" s="1"/>
  <c r="A121" i="26"/>
  <c r="D121" i="26" s="1"/>
  <c r="A122" i="26"/>
  <c r="D122" i="26" s="1"/>
  <c r="A123" i="26"/>
  <c r="A124" i="26"/>
  <c r="B124" i="26" s="1"/>
  <c r="A125" i="26"/>
  <c r="B125" i="26" s="1"/>
  <c r="A126" i="26"/>
  <c r="C126" i="26" s="1"/>
  <c r="A127" i="26"/>
  <c r="C127" i="26" s="1"/>
  <c r="A128" i="26"/>
  <c r="B128" i="26" s="1"/>
  <c r="A129" i="26"/>
  <c r="B129" i="26" s="1"/>
  <c r="A130" i="26"/>
  <c r="C130" i="26" s="1"/>
  <c r="A131" i="26"/>
  <c r="D131" i="26" s="1"/>
  <c r="A132" i="26"/>
  <c r="B132" i="26" s="1"/>
  <c r="A133" i="26"/>
  <c r="B133" i="26" s="1"/>
  <c r="A134" i="26"/>
  <c r="C134" i="26" s="1"/>
  <c r="A135" i="26"/>
  <c r="C135" i="26" s="1"/>
  <c r="A136" i="26"/>
  <c r="B136" i="26" s="1"/>
  <c r="A137" i="26"/>
  <c r="B137" i="26" s="1"/>
  <c r="A138" i="26"/>
  <c r="C138" i="26" s="1"/>
  <c r="A139" i="26"/>
  <c r="B139" i="26" s="1"/>
  <c r="A140" i="26"/>
  <c r="B140" i="26" s="1"/>
  <c r="A141" i="26"/>
  <c r="B141" i="26" s="1"/>
  <c r="A142" i="26"/>
  <c r="C142" i="26" s="1"/>
  <c r="A143" i="26"/>
  <c r="C143" i="26" s="1"/>
  <c r="A144" i="26"/>
  <c r="B144" i="26" s="1"/>
  <c r="A145" i="26"/>
  <c r="B145" i="26" s="1"/>
  <c r="E26" i="6" l="1"/>
  <c r="E231" i="6"/>
  <c r="F297" i="6"/>
  <c r="F291" i="6"/>
  <c r="B281" i="6"/>
  <c r="E58" i="6"/>
  <c r="F293" i="6"/>
  <c r="E283" i="6"/>
  <c r="F118" i="6"/>
  <c r="E64" i="6"/>
  <c r="E263" i="6"/>
  <c r="E118" i="6"/>
  <c r="B64" i="6"/>
  <c r="F253" i="6"/>
  <c r="F301" i="6"/>
  <c r="E291" i="6"/>
  <c r="F258" i="6"/>
  <c r="E253" i="6"/>
  <c r="C231" i="6"/>
  <c r="F213" i="6"/>
  <c r="F94" i="6"/>
  <c r="C82" i="6"/>
  <c r="C77" i="6"/>
  <c r="D74" i="6"/>
  <c r="E29" i="6"/>
  <c r="F283" i="6"/>
  <c r="F281" i="6"/>
  <c r="F275" i="6"/>
  <c r="F254" i="6"/>
  <c r="D253" i="6"/>
  <c r="E243" i="6"/>
  <c r="E232" i="6"/>
  <c r="F219" i="6"/>
  <c r="C94" i="6"/>
  <c r="B82" i="6"/>
  <c r="B57" i="6"/>
  <c r="D27" i="6"/>
  <c r="F21" i="6"/>
  <c r="E19" i="6"/>
  <c r="E13" i="6"/>
  <c r="E169" i="6"/>
  <c r="B21" i="6"/>
  <c r="D19" i="6"/>
  <c r="F86" i="26"/>
  <c r="F83" i="26"/>
  <c r="D8" i="26"/>
  <c r="F131" i="26"/>
  <c r="D291" i="6"/>
  <c r="E268" i="6"/>
  <c r="F267" i="6"/>
  <c r="F259" i="6"/>
  <c r="D243" i="6"/>
  <c r="F242" i="6"/>
  <c r="F225" i="6"/>
  <c r="F205" i="6"/>
  <c r="F201" i="6"/>
  <c r="F189" i="6"/>
  <c r="E56" i="6"/>
  <c r="F305" i="6"/>
  <c r="B291" i="6"/>
  <c r="D268" i="6"/>
  <c r="E267" i="6"/>
  <c r="E259" i="6"/>
  <c r="C243" i="6"/>
  <c r="E242" i="6"/>
  <c r="F226" i="6"/>
  <c r="D225" i="6"/>
  <c r="C212" i="6"/>
  <c r="E205" i="6"/>
  <c r="E203" i="6"/>
  <c r="E201" i="6"/>
  <c r="E189" i="6"/>
  <c r="E187" i="6"/>
  <c r="C168" i="6"/>
  <c r="E57" i="6"/>
  <c r="B56" i="6"/>
  <c r="F53" i="6"/>
  <c r="C50" i="6"/>
  <c r="E44" i="6"/>
  <c r="E27" i="6"/>
  <c r="E18" i="6"/>
  <c r="F5" i="6"/>
  <c r="F312" i="6"/>
  <c r="F296" i="6"/>
  <c r="E287" i="6"/>
  <c r="D267" i="6"/>
  <c r="F249" i="6"/>
  <c r="F243" i="6"/>
  <c r="D205" i="6"/>
  <c r="B189" i="6"/>
  <c r="E184" i="6"/>
  <c r="D131" i="6"/>
  <c r="E128" i="6"/>
  <c r="B100" i="6"/>
  <c r="B86" i="6"/>
  <c r="B84" i="6"/>
  <c r="C247" i="6"/>
  <c r="D247" i="6"/>
  <c r="B221" i="6"/>
  <c r="D221" i="6"/>
  <c r="C209" i="6"/>
  <c r="E209" i="6"/>
  <c r="C197" i="6"/>
  <c r="E197" i="6"/>
  <c r="E81" i="6"/>
  <c r="F78" i="6"/>
  <c r="B37" i="6"/>
  <c r="F37" i="6"/>
  <c r="C25" i="6"/>
  <c r="E25" i="6"/>
  <c r="C251" i="6"/>
  <c r="E251" i="6"/>
  <c r="B96" i="6"/>
  <c r="F96" i="6"/>
  <c r="C47" i="6"/>
  <c r="D47" i="6"/>
  <c r="D313" i="6"/>
  <c r="F313" i="6"/>
  <c r="D309" i="6"/>
  <c r="E309" i="6"/>
  <c r="F251" i="6"/>
  <c r="B163" i="6"/>
  <c r="D163" i="6"/>
  <c r="D143" i="6"/>
  <c r="C143" i="6"/>
  <c r="D139" i="6"/>
  <c r="F139" i="6"/>
  <c r="B269" i="6"/>
  <c r="F269" i="6"/>
  <c r="B298" i="6"/>
  <c r="C298" i="6"/>
  <c r="C284" i="6"/>
  <c r="D284" i="6"/>
  <c r="D282" i="6"/>
  <c r="C282" i="6"/>
  <c r="D127" i="6"/>
  <c r="B127" i="6"/>
  <c r="D109" i="6"/>
  <c r="F90" i="6"/>
  <c r="B90" i="6"/>
  <c r="C17" i="6"/>
  <c r="E17" i="6"/>
  <c r="B285" i="6"/>
  <c r="F285" i="6"/>
  <c r="D183" i="6"/>
  <c r="F146" i="6"/>
  <c r="B146" i="6"/>
  <c r="C133" i="6"/>
  <c r="B133" i="6"/>
  <c r="B302" i="6"/>
  <c r="E302" i="6"/>
  <c r="D301" i="6"/>
  <c r="E301" i="6"/>
  <c r="E298" i="6"/>
  <c r="F282" i="6"/>
  <c r="D251" i="6"/>
  <c r="D250" i="6"/>
  <c r="F247" i="6"/>
  <c r="D226" i="6"/>
  <c r="C226" i="6"/>
  <c r="B211" i="6"/>
  <c r="F211" i="6"/>
  <c r="C193" i="6"/>
  <c r="D193" i="6"/>
  <c r="B187" i="6"/>
  <c r="D187" i="6"/>
  <c r="E171" i="6"/>
  <c r="F167" i="6"/>
  <c r="D151" i="6"/>
  <c r="C151" i="6"/>
  <c r="F147" i="6"/>
  <c r="F143" i="6"/>
  <c r="F127" i="6"/>
  <c r="C121" i="6"/>
  <c r="F121" i="6"/>
  <c r="F117" i="6"/>
  <c r="D116" i="6"/>
  <c r="F116" i="6"/>
  <c r="E109" i="6"/>
  <c r="F108" i="6"/>
  <c r="E108" i="6"/>
  <c r="C95" i="6"/>
  <c r="D95" i="6"/>
  <c r="F86" i="6"/>
  <c r="E78" i="6"/>
  <c r="D72" i="6"/>
  <c r="D71" i="6"/>
  <c r="E71" i="6"/>
  <c r="C46" i="6"/>
  <c r="B46" i="6"/>
  <c r="E46" i="6"/>
  <c r="F309" i="6"/>
  <c r="B306" i="6"/>
  <c r="C306" i="6"/>
  <c r="F304" i="6"/>
  <c r="D298" i="6"/>
  <c r="B294" i="6"/>
  <c r="E294" i="6"/>
  <c r="D293" i="6"/>
  <c r="E293" i="6"/>
  <c r="F289" i="6"/>
  <c r="E284" i="6"/>
  <c r="B282" i="6"/>
  <c r="B277" i="6"/>
  <c r="D256" i="6"/>
  <c r="B251" i="6"/>
  <c r="E247" i="6"/>
  <c r="B227" i="6"/>
  <c r="E227" i="6"/>
  <c r="E211" i="6"/>
  <c r="F197" i="6"/>
  <c r="B195" i="6"/>
  <c r="E195" i="6"/>
  <c r="C181" i="6"/>
  <c r="F181" i="6"/>
  <c r="C171" i="6"/>
  <c r="E161" i="6"/>
  <c r="D160" i="6"/>
  <c r="C160" i="6"/>
  <c r="F157" i="6"/>
  <c r="E155" i="6"/>
  <c r="D147" i="6"/>
  <c r="E143" i="6"/>
  <c r="E139" i="6"/>
  <c r="F133" i="6"/>
  <c r="E127" i="6"/>
  <c r="D111" i="6"/>
  <c r="B109" i="6"/>
  <c r="D96" i="6"/>
  <c r="D94" i="6"/>
  <c r="E94" i="6"/>
  <c r="D90" i="6"/>
  <c r="D86" i="6"/>
  <c r="E85" i="6"/>
  <c r="D82" i="6"/>
  <c r="E82" i="6"/>
  <c r="B78" i="6"/>
  <c r="B72" i="6"/>
  <c r="E70" i="6"/>
  <c r="C68" i="6"/>
  <c r="B68" i="6"/>
  <c r="E47" i="6"/>
  <c r="D30" i="6"/>
  <c r="E30" i="6"/>
  <c r="F30" i="6"/>
  <c r="F57" i="6"/>
  <c r="F56" i="6"/>
  <c r="B114" i="26"/>
  <c r="D103" i="26"/>
  <c r="F55" i="26"/>
  <c r="D67" i="26"/>
  <c r="F65" i="26"/>
  <c r="B55" i="26"/>
  <c r="B118" i="26"/>
  <c r="D101" i="26"/>
  <c r="B98" i="26"/>
  <c r="D69" i="26"/>
  <c r="C67" i="26"/>
  <c r="C39" i="26"/>
  <c r="F32" i="26"/>
  <c r="D21" i="26"/>
  <c r="F118" i="26"/>
  <c r="B143" i="26"/>
  <c r="D118" i="26"/>
  <c r="F116" i="26"/>
  <c r="F75" i="26"/>
  <c r="E139" i="26"/>
  <c r="E133" i="26"/>
  <c r="B131" i="26"/>
  <c r="D128" i="26"/>
  <c r="E121" i="26"/>
  <c r="D83" i="26"/>
  <c r="D80" i="26"/>
  <c r="F77" i="26"/>
  <c r="B71" i="26"/>
  <c r="E43" i="26"/>
  <c r="B40" i="26"/>
  <c r="D38" i="26"/>
  <c r="E141" i="26"/>
  <c r="B135" i="26"/>
  <c r="C121" i="26"/>
  <c r="E114" i="26"/>
  <c r="F104" i="26"/>
  <c r="C99" i="26"/>
  <c r="F93" i="26"/>
  <c r="E90" i="26"/>
  <c r="E87" i="26"/>
  <c r="C59" i="26"/>
  <c r="E20" i="26"/>
  <c r="F106" i="26"/>
  <c r="F98" i="26"/>
  <c r="E55" i="26"/>
  <c r="F40" i="26"/>
  <c r="F28" i="26"/>
  <c r="E131" i="26"/>
  <c r="D144" i="26"/>
  <c r="B142" i="26"/>
  <c r="C140" i="26"/>
  <c r="C132" i="26"/>
  <c r="C131" i="26"/>
  <c r="F122" i="26"/>
  <c r="E118" i="26"/>
  <c r="F114" i="26"/>
  <c r="B106" i="26"/>
  <c r="F101" i="26"/>
  <c r="E98" i="26"/>
  <c r="B63" i="26"/>
  <c r="F42" i="26"/>
  <c r="E40" i="26"/>
  <c r="E36" i="26"/>
  <c r="B30" i="26"/>
  <c r="B28" i="26"/>
  <c r="C25" i="26"/>
  <c r="F12" i="26"/>
  <c r="E135" i="26"/>
  <c r="F134" i="26"/>
  <c r="C122" i="26"/>
  <c r="D114" i="26"/>
  <c r="F113" i="26"/>
  <c r="E106" i="26"/>
  <c r="F105" i="26"/>
  <c r="D104" i="26"/>
  <c r="C102" i="26"/>
  <c r="D92" i="26"/>
  <c r="C87" i="26"/>
  <c r="D75" i="26"/>
  <c r="C64" i="26"/>
  <c r="E51" i="26"/>
  <c r="C43" i="26"/>
  <c r="D40" i="26"/>
  <c r="F39" i="26"/>
  <c r="F38" i="26"/>
  <c r="C36" i="26"/>
  <c r="B31" i="26"/>
  <c r="E29" i="26"/>
  <c r="E28" i="26"/>
  <c r="C20" i="26"/>
  <c r="E19" i="26"/>
  <c r="E13" i="26"/>
  <c r="E12" i="26"/>
  <c r="F135" i="26"/>
  <c r="D43" i="26"/>
  <c r="D36" i="26"/>
  <c r="D20" i="26"/>
  <c r="F19" i="26"/>
  <c r="F143" i="26"/>
  <c r="D135" i="26"/>
  <c r="B134" i="26"/>
  <c r="E132" i="26"/>
  <c r="E127" i="26"/>
  <c r="B113" i="26"/>
  <c r="D106" i="26"/>
  <c r="C105" i="26"/>
  <c r="D97" i="26"/>
  <c r="F71" i="26"/>
  <c r="F43" i="26"/>
  <c r="E39" i="26"/>
  <c r="E38" i="26"/>
  <c r="F36" i="26"/>
  <c r="C29" i="26"/>
  <c r="C28" i="26"/>
  <c r="F20" i="26"/>
  <c r="C13" i="26"/>
  <c r="C12" i="26"/>
  <c r="D96" i="26"/>
  <c r="D65" i="26"/>
  <c r="B130" i="26"/>
  <c r="F127" i="26"/>
  <c r="B126" i="26"/>
  <c r="E122" i="26"/>
  <c r="B116" i="26"/>
  <c r="B112" i="26"/>
  <c r="C96" i="26"/>
  <c r="C91" i="26"/>
  <c r="F90" i="26"/>
  <c r="E83" i="26"/>
  <c r="E80" i="26"/>
  <c r="E75" i="26"/>
  <c r="B65" i="26"/>
  <c r="D59" i="26"/>
  <c r="F58" i="26"/>
  <c r="C54" i="26"/>
  <c r="C52" i="26"/>
  <c r="F51" i="26"/>
  <c r="B51" i="26"/>
  <c r="B50" i="26"/>
  <c r="C48" i="26"/>
  <c r="B47" i="26"/>
  <c r="D45" i="26"/>
  <c r="B32" i="26"/>
  <c r="B11" i="26"/>
  <c r="B7" i="26"/>
  <c r="D5" i="26"/>
  <c r="C144" i="26"/>
  <c r="E137" i="26"/>
  <c r="E134" i="26"/>
  <c r="D132" i="26"/>
  <c r="C128" i="26"/>
  <c r="B127" i="26"/>
  <c r="E125" i="26"/>
  <c r="C124" i="26"/>
  <c r="B122" i="26"/>
  <c r="E116" i="26"/>
  <c r="E105" i="26"/>
  <c r="E104" i="26"/>
  <c r="E103" i="26"/>
  <c r="C98" i="26"/>
  <c r="F95" i="26"/>
  <c r="C88" i="26"/>
  <c r="E86" i="26"/>
  <c r="C79" i="26"/>
  <c r="E64" i="26"/>
  <c r="F63" i="26"/>
  <c r="B61" i="26"/>
  <c r="F59" i="26"/>
  <c r="B59" i="26"/>
  <c r="F57" i="26"/>
  <c r="E52" i="26"/>
  <c r="D51" i="26"/>
  <c r="F50" i="26"/>
  <c r="E49" i="26"/>
  <c r="E48" i="26"/>
  <c r="C33" i="26"/>
  <c r="E32" i="26"/>
  <c r="F31" i="26"/>
  <c r="D29" i="26"/>
  <c r="D25" i="26"/>
  <c r="C21" i="26"/>
  <c r="E16" i="26"/>
  <c r="D13" i="26"/>
  <c r="F7" i="26"/>
  <c r="E130" i="26"/>
  <c r="D52" i="26"/>
  <c r="D48" i="26"/>
  <c r="F47" i="26"/>
  <c r="C32" i="26"/>
  <c r="E11" i="26"/>
  <c r="C7" i="26"/>
  <c r="E5" i="26"/>
  <c r="E310" i="6"/>
  <c r="B162" i="6"/>
  <c r="E162" i="6"/>
  <c r="C115" i="6"/>
  <c r="D115" i="6"/>
  <c r="D110" i="6"/>
  <c r="C110" i="6"/>
  <c r="E110" i="6"/>
  <c r="D67" i="6"/>
  <c r="C54" i="6"/>
  <c r="E54" i="6"/>
  <c r="E313" i="6"/>
  <c r="B312" i="6"/>
  <c r="D310" i="6"/>
  <c r="E307" i="6"/>
  <c r="F306" i="6"/>
  <c r="E305" i="6"/>
  <c r="B304" i="6"/>
  <c r="D302" i="6"/>
  <c r="E299" i="6"/>
  <c r="F298" i="6"/>
  <c r="E297" i="6"/>
  <c r="B296" i="6"/>
  <c r="D294" i="6"/>
  <c r="E285" i="6"/>
  <c r="D283" i="6"/>
  <c r="E279" i="6"/>
  <c r="E275" i="6"/>
  <c r="F274" i="6"/>
  <c r="F270" i="6"/>
  <c r="D269" i="6"/>
  <c r="B267" i="6"/>
  <c r="F266" i="6"/>
  <c r="F265" i="6"/>
  <c r="C260" i="6"/>
  <c r="D259" i="6"/>
  <c r="E252" i="6"/>
  <c r="C250" i="6"/>
  <c r="D249" i="6"/>
  <c r="B242" i="6"/>
  <c r="E239" i="6"/>
  <c r="E234" i="6"/>
  <c r="D227" i="6"/>
  <c r="B226" i="6"/>
  <c r="E223" i="6"/>
  <c r="E219" i="6"/>
  <c r="D213" i="6"/>
  <c r="B209" i="6"/>
  <c r="B205" i="6"/>
  <c r="B201" i="6"/>
  <c r="B197" i="6"/>
  <c r="F187" i="6"/>
  <c r="F185" i="6"/>
  <c r="C184" i="6"/>
  <c r="C183" i="6"/>
  <c r="D167" i="6"/>
  <c r="B167" i="6"/>
  <c r="E154" i="6"/>
  <c r="F154" i="6"/>
  <c r="B151" i="6"/>
  <c r="D144" i="6"/>
  <c r="D142" i="6"/>
  <c r="F142" i="6"/>
  <c r="E137" i="6"/>
  <c r="B137" i="6"/>
  <c r="E122" i="6"/>
  <c r="D112" i="6"/>
  <c r="F112" i="6"/>
  <c r="B102" i="6"/>
  <c r="F102" i="6"/>
  <c r="C102" i="6"/>
  <c r="C63" i="6"/>
  <c r="D63" i="6"/>
  <c r="B62" i="6"/>
  <c r="F62" i="6"/>
  <c r="C62" i="6"/>
  <c r="D49" i="6"/>
  <c r="E49" i="6"/>
  <c r="F49" i="6"/>
  <c r="B39" i="6"/>
  <c r="F39" i="6"/>
  <c r="C39" i="6"/>
  <c r="D39" i="6"/>
  <c r="B313" i="6"/>
  <c r="C310" i="6"/>
  <c r="F308" i="6"/>
  <c r="B305" i="6"/>
  <c r="C302" i="6"/>
  <c r="F300" i="6"/>
  <c r="B297" i="6"/>
  <c r="C294" i="6"/>
  <c r="F292" i="6"/>
  <c r="F290" i="6"/>
  <c r="F286" i="6"/>
  <c r="D285" i="6"/>
  <c r="B283" i="6"/>
  <c r="C276" i="6"/>
  <c r="D275" i="6"/>
  <c r="C266" i="6"/>
  <c r="D265" i="6"/>
  <c r="C264" i="6"/>
  <c r="B259" i="6"/>
  <c r="F257" i="6"/>
  <c r="E255" i="6"/>
  <c r="D252" i="6"/>
  <c r="B250" i="6"/>
  <c r="D240" i="6"/>
  <c r="C239" i="6"/>
  <c r="E230" i="6"/>
  <c r="E228" i="6"/>
  <c r="C227" i="6"/>
  <c r="D219" i="6"/>
  <c r="E215" i="6"/>
  <c r="E207" i="6"/>
  <c r="E199" i="6"/>
  <c r="D152" i="6"/>
  <c r="C147" i="6"/>
  <c r="B138" i="6"/>
  <c r="F138" i="6"/>
  <c r="E126" i="6"/>
  <c r="F110" i="6"/>
  <c r="B74" i="6"/>
  <c r="F74" i="6"/>
  <c r="C74" i="6"/>
  <c r="C70" i="6"/>
  <c r="D70" i="6"/>
  <c r="E66" i="6"/>
  <c r="B48" i="6"/>
  <c r="E48" i="6"/>
  <c r="F48" i="6"/>
  <c r="D38" i="6"/>
  <c r="E38" i="6"/>
  <c r="F38" i="6"/>
  <c r="C9" i="6"/>
  <c r="E9" i="6"/>
  <c r="F9" i="6"/>
  <c r="E311" i="6"/>
  <c r="F310" i="6"/>
  <c r="B308" i="6"/>
  <c r="E303" i="6"/>
  <c r="F302" i="6"/>
  <c r="B300" i="6"/>
  <c r="E295" i="6"/>
  <c r="F294" i="6"/>
  <c r="B292" i="6"/>
  <c r="C280" i="6"/>
  <c r="B275" i="6"/>
  <c r="F273" i="6"/>
  <c r="E271" i="6"/>
  <c r="B266" i="6"/>
  <c r="B261" i="6"/>
  <c r="D245" i="6"/>
  <c r="F241" i="6"/>
  <c r="E235" i="6"/>
  <c r="F227" i="6"/>
  <c r="D224" i="6"/>
  <c r="B219" i="6"/>
  <c r="C215" i="6"/>
  <c r="E208" i="6"/>
  <c r="C207" i="6"/>
  <c r="E200" i="6"/>
  <c r="C199" i="6"/>
  <c r="E191" i="6"/>
  <c r="F179" i="6"/>
  <c r="E177" i="6"/>
  <c r="E173" i="6"/>
  <c r="D171" i="6"/>
  <c r="B171" i="6"/>
  <c r="E167" i="6"/>
  <c r="D158" i="6"/>
  <c r="C158" i="6"/>
  <c r="C156" i="6"/>
  <c r="D155" i="6"/>
  <c r="F155" i="6"/>
  <c r="D153" i="6"/>
  <c r="B153" i="6"/>
  <c r="C152" i="6"/>
  <c r="E151" i="6"/>
  <c r="E147" i="6"/>
  <c r="E144" i="6"/>
  <c r="C139" i="6"/>
  <c r="F137" i="6"/>
  <c r="C127" i="6"/>
  <c r="C126" i="6"/>
  <c r="D118" i="6"/>
  <c r="B118" i="6"/>
  <c r="E115" i="6"/>
  <c r="C113" i="6"/>
  <c r="B110" i="6"/>
  <c r="E102" i="6"/>
  <c r="D99" i="6"/>
  <c r="C99" i="6"/>
  <c r="E99" i="6"/>
  <c r="C89" i="6"/>
  <c r="E89" i="6"/>
  <c r="D80" i="6"/>
  <c r="F80" i="6"/>
  <c r="F70" i="6"/>
  <c r="C67" i="6"/>
  <c r="E62" i="6"/>
  <c r="C58" i="6"/>
  <c r="B58" i="6"/>
  <c r="D58" i="6"/>
  <c r="B35" i="6"/>
  <c r="D35" i="6"/>
  <c r="E35" i="6"/>
  <c r="C53" i="6"/>
  <c r="D46" i="6"/>
  <c r="E37" i="6"/>
  <c r="C27" i="6"/>
  <c r="E21" i="6"/>
  <c r="C19" i="6"/>
  <c r="E5" i="6"/>
  <c r="F109" i="6"/>
  <c r="F68" i="6"/>
  <c r="F64" i="6"/>
  <c r="F44" i="6"/>
  <c r="F29" i="6"/>
  <c r="F25" i="6"/>
  <c r="D21" i="6"/>
  <c r="F17" i="6"/>
  <c r="F13" i="6"/>
  <c r="C175" i="6"/>
  <c r="B159" i="6"/>
  <c r="F159" i="6"/>
  <c r="D145" i="6"/>
  <c r="E145" i="6"/>
  <c r="C129" i="6"/>
  <c r="D129" i="6"/>
  <c r="E129" i="6"/>
  <c r="C313" i="6"/>
  <c r="E312" i="6"/>
  <c r="C309" i="6"/>
  <c r="E308" i="6"/>
  <c r="C305" i="6"/>
  <c r="E304" i="6"/>
  <c r="C301" i="6"/>
  <c r="E300" i="6"/>
  <c r="C297" i="6"/>
  <c r="E296" i="6"/>
  <c r="C293" i="6"/>
  <c r="E292" i="6"/>
  <c r="D287" i="6"/>
  <c r="E286" i="6"/>
  <c r="D279" i="6"/>
  <c r="D271" i="6"/>
  <c r="E270" i="6"/>
  <c r="D263" i="6"/>
  <c r="D255" i="6"/>
  <c r="E254" i="6"/>
  <c r="C242" i="6"/>
  <c r="E241" i="6"/>
  <c r="C240" i="6"/>
  <c r="F239" i="6"/>
  <c r="B239" i="6"/>
  <c r="D235" i="6"/>
  <c r="B234" i="6"/>
  <c r="F231" i="6"/>
  <c r="B231" i="6"/>
  <c r="B225" i="6"/>
  <c r="C224" i="6"/>
  <c r="D223" i="6"/>
  <c r="F215" i="6"/>
  <c r="B215" i="6"/>
  <c r="B213" i="6"/>
  <c r="D209" i="6"/>
  <c r="F207" i="6"/>
  <c r="B207" i="6"/>
  <c r="D203" i="6"/>
  <c r="D201" i="6"/>
  <c r="F199" i="6"/>
  <c r="B199" i="6"/>
  <c r="D195" i="6"/>
  <c r="B193" i="6"/>
  <c r="D191" i="6"/>
  <c r="D189" i="6"/>
  <c r="E185" i="6"/>
  <c r="F183" i="6"/>
  <c r="B183" i="6"/>
  <c r="E181" i="6"/>
  <c r="E179" i="6"/>
  <c r="E175" i="6"/>
  <c r="D169" i="6"/>
  <c r="D168" i="6"/>
  <c r="D161" i="6"/>
  <c r="F161" i="6"/>
  <c r="E159" i="6"/>
  <c r="D157" i="6"/>
  <c r="C155" i="6"/>
  <c r="E153" i="6"/>
  <c r="D146" i="6"/>
  <c r="E146" i="6"/>
  <c r="C136" i="6"/>
  <c r="D136" i="6"/>
  <c r="B135" i="6"/>
  <c r="F135" i="6"/>
  <c r="C135" i="6"/>
  <c r="C130" i="6"/>
  <c r="E130" i="6"/>
  <c r="C125" i="6"/>
  <c r="B125" i="6"/>
  <c r="D125" i="6"/>
  <c r="F120" i="6"/>
  <c r="D117" i="6"/>
  <c r="B117" i="6"/>
  <c r="C117" i="6"/>
  <c r="B114" i="6"/>
  <c r="F114" i="6"/>
  <c r="C114" i="6"/>
  <c r="D114" i="6"/>
  <c r="B106" i="6"/>
  <c r="F106" i="6"/>
  <c r="C106" i="6"/>
  <c r="D106" i="6"/>
  <c r="D75" i="6"/>
  <c r="C75" i="6"/>
  <c r="E75" i="6"/>
  <c r="B52" i="6"/>
  <c r="D52" i="6"/>
  <c r="F52" i="6"/>
  <c r="B23" i="6"/>
  <c r="F23" i="6"/>
  <c r="C23" i="6"/>
  <c r="D23" i="6"/>
  <c r="E23" i="6"/>
  <c r="C287" i="6"/>
  <c r="C286" i="6"/>
  <c r="C279" i="6"/>
  <c r="F278" i="6"/>
  <c r="C271" i="6"/>
  <c r="C270" i="6"/>
  <c r="C263" i="6"/>
  <c r="F262" i="6"/>
  <c r="C255" i="6"/>
  <c r="C254" i="6"/>
  <c r="D241" i="6"/>
  <c r="C238" i="6"/>
  <c r="D236" i="6"/>
  <c r="C235" i="6"/>
  <c r="C223" i="6"/>
  <c r="E217" i="6"/>
  <c r="E204" i="6"/>
  <c r="C203" i="6"/>
  <c r="E196" i="6"/>
  <c r="C195" i="6"/>
  <c r="E192" i="6"/>
  <c r="C191" i="6"/>
  <c r="E188" i="6"/>
  <c r="D185" i="6"/>
  <c r="D181" i="6"/>
  <c r="E180" i="6"/>
  <c r="D179" i="6"/>
  <c r="C177" i="6"/>
  <c r="B177" i="6"/>
  <c r="D176" i="6"/>
  <c r="E176" i="6"/>
  <c r="D175" i="6"/>
  <c r="C173" i="6"/>
  <c r="B173" i="6"/>
  <c r="D172" i="6"/>
  <c r="E172" i="6"/>
  <c r="C163" i="6"/>
  <c r="D162" i="6"/>
  <c r="F162" i="6"/>
  <c r="D159" i="6"/>
  <c r="F145" i="6"/>
  <c r="B141" i="6"/>
  <c r="F141" i="6"/>
  <c r="D138" i="6"/>
  <c r="C138" i="6"/>
  <c r="E138" i="6"/>
  <c r="F129" i="6"/>
  <c r="E123" i="6"/>
  <c r="C122" i="6"/>
  <c r="D122" i="6"/>
  <c r="C98" i="6"/>
  <c r="B98" i="6"/>
  <c r="D98" i="6"/>
  <c r="E98" i="6"/>
  <c r="B92" i="6"/>
  <c r="E92" i="6"/>
  <c r="F92" i="6"/>
  <c r="C88" i="6"/>
  <c r="B88" i="6"/>
  <c r="D88" i="6"/>
  <c r="E88" i="6"/>
  <c r="F88" i="6"/>
  <c r="F287" i="6"/>
  <c r="B286" i="6"/>
  <c r="F279" i="6"/>
  <c r="B278" i="6"/>
  <c r="F271" i="6"/>
  <c r="B270" i="6"/>
  <c r="F263" i="6"/>
  <c r="B262" i="6"/>
  <c r="F255" i="6"/>
  <c r="B254" i="6"/>
  <c r="F235" i="6"/>
  <c r="F223" i="6"/>
  <c r="E213" i="6"/>
  <c r="F203" i="6"/>
  <c r="F195" i="6"/>
  <c r="E193" i="6"/>
  <c r="C192" i="6"/>
  <c r="F191" i="6"/>
  <c r="C188" i="6"/>
  <c r="B185" i="6"/>
  <c r="B181" i="6"/>
  <c r="C180" i="6"/>
  <c r="B179" i="6"/>
  <c r="F177" i="6"/>
  <c r="B175" i="6"/>
  <c r="F173" i="6"/>
  <c r="F169" i="6"/>
  <c r="E163" i="6"/>
  <c r="C159" i="6"/>
  <c r="D154" i="6"/>
  <c r="B154" i="6"/>
  <c r="B145" i="6"/>
  <c r="C140" i="6"/>
  <c r="D140" i="6"/>
  <c r="C132" i="6"/>
  <c r="E132" i="6"/>
  <c r="B131" i="6"/>
  <c r="F131" i="6"/>
  <c r="C131" i="6"/>
  <c r="B129" i="6"/>
  <c r="F125" i="6"/>
  <c r="B124" i="6"/>
  <c r="E124" i="6"/>
  <c r="F122" i="6"/>
  <c r="C107" i="6"/>
  <c r="E107" i="6"/>
  <c r="E91" i="6"/>
  <c r="C91" i="6"/>
  <c r="C43" i="6"/>
  <c r="E43" i="6"/>
  <c r="D101" i="6"/>
  <c r="C101" i="6"/>
  <c r="D93" i="6"/>
  <c r="B93" i="6"/>
  <c r="C76" i="6"/>
  <c r="E76" i="6"/>
  <c r="C22" i="6"/>
  <c r="E22" i="6"/>
  <c r="D12" i="6"/>
  <c r="C12" i="6"/>
  <c r="E12" i="6"/>
  <c r="D8" i="6"/>
  <c r="C8" i="6"/>
  <c r="E8" i="6"/>
  <c r="E116" i="6"/>
  <c r="F101" i="6"/>
  <c r="F100" i="6"/>
  <c r="D97" i="6"/>
  <c r="C97" i="6"/>
  <c r="C90" i="6"/>
  <c r="C84" i="6"/>
  <c r="E84" i="6"/>
  <c r="C78" i="6"/>
  <c r="F76" i="6"/>
  <c r="C72" i="6"/>
  <c r="E72" i="6"/>
  <c r="C51" i="6"/>
  <c r="D51" i="6"/>
  <c r="B50" i="6"/>
  <c r="F50" i="6"/>
  <c r="D50" i="6"/>
  <c r="D41" i="6"/>
  <c r="F41" i="6"/>
  <c r="B31" i="6"/>
  <c r="F31" i="6"/>
  <c r="C31" i="6"/>
  <c r="D31" i="6"/>
  <c r="E133" i="6"/>
  <c r="E101" i="6"/>
  <c r="D100" i="6"/>
  <c r="F93" i="6"/>
  <c r="E90" i="6"/>
  <c r="C86" i="6"/>
  <c r="F84" i="6"/>
  <c r="C80" i="6"/>
  <c r="B80" i="6"/>
  <c r="D76" i="6"/>
  <c r="B66" i="6"/>
  <c r="F66" i="6"/>
  <c r="D66" i="6"/>
  <c r="D55" i="6"/>
  <c r="C55" i="6"/>
  <c r="D54" i="6"/>
  <c r="B54" i="6"/>
  <c r="F54" i="6"/>
  <c r="B15" i="6"/>
  <c r="F15" i="6"/>
  <c r="C15" i="6"/>
  <c r="D15" i="6"/>
  <c r="B11" i="6"/>
  <c r="F11" i="6"/>
  <c r="C11" i="6"/>
  <c r="D11" i="6"/>
  <c r="B7" i="6"/>
  <c r="F7" i="6"/>
  <c r="C7" i="6"/>
  <c r="D7" i="6"/>
  <c r="D68" i="6"/>
  <c r="E67" i="6"/>
  <c r="B49" i="6"/>
  <c r="D48" i="6"/>
  <c r="D44" i="6"/>
  <c r="F42" i="6"/>
  <c r="B38" i="6"/>
  <c r="E36" i="6"/>
  <c r="C35" i="6"/>
  <c r="B30" i="6"/>
  <c r="D29" i="6"/>
  <c r="F27" i="6"/>
  <c r="D25" i="6"/>
  <c r="F19" i="6"/>
  <c r="D17" i="6"/>
  <c r="E16" i="6"/>
  <c r="D13" i="6"/>
  <c r="D9" i="6"/>
  <c r="D5" i="6"/>
  <c r="B44" i="6"/>
  <c r="F35" i="6"/>
  <c r="B25" i="6"/>
  <c r="B17" i="6"/>
  <c r="C16" i="6"/>
  <c r="B13" i="6"/>
  <c r="B9" i="6"/>
  <c r="B5" i="6"/>
  <c r="D311" i="6"/>
  <c r="D307" i="6"/>
  <c r="D303" i="6"/>
  <c r="D299" i="6"/>
  <c r="D295" i="6"/>
  <c r="E290" i="6"/>
  <c r="E289" i="6"/>
  <c r="E288" i="6"/>
  <c r="C277" i="6"/>
  <c r="B276" i="6"/>
  <c r="F276" i="6"/>
  <c r="E274" i="6"/>
  <c r="E273" i="6"/>
  <c r="E272" i="6"/>
  <c r="C261" i="6"/>
  <c r="B260" i="6"/>
  <c r="F260" i="6"/>
  <c r="E258" i="6"/>
  <c r="E257" i="6"/>
  <c r="E256" i="6"/>
  <c r="F246" i="6"/>
  <c r="F237" i="6"/>
  <c r="F233" i="6"/>
  <c r="F229" i="6"/>
  <c r="F222" i="6"/>
  <c r="F218" i="6"/>
  <c r="B206" i="6"/>
  <c r="F206" i="6"/>
  <c r="D206" i="6"/>
  <c r="E206" i="6"/>
  <c r="D312" i="6"/>
  <c r="C311" i="6"/>
  <c r="D308" i="6"/>
  <c r="C307" i="6"/>
  <c r="D304" i="6"/>
  <c r="C303" i="6"/>
  <c r="D300" i="6"/>
  <c r="C299" i="6"/>
  <c r="D296" i="6"/>
  <c r="C295" i="6"/>
  <c r="D292" i="6"/>
  <c r="C290" i="6"/>
  <c r="C281" i="6"/>
  <c r="B280" i="6"/>
  <c r="F280" i="6"/>
  <c r="E278" i="6"/>
  <c r="E277" i="6"/>
  <c r="E276" i="6"/>
  <c r="C274" i="6"/>
  <c r="C265" i="6"/>
  <c r="B264" i="6"/>
  <c r="F264" i="6"/>
  <c r="E262" i="6"/>
  <c r="E261" i="6"/>
  <c r="E260" i="6"/>
  <c r="C258" i="6"/>
  <c r="C249" i="6"/>
  <c r="C245" i="6"/>
  <c r="B245" i="6"/>
  <c r="D238" i="6"/>
  <c r="E238" i="6"/>
  <c r="B236" i="6"/>
  <c r="F236" i="6"/>
  <c r="E236" i="6"/>
  <c r="D234" i="6"/>
  <c r="C234" i="6"/>
  <c r="B232" i="6"/>
  <c r="F232" i="6"/>
  <c r="D232" i="6"/>
  <c r="D230" i="6"/>
  <c r="B230" i="6"/>
  <c r="B228" i="6"/>
  <c r="F228" i="6"/>
  <c r="C228" i="6"/>
  <c r="C221" i="6"/>
  <c r="E221" i="6"/>
  <c r="C217" i="6"/>
  <c r="D217" i="6"/>
  <c r="B214" i="6"/>
  <c r="F214" i="6"/>
  <c r="D214" i="6"/>
  <c r="E214" i="6"/>
  <c r="B202" i="6"/>
  <c r="F202" i="6"/>
  <c r="D202" i="6"/>
  <c r="E202" i="6"/>
  <c r="C289" i="6"/>
  <c r="B288" i="6"/>
  <c r="F288" i="6"/>
  <c r="C273" i="6"/>
  <c r="B272" i="6"/>
  <c r="F272" i="6"/>
  <c r="C257" i="6"/>
  <c r="B256" i="6"/>
  <c r="F256" i="6"/>
  <c r="B248" i="6"/>
  <c r="F248" i="6"/>
  <c r="D248" i="6"/>
  <c r="D246" i="6"/>
  <c r="B246" i="6"/>
  <c r="B244" i="6"/>
  <c r="F244" i="6"/>
  <c r="C244" i="6"/>
  <c r="C237" i="6"/>
  <c r="E237" i="6"/>
  <c r="C233" i="6"/>
  <c r="D233" i="6"/>
  <c r="C229" i="6"/>
  <c r="B229" i="6"/>
  <c r="D222" i="6"/>
  <c r="E222" i="6"/>
  <c r="B220" i="6"/>
  <c r="F220" i="6"/>
  <c r="E220" i="6"/>
  <c r="D218" i="6"/>
  <c r="C218" i="6"/>
  <c r="B216" i="6"/>
  <c r="F216" i="6"/>
  <c r="D216" i="6"/>
  <c r="B210" i="6"/>
  <c r="F210" i="6"/>
  <c r="D210" i="6"/>
  <c r="E210" i="6"/>
  <c r="B194" i="6"/>
  <c r="F194" i="6"/>
  <c r="D194" i="6"/>
  <c r="E194" i="6"/>
  <c r="B170" i="6"/>
  <c r="F170" i="6"/>
  <c r="C170" i="6"/>
  <c r="D170" i="6"/>
  <c r="D166" i="6"/>
  <c r="B166" i="6"/>
  <c r="C166" i="6"/>
  <c r="E166" i="6"/>
  <c r="F166" i="6"/>
  <c r="F311" i="6"/>
  <c r="F307" i="6"/>
  <c r="F303" i="6"/>
  <c r="F299" i="6"/>
  <c r="F295" i="6"/>
  <c r="B290" i="6"/>
  <c r="B289" i="6"/>
  <c r="C288" i="6"/>
  <c r="C285" i="6"/>
  <c r="B284" i="6"/>
  <c r="F284" i="6"/>
  <c r="E282" i="6"/>
  <c r="E281" i="6"/>
  <c r="E280" i="6"/>
  <c r="C278" i="6"/>
  <c r="D277" i="6"/>
  <c r="D276" i="6"/>
  <c r="B274" i="6"/>
  <c r="B273" i="6"/>
  <c r="C272" i="6"/>
  <c r="C269" i="6"/>
  <c r="B268" i="6"/>
  <c r="F268" i="6"/>
  <c r="E266" i="6"/>
  <c r="E265" i="6"/>
  <c r="E264" i="6"/>
  <c r="C262" i="6"/>
  <c r="D261" i="6"/>
  <c r="D260" i="6"/>
  <c r="B258" i="6"/>
  <c r="B257" i="6"/>
  <c r="C256" i="6"/>
  <c r="C253" i="6"/>
  <c r="B252" i="6"/>
  <c r="F252" i="6"/>
  <c r="E250" i="6"/>
  <c r="E249" i="6"/>
  <c r="C248" i="6"/>
  <c r="C246" i="6"/>
  <c r="F245" i="6"/>
  <c r="D244" i="6"/>
  <c r="F238" i="6"/>
  <c r="B237" i="6"/>
  <c r="F234" i="6"/>
  <c r="B233" i="6"/>
  <c r="F230" i="6"/>
  <c r="D229" i="6"/>
  <c r="B222" i="6"/>
  <c r="F221" i="6"/>
  <c r="C220" i="6"/>
  <c r="B218" i="6"/>
  <c r="F217" i="6"/>
  <c r="C216" i="6"/>
  <c r="C210" i="6"/>
  <c r="B198" i="6"/>
  <c r="F198" i="6"/>
  <c r="D198" i="6"/>
  <c r="E198" i="6"/>
  <c r="C194" i="6"/>
  <c r="B186" i="6"/>
  <c r="F186" i="6"/>
  <c r="C186" i="6"/>
  <c r="D186" i="6"/>
  <c r="B182" i="6"/>
  <c r="F182" i="6"/>
  <c r="C182" i="6"/>
  <c r="D182" i="6"/>
  <c r="E182" i="6"/>
  <c r="E170" i="6"/>
  <c r="B164" i="6"/>
  <c r="F164" i="6"/>
  <c r="C164" i="6"/>
  <c r="D164" i="6"/>
  <c r="E164" i="6"/>
  <c r="D212" i="6"/>
  <c r="B212" i="6"/>
  <c r="F212" i="6"/>
  <c r="D208" i="6"/>
  <c r="B208" i="6"/>
  <c r="F208" i="6"/>
  <c r="D204" i="6"/>
  <c r="B204" i="6"/>
  <c r="F204" i="6"/>
  <c r="D200" i="6"/>
  <c r="B200" i="6"/>
  <c r="F200" i="6"/>
  <c r="D196" i="6"/>
  <c r="B196" i="6"/>
  <c r="F196" i="6"/>
  <c r="B190" i="6"/>
  <c r="F190" i="6"/>
  <c r="C190" i="6"/>
  <c r="D190" i="6"/>
  <c r="B174" i="6"/>
  <c r="F174" i="6"/>
  <c r="C174" i="6"/>
  <c r="D174" i="6"/>
  <c r="C165" i="6"/>
  <c r="B165" i="6"/>
  <c r="D165" i="6"/>
  <c r="E165" i="6"/>
  <c r="D150" i="6"/>
  <c r="B150" i="6"/>
  <c r="C150" i="6"/>
  <c r="E150" i="6"/>
  <c r="B148" i="6"/>
  <c r="F148" i="6"/>
  <c r="C148" i="6"/>
  <c r="D148" i="6"/>
  <c r="E148" i="6"/>
  <c r="C241" i="6"/>
  <c r="B240" i="6"/>
  <c r="F240" i="6"/>
  <c r="C225" i="6"/>
  <c r="B224" i="6"/>
  <c r="F224" i="6"/>
  <c r="B178" i="6"/>
  <c r="F178" i="6"/>
  <c r="C178" i="6"/>
  <c r="D178" i="6"/>
  <c r="C149" i="6"/>
  <c r="B149" i="6"/>
  <c r="D149" i="6"/>
  <c r="E149" i="6"/>
  <c r="D134" i="6"/>
  <c r="B134" i="6"/>
  <c r="C134" i="6"/>
  <c r="E134" i="6"/>
  <c r="F192" i="6"/>
  <c r="B192" i="6"/>
  <c r="F188" i="6"/>
  <c r="B188" i="6"/>
  <c r="F184" i="6"/>
  <c r="B184" i="6"/>
  <c r="F180" i="6"/>
  <c r="B180" i="6"/>
  <c r="F176" i="6"/>
  <c r="B176" i="6"/>
  <c r="F172" i="6"/>
  <c r="B172" i="6"/>
  <c r="C169" i="6"/>
  <c r="B168" i="6"/>
  <c r="F168" i="6"/>
  <c r="C162" i="6"/>
  <c r="B158" i="6"/>
  <c r="C153" i="6"/>
  <c r="B152" i="6"/>
  <c r="F152" i="6"/>
  <c r="C146" i="6"/>
  <c r="B142" i="6"/>
  <c r="C137" i="6"/>
  <c r="B136" i="6"/>
  <c r="F136" i="6"/>
  <c r="D130" i="6"/>
  <c r="B130" i="6"/>
  <c r="F130" i="6"/>
  <c r="D126" i="6"/>
  <c r="B126" i="6"/>
  <c r="F126" i="6"/>
  <c r="D113" i="6"/>
  <c r="E113" i="6"/>
  <c r="B113" i="6"/>
  <c r="C112" i="6"/>
  <c r="E112" i="6"/>
  <c r="B112" i="6"/>
  <c r="B111" i="6"/>
  <c r="F111" i="6"/>
  <c r="E111" i="6"/>
  <c r="C111" i="6"/>
  <c r="C104" i="6"/>
  <c r="B104" i="6"/>
  <c r="D104" i="6"/>
  <c r="E104" i="6"/>
  <c r="D87" i="6"/>
  <c r="B87" i="6"/>
  <c r="F87" i="6"/>
  <c r="C87" i="6"/>
  <c r="E87" i="6"/>
  <c r="D83" i="6"/>
  <c r="B83" i="6"/>
  <c r="F83" i="6"/>
  <c r="C83" i="6"/>
  <c r="E83" i="6"/>
  <c r="D79" i="6"/>
  <c r="B79" i="6"/>
  <c r="F79" i="6"/>
  <c r="C79" i="6"/>
  <c r="E79" i="6"/>
  <c r="B59" i="6"/>
  <c r="F59" i="6"/>
  <c r="C59" i="6"/>
  <c r="D59" i="6"/>
  <c r="E59" i="6"/>
  <c r="C157" i="6"/>
  <c r="B156" i="6"/>
  <c r="F156" i="6"/>
  <c r="C141" i="6"/>
  <c r="B140" i="6"/>
  <c r="F140" i="6"/>
  <c r="B132" i="6"/>
  <c r="F132" i="6"/>
  <c r="D132" i="6"/>
  <c r="B128" i="6"/>
  <c r="F128" i="6"/>
  <c r="D128" i="6"/>
  <c r="D121" i="6"/>
  <c r="B121" i="6"/>
  <c r="E121" i="6"/>
  <c r="C120" i="6"/>
  <c r="B120" i="6"/>
  <c r="E120" i="6"/>
  <c r="B119" i="6"/>
  <c r="F119" i="6"/>
  <c r="C119" i="6"/>
  <c r="E119" i="6"/>
  <c r="C161" i="6"/>
  <c r="B160" i="6"/>
  <c r="F160" i="6"/>
  <c r="E158" i="6"/>
  <c r="E157" i="6"/>
  <c r="E156" i="6"/>
  <c r="C145" i="6"/>
  <c r="B144" i="6"/>
  <c r="F144" i="6"/>
  <c r="E142" i="6"/>
  <c r="E141" i="6"/>
  <c r="E140" i="6"/>
  <c r="D105" i="6"/>
  <c r="B105" i="6"/>
  <c r="C105" i="6"/>
  <c r="E105" i="6"/>
  <c r="B103" i="6"/>
  <c r="F103" i="6"/>
  <c r="C103" i="6"/>
  <c r="D103" i="6"/>
  <c r="E103" i="6"/>
  <c r="D61" i="6"/>
  <c r="B61" i="6"/>
  <c r="C61" i="6"/>
  <c r="E61" i="6"/>
  <c r="F61" i="6"/>
  <c r="C124" i="6"/>
  <c r="B123" i="6"/>
  <c r="F123" i="6"/>
  <c r="C108" i="6"/>
  <c r="B107" i="6"/>
  <c r="F107" i="6"/>
  <c r="B97" i="6"/>
  <c r="C92" i="6"/>
  <c r="B91" i="6"/>
  <c r="F91" i="6"/>
  <c r="B65" i="6"/>
  <c r="F65" i="6"/>
  <c r="C65" i="6"/>
  <c r="D65" i="6"/>
  <c r="C96" i="6"/>
  <c r="B95" i="6"/>
  <c r="F95" i="6"/>
  <c r="B69" i="6"/>
  <c r="F69" i="6"/>
  <c r="C69" i="6"/>
  <c r="D69" i="6"/>
  <c r="C60" i="6"/>
  <c r="B60" i="6"/>
  <c r="D60" i="6"/>
  <c r="E60" i="6"/>
  <c r="D45" i="6"/>
  <c r="B45" i="6"/>
  <c r="C45" i="6"/>
  <c r="E45" i="6"/>
  <c r="D124" i="6"/>
  <c r="D123" i="6"/>
  <c r="C116" i="6"/>
  <c r="B115" i="6"/>
  <c r="F115" i="6"/>
  <c r="C109" i="6"/>
  <c r="D108" i="6"/>
  <c r="D107" i="6"/>
  <c r="C100" i="6"/>
  <c r="B99" i="6"/>
  <c r="F99" i="6"/>
  <c r="E97" i="6"/>
  <c r="E96" i="6"/>
  <c r="E95" i="6"/>
  <c r="C93" i="6"/>
  <c r="D92" i="6"/>
  <c r="D91" i="6"/>
  <c r="B89" i="6"/>
  <c r="D89" i="6"/>
  <c r="B85" i="6"/>
  <c r="F85" i="6"/>
  <c r="D85" i="6"/>
  <c r="B81" i="6"/>
  <c r="F81" i="6"/>
  <c r="D81" i="6"/>
  <c r="B77" i="6"/>
  <c r="F77" i="6"/>
  <c r="D77" i="6"/>
  <c r="B73" i="6"/>
  <c r="F73" i="6"/>
  <c r="C73" i="6"/>
  <c r="D73" i="6"/>
  <c r="F75" i="6"/>
  <c r="B75" i="6"/>
  <c r="F71" i="6"/>
  <c r="B71" i="6"/>
  <c r="F67" i="6"/>
  <c r="B67" i="6"/>
  <c r="C64" i="6"/>
  <c r="B63" i="6"/>
  <c r="F63" i="6"/>
  <c r="C57" i="6"/>
  <c r="B53" i="6"/>
  <c r="C48" i="6"/>
  <c r="B47" i="6"/>
  <c r="F47" i="6"/>
  <c r="B43" i="6"/>
  <c r="F43" i="6"/>
  <c r="D43" i="6"/>
  <c r="C33" i="6"/>
  <c r="B33" i="6"/>
  <c r="D33" i="6"/>
  <c r="E33" i="6"/>
  <c r="C52" i="6"/>
  <c r="B51" i="6"/>
  <c r="F51" i="6"/>
  <c r="D42" i="6"/>
  <c r="E42" i="6"/>
  <c r="B42" i="6"/>
  <c r="C41" i="6"/>
  <c r="E41" i="6"/>
  <c r="B41" i="6"/>
  <c r="B40" i="6"/>
  <c r="F40" i="6"/>
  <c r="E40" i="6"/>
  <c r="C40" i="6"/>
  <c r="C56" i="6"/>
  <c r="B55" i="6"/>
  <c r="F55" i="6"/>
  <c r="E53" i="6"/>
  <c r="E52" i="6"/>
  <c r="E51" i="6"/>
  <c r="D34" i="6"/>
  <c r="B34" i="6"/>
  <c r="C34" i="6"/>
  <c r="E34" i="6"/>
  <c r="B32" i="6"/>
  <c r="F32" i="6"/>
  <c r="C32" i="6"/>
  <c r="D32" i="6"/>
  <c r="E32" i="6"/>
  <c r="D24" i="6"/>
  <c r="B24" i="6"/>
  <c r="F24" i="6"/>
  <c r="C24" i="6"/>
  <c r="E24" i="6"/>
  <c r="D20" i="6"/>
  <c r="B20" i="6"/>
  <c r="F20" i="6"/>
  <c r="C20" i="6"/>
  <c r="E20" i="6"/>
  <c r="C37" i="6"/>
  <c r="B36" i="6"/>
  <c r="F36" i="6"/>
  <c r="B6" i="6"/>
  <c r="F6" i="6"/>
  <c r="C6" i="6"/>
  <c r="D6" i="6"/>
  <c r="B10" i="6"/>
  <c r="F10" i="6"/>
  <c r="C10" i="6"/>
  <c r="D10" i="6"/>
  <c r="C38" i="6"/>
  <c r="D37" i="6"/>
  <c r="D36" i="6"/>
  <c r="C29" i="6"/>
  <c r="B28" i="6"/>
  <c r="F28" i="6"/>
  <c r="B26" i="6"/>
  <c r="F26" i="6"/>
  <c r="D26" i="6"/>
  <c r="B22" i="6"/>
  <c r="F22" i="6"/>
  <c r="D22" i="6"/>
  <c r="B18" i="6"/>
  <c r="F18" i="6"/>
  <c r="D18" i="6"/>
  <c r="B14" i="6"/>
  <c r="F14" i="6"/>
  <c r="C14" i="6"/>
  <c r="D14" i="6"/>
  <c r="F16" i="6"/>
  <c r="B16" i="6"/>
  <c r="F12" i="6"/>
  <c r="B12" i="6"/>
  <c r="F8" i="6"/>
  <c r="B8" i="6"/>
  <c r="C84" i="26"/>
  <c r="D84" i="26"/>
  <c r="D66" i="26"/>
  <c r="E66" i="26"/>
  <c r="E143" i="26"/>
  <c r="D139" i="26"/>
  <c r="F138" i="26"/>
  <c r="B120" i="26"/>
  <c r="D120" i="26"/>
  <c r="E110" i="26"/>
  <c r="D109" i="26"/>
  <c r="F109" i="26"/>
  <c r="D82" i="26"/>
  <c r="B82" i="26"/>
  <c r="D70" i="26"/>
  <c r="E70" i="26"/>
  <c r="C37" i="26"/>
  <c r="D37" i="26"/>
  <c r="C24" i="26"/>
  <c r="D24" i="26"/>
  <c r="E136" i="26"/>
  <c r="D117" i="26"/>
  <c r="E117" i="26"/>
  <c r="E95" i="26"/>
  <c r="B85" i="26"/>
  <c r="D85" i="26"/>
  <c r="F66" i="26"/>
  <c r="D143" i="26"/>
  <c r="F142" i="26"/>
  <c r="D136" i="26"/>
  <c r="D127" i="26"/>
  <c r="F126" i="26"/>
  <c r="E124" i="26"/>
  <c r="F117" i="26"/>
  <c r="D115" i="26"/>
  <c r="C110" i="26"/>
  <c r="B99" i="26"/>
  <c r="F99" i="26"/>
  <c r="F97" i="26"/>
  <c r="C95" i="26"/>
  <c r="F94" i="26"/>
  <c r="B91" i="26"/>
  <c r="F91" i="26"/>
  <c r="E82" i="26"/>
  <c r="E81" i="26"/>
  <c r="F70" i="26"/>
  <c r="C68" i="26"/>
  <c r="E68" i="26"/>
  <c r="C66" i="26"/>
  <c r="E63" i="26"/>
  <c r="F62" i="26"/>
  <c r="D54" i="26"/>
  <c r="E54" i="26"/>
  <c r="E47" i="26"/>
  <c r="D34" i="26"/>
  <c r="E24" i="26"/>
  <c r="D14" i="26"/>
  <c r="B8" i="26"/>
  <c r="F8" i="26"/>
  <c r="C8" i="26"/>
  <c r="C119" i="26"/>
  <c r="D119" i="26"/>
  <c r="F110" i="26"/>
  <c r="D35" i="26"/>
  <c r="C35" i="26"/>
  <c r="F82" i="26"/>
  <c r="F81" i="26"/>
  <c r="B79" i="26"/>
  <c r="F79" i="26"/>
  <c r="C71" i="26"/>
  <c r="B53" i="26"/>
  <c r="E53" i="26"/>
  <c r="B44" i="26"/>
  <c r="C44" i="26"/>
  <c r="F35" i="26"/>
  <c r="F34" i="26"/>
  <c r="F24" i="26"/>
  <c r="B23" i="26"/>
  <c r="E23" i="26"/>
  <c r="F23" i="26"/>
  <c r="E140" i="26"/>
  <c r="C139" i="26"/>
  <c r="E138" i="26"/>
  <c r="E145" i="26"/>
  <c r="E144" i="26"/>
  <c r="E142" i="26"/>
  <c r="D140" i="26"/>
  <c r="F139" i="26"/>
  <c r="B138" i="26"/>
  <c r="C136" i="26"/>
  <c r="F130" i="26"/>
  <c r="E129" i="26"/>
  <c r="E128" i="26"/>
  <c r="E126" i="26"/>
  <c r="D124" i="26"/>
  <c r="F121" i="26"/>
  <c r="F120" i="26"/>
  <c r="E119" i="26"/>
  <c r="C117" i="26"/>
  <c r="C115" i="26"/>
  <c r="B110" i="26"/>
  <c r="E99" i="26"/>
  <c r="E97" i="26"/>
  <c r="B95" i="26"/>
  <c r="C94" i="26"/>
  <c r="E91" i="26"/>
  <c r="B87" i="26"/>
  <c r="F87" i="26"/>
  <c r="F85" i="26"/>
  <c r="E84" i="26"/>
  <c r="C83" i="26"/>
  <c r="C82" i="26"/>
  <c r="B81" i="26"/>
  <c r="D79" i="26"/>
  <c r="F78" i="26"/>
  <c r="C75" i="26"/>
  <c r="D71" i="26"/>
  <c r="C70" i="26"/>
  <c r="B69" i="26"/>
  <c r="E69" i="26"/>
  <c r="B67" i="26"/>
  <c r="F67" i="26"/>
  <c r="B66" i="26"/>
  <c r="C63" i="26"/>
  <c r="B62" i="26"/>
  <c r="C55" i="26"/>
  <c r="F53" i="26"/>
  <c r="C47" i="26"/>
  <c r="E44" i="26"/>
  <c r="E37" i="26"/>
  <c r="B35" i="26"/>
  <c r="B34" i="26"/>
  <c r="E33" i="26"/>
  <c r="B24" i="26"/>
  <c r="E18" i="26"/>
  <c r="B17" i="26"/>
  <c r="C17" i="26"/>
  <c r="D17" i="26"/>
  <c r="B16" i="26"/>
  <c r="F16" i="26"/>
  <c r="C16" i="26"/>
  <c r="B9" i="26"/>
  <c r="D9" i="26"/>
  <c r="E9" i="26"/>
  <c r="E25" i="26"/>
  <c r="E21" i="26"/>
  <c r="F11" i="26"/>
  <c r="E7" i="26"/>
  <c r="B123" i="26"/>
  <c r="F123" i="26"/>
  <c r="C108" i="26"/>
  <c r="B107" i="26"/>
  <c r="F107" i="26"/>
  <c r="B100" i="26"/>
  <c r="F100" i="26"/>
  <c r="C100" i="26"/>
  <c r="E100" i="26"/>
  <c r="C89" i="26"/>
  <c r="D89" i="26"/>
  <c r="E89" i="26"/>
  <c r="C73" i="26"/>
  <c r="B73" i="26"/>
  <c r="D73" i="26"/>
  <c r="E73" i="26"/>
  <c r="D145" i="26"/>
  <c r="D141" i="26"/>
  <c r="D137" i="26"/>
  <c r="D133" i="26"/>
  <c r="D129" i="26"/>
  <c r="D125" i="26"/>
  <c r="E123" i="26"/>
  <c r="C112" i="26"/>
  <c r="B111" i="26"/>
  <c r="F111" i="26"/>
  <c r="E109" i="26"/>
  <c r="E108" i="26"/>
  <c r="E107" i="26"/>
  <c r="D74" i="26"/>
  <c r="B74" i="26"/>
  <c r="C74" i="26"/>
  <c r="E74" i="26"/>
  <c r="C145" i="26"/>
  <c r="F144" i="26"/>
  <c r="D142" i="26"/>
  <c r="C141" i="26"/>
  <c r="F140" i="26"/>
  <c r="D138" i="26"/>
  <c r="C137" i="26"/>
  <c r="F136" i="26"/>
  <c r="D134" i="26"/>
  <c r="C133" i="26"/>
  <c r="F132" i="26"/>
  <c r="D130" i="26"/>
  <c r="C129" i="26"/>
  <c r="F128" i="26"/>
  <c r="D126" i="26"/>
  <c r="C125" i="26"/>
  <c r="F124" i="26"/>
  <c r="D123" i="26"/>
  <c r="B121" i="26"/>
  <c r="C116" i="26"/>
  <c r="B115" i="26"/>
  <c r="F115" i="26"/>
  <c r="E113" i="26"/>
  <c r="E112" i="26"/>
  <c r="E111" i="26"/>
  <c r="C109" i="26"/>
  <c r="D108" i="26"/>
  <c r="D107" i="26"/>
  <c r="B105" i="26"/>
  <c r="D102" i="26"/>
  <c r="B102" i="26"/>
  <c r="E102" i="26"/>
  <c r="C93" i="26"/>
  <c r="E93" i="26"/>
  <c r="D93" i="26"/>
  <c r="F89" i="26"/>
  <c r="F145" i="26"/>
  <c r="F141" i="26"/>
  <c r="F137" i="26"/>
  <c r="F133" i="26"/>
  <c r="F129" i="26"/>
  <c r="F125" i="26"/>
  <c r="C123" i="26"/>
  <c r="C120" i="26"/>
  <c r="B119" i="26"/>
  <c r="F119" i="26"/>
  <c r="C113" i="26"/>
  <c r="D112" i="26"/>
  <c r="D111" i="26"/>
  <c r="B109" i="26"/>
  <c r="B108" i="26"/>
  <c r="C107" i="26"/>
  <c r="C104" i="26"/>
  <c r="B103" i="26"/>
  <c r="F103" i="26"/>
  <c r="D100" i="26"/>
  <c r="B89" i="26"/>
  <c r="F73" i="26"/>
  <c r="B72" i="26"/>
  <c r="F72" i="26"/>
  <c r="C72" i="26"/>
  <c r="D72" i="26"/>
  <c r="E72" i="26"/>
  <c r="D62" i="26"/>
  <c r="C62" i="26"/>
  <c r="E62" i="26"/>
  <c r="C61" i="26"/>
  <c r="D61" i="26"/>
  <c r="E61" i="26"/>
  <c r="B60" i="26"/>
  <c r="F60" i="26"/>
  <c r="D60" i="26"/>
  <c r="E60" i="26"/>
  <c r="C46" i="26"/>
  <c r="D46" i="26"/>
  <c r="E46" i="26"/>
  <c r="F46" i="26"/>
  <c r="C101" i="26"/>
  <c r="B101" i="26"/>
  <c r="D94" i="26"/>
  <c r="E94" i="26"/>
  <c r="B92" i="26"/>
  <c r="F92" i="26"/>
  <c r="E92" i="26"/>
  <c r="D90" i="26"/>
  <c r="C90" i="26"/>
  <c r="B88" i="26"/>
  <c r="F88" i="26"/>
  <c r="D88" i="26"/>
  <c r="D86" i="26"/>
  <c r="B86" i="26"/>
  <c r="D78" i="26"/>
  <c r="C78" i="26"/>
  <c r="E78" i="26"/>
  <c r="C77" i="26"/>
  <c r="D77" i="26"/>
  <c r="E77" i="26"/>
  <c r="B76" i="26"/>
  <c r="F76" i="26"/>
  <c r="D76" i="26"/>
  <c r="E76" i="26"/>
  <c r="D58" i="26"/>
  <c r="B58" i="26"/>
  <c r="C58" i="26"/>
  <c r="C57" i="26"/>
  <c r="B57" i="26"/>
  <c r="D57" i="26"/>
  <c r="B56" i="26"/>
  <c r="F56" i="26"/>
  <c r="C56" i="26"/>
  <c r="D56" i="26"/>
  <c r="C97" i="26"/>
  <c r="B96" i="26"/>
  <c r="F96" i="26"/>
  <c r="C81" i="26"/>
  <c r="B80" i="26"/>
  <c r="F80" i="26"/>
  <c r="B70" i="26"/>
  <c r="C65" i="26"/>
  <c r="B64" i="26"/>
  <c r="F64" i="26"/>
  <c r="B54" i="26"/>
  <c r="C50" i="26"/>
  <c r="D50" i="26"/>
  <c r="B45" i="26"/>
  <c r="F45" i="26"/>
  <c r="C45" i="26"/>
  <c r="B22" i="26"/>
  <c r="F22" i="26"/>
  <c r="C22" i="26"/>
  <c r="D22" i="26"/>
  <c r="E22" i="26"/>
  <c r="C85" i="26"/>
  <c r="B84" i="26"/>
  <c r="F84" i="26"/>
  <c r="C69" i="26"/>
  <c r="B68" i="26"/>
  <c r="F68" i="26"/>
  <c r="C53" i="26"/>
  <c r="B49" i="26"/>
  <c r="F49" i="26"/>
  <c r="C49" i="26"/>
  <c r="C42" i="26"/>
  <c r="B42" i="26"/>
  <c r="D42" i="26"/>
  <c r="B41" i="26"/>
  <c r="F41" i="26"/>
  <c r="C41" i="26"/>
  <c r="D41" i="26"/>
  <c r="C27" i="26"/>
  <c r="D27" i="26"/>
  <c r="B27" i="26"/>
  <c r="E27" i="26"/>
  <c r="F27" i="26"/>
  <c r="C30" i="26"/>
  <c r="B26" i="26"/>
  <c r="F26" i="26"/>
  <c r="C26" i="26"/>
  <c r="C15" i="26"/>
  <c r="D15" i="26"/>
  <c r="F52" i="26"/>
  <c r="F48" i="26"/>
  <c r="F44" i="26"/>
  <c r="B39" i="26"/>
  <c r="C34" i="26"/>
  <c r="B33" i="26"/>
  <c r="F33" i="26"/>
  <c r="E31" i="26"/>
  <c r="E30" i="26"/>
  <c r="C19" i="26"/>
  <c r="D19" i="26"/>
  <c r="F15" i="26"/>
  <c r="B14" i="26"/>
  <c r="F14" i="26"/>
  <c r="C14" i="26"/>
  <c r="C38" i="26"/>
  <c r="B37" i="26"/>
  <c r="F37" i="26"/>
  <c r="C31" i="26"/>
  <c r="D30" i="26"/>
  <c r="E26" i="26"/>
  <c r="C23" i="26"/>
  <c r="D23" i="26"/>
  <c r="B18" i="26"/>
  <c r="F18" i="26"/>
  <c r="C18" i="26"/>
  <c r="E15" i="26"/>
  <c r="B10" i="26"/>
  <c r="F10" i="26"/>
  <c r="C10" i="26"/>
  <c r="D10" i="26"/>
  <c r="B6" i="26"/>
  <c r="F6" i="26"/>
  <c r="C6" i="26"/>
  <c r="D6" i="26"/>
  <c r="C5" i="26"/>
  <c r="F29" i="26"/>
  <c r="F25" i="26"/>
  <c r="F21" i="26"/>
  <c r="F17" i="26"/>
  <c r="F13" i="26"/>
  <c r="D11" i="26"/>
  <c r="F9" i="26"/>
  <c r="F5" i="26"/>
  <c r="D9" i="1" l="1"/>
  <c r="E9" i="1"/>
  <c r="F9" i="1"/>
  <c r="G9" i="1"/>
  <c r="H9" i="1"/>
  <c r="I9" i="1"/>
  <c r="D8" i="1"/>
  <c r="E8" i="1"/>
  <c r="F8" i="1"/>
  <c r="G8" i="1"/>
  <c r="H8" i="1"/>
  <c r="I8" i="1"/>
  <c r="K56" i="2" l="1"/>
  <c r="K55" i="2"/>
  <c r="C56" i="2"/>
  <c r="C55" i="2"/>
  <c r="K43" i="2"/>
  <c r="K42" i="2"/>
  <c r="C43" i="2"/>
  <c r="C42" i="2"/>
  <c r="D17" i="1" l="1"/>
  <c r="E17" i="1"/>
  <c r="F17" i="1"/>
  <c r="G17" i="1"/>
  <c r="H17" i="1"/>
  <c r="I17" i="1"/>
  <c r="C17" i="1"/>
  <c r="D14" i="1"/>
  <c r="E14" i="1"/>
  <c r="F14" i="1"/>
  <c r="G14" i="1"/>
  <c r="H14" i="1"/>
  <c r="I14" i="1"/>
  <c r="C14" i="1"/>
  <c r="C33" i="3" l="1"/>
  <c r="D25" i="3"/>
  <c r="E25" i="3" s="1"/>
  <c r="F25" i="3" s="1"/>
  <c r="G25" i="3" s="1"/>
  <c r="H25" i="3" s="1"/>
  <c r="I25" i="3" s="1"/>
  <c r="C16" i="3"/>
  <c r="C15" i="3"/>
  <c r="D8" i="3"/>
  <c r="D33" i="3" s="1"/>
  <c r="D16" i="3" l="1"/>
  <c r="E8" i="3"/>
  <c r="F8" i="3" s="1"/>
  <c r="G8" i="3" s="1"/>
  <c r="H8" i="3" s="1"/>
  <c r="I8" i="3" s="1"/>
  <c r="I16" i="3" s="1"/>
  <c r="E33" i="3" l="1"/>
  <c r="F33" i="3"/>
  <c r="G16" i="3"/>
  <c r="H16" i="3"/>
  <c r="E16" i="3"/>
  <c r="I33" i="3"/>
  <c r="H33" i="3"/>
  <c r="F16" i="3"/>
  <c r="G33" i="3"/>
  <c r="F5" i="1" l="1"/>
  <c r="D45" i="2"/>
  <c r="D32" i="2"/>
  <c r="G5" i="1" l="1"/>
  <c r="H5" i="1" l="1"/>
  <c r="D24" i="3"/>
  <c r="E24" i="3" s="1"/>
  <c r="F24" i="3" s="1"/>
  <c r="G24" i="3" s="1"/>
  <c r="H24" i="3" s="1"/>
  <c r="I24" i="3" s="1"/>
  <c r="D7" i="3"/>
  <c r="E7" i="3" s="1"/>
  <c r="D23" i="3"/>
  <c r="E23" i="3" s="1"/>
  <c r="F23" i="3" s="1"/>
  <c r="G23" i="3" s="1"/>
  <c r="H23" i="3" s="1"/>
  <c r="I23" i="3" s="1"/>
  <c r="D22" i="3"/>
  <c r="E22" i="3" s="1"/>
  <c r="F22" i="3" s="1"/>
  <c r="G22" i="3" s="1"/>
  <c r="H22" i="3" s="1"/>
  <c r="I22" i="3" s="1"/>
  <c r="D21" i="3"/>
  <c r="E21" i="3" s="1"/>
  <c r="F21" i="3" s="1"/>
  <c r="G21" i="3" s="1"/>
  <c r="H21" i="3" s="1"/>
  <c r="I21" i="3" s="1"/>
  <c r="D20" i="3"/>
  <c r="E20" i="3" s="1"/>
  <c r="F20" i="3" s="1"/>
  <c r="G20" i="3" s="1"/>
  <c r="H20" i="3" s="1"/>
  <c r="I20" i="3" s="1"/>
  <c r="I5" i="1" l="1"/>
  <c r="F7" i="3"/>
  <c r="G7" i="3" s="1"/>
  <c r="H7" i="3" s="1"/>
  <c r="I7" i="3" s="1"/>
  <c r="S53" i="2" l="1"/>
  <c r="S52" i="2"/>
  <c r="S51" i="2"/>
  <c r="S50" i="2"/>
  <c r="S49" i="2"/>
  <c r="S48" i="2"/>
  <c r="S47" i="2"/>
  <c r="S46" i="2"/>
  <c r="S45" i="2"/>
  <c r="S40" i="2"/>
  <c r="S39" i="2"/>
  <c r="S38" i="2"/>
  <c r="S37" i="2"/>
  <c r="S36" i="2"/>
  <c r="S35" i="2"/>
  <c r="S34" i="2"/>
  <c r="S33" i="2"/>
  <c r="S32" i="2"/>
  <c r="Y1" i="2"/>
  <c r="X1" i="2"/>
  <c r="W1" i="2"/>
  <c r="V1" i="2"/>
  <c r="U1" i="2"/>
  <c r="T1" i="2"/>
  <c r="S1" i="2"/>
  <c r="R1" i="2"/>
  <c r="S43" i="2" l="1"/>
  <c r="C67" i="2"/>
  <c r="AT19" i="34" l="1"/>
  <c r="AT15" i="34"/>
  <c r="AT11" i="34"/>
  <c r="AT7" i="34"/>
  <c r="AT3" i="34"/>
  <c r="I1" i="3" l="1"/>
  <c r="H1" i="3"/>
  <c r="G1" i="3"/>
  <c r="F1" i="3"/>
  <c r="E1" i="3"/>
  <c r="D1" i="3"/>
  <c r="C1" i="3"/>
  <c r="K82" i="2"/>
  <c r="K81" i="2"/>
  <c r="K80" i="2"/>
  <c r="K79" i="2"/>
  <c r="K78" i="2"/>
  <c r="K77" i="2"/>
  <c r="K76" i="2"/>
  <c r="K84" i="2" s="1"/>
  <c r="K75" i="2"/>
  <c r="K74" i="2"/>
  <c r="C74" i="2"/>
  <c r="C82" i="2"/>
  <c r="C81" i="2"/>
  <c r="C80" i="2"/>
  <c r="C79" i="2"/>
  <c r="C78" i="2"/>
  <c r="C77" i="2"/>
  <c r="C76" i="2"/>
  <c r="C75" i="2"/>
  <c r="K69" i="2"/>
  <c r="K68" i="2"/>
  <c r="K67" i="2"/>
  <c r="S67" i="2" s="1"/>
  <c r="K66" i="2"/>
  <c r="K65" i="2"/>
  <c r="K64" i="2"/>
  <c r="K63" i="2"/>
  <c r="K62" i="2"/>
  <c r="K61" i="2"/>
  <c r="C69" i="2"/>
  <c r="C68" i="2"/>
  <c r="C66" i="2"/>
  <c r="C65" i="2"/>
  <c r="C64" i="2"/>
  <c r="C63" i="2"/>
  <c r="C71" i="2" s="1"/>
  <c r="C62" i="2"/>
  <c r="C61" i="2"/>
  <c r="K72" i="2" l="1"/>
  <c r="C72" i="2"/>
  <c r="C85" i="2"/>
  <c r="K71" i="2"/>
  <c r="C84" i="2"/>
  <c r="K85" i="2"/>
  <c r="S77" i="2"/>
  <c r="S81" i="2"/>
  <c r="S69" i="2"/>
  <c r="S78" i="2"/>
  <c r="S82" i="2"/>
  <c r="S66" i="2"/>
  <c r="S63" i="2"/>
  <c r="S74" i="2"/>
  <c r="S64" i="2"/>
  <c r="S68" i="2"/>
  <c r="S75" i="2"/>
  <c r="S79" i="2"/>
  <c r="S62" i="2"/>
  <c r="S61" i="2"/>
  <c r="S65" i="2"/>
  <c r="S76" i="2"/>
  <c r="S80" i="2"/>
  <c r="S72" i="2"/>
  <c r="S85" i="2" l="1"/>
  <c r="S71" i="2"/>
  <c r="S84" i="2"/>
  <c r="I42" i="1"/>
  <c r="H42" i="1"/>
  <c r="G42" i="1"/>
  <c r="F42" i="1"/>
  <c r="I41" i="1"/>
  <c r="H41" i="1"/>
  <c r="G41" i="1"/>
  <c r="F41" i="1"/>
  <c r="J41" i="1" l="1"/>
  <c r="I37" i="1"/>
  <c r="H37" i="1"/>
  <c r="G37" i="1"/>
  <c r="F37" i="1"/>
  <c r="E37" i="1"/>
  <c r="I36" i="1"/>
  <c r="H36" i="1"/>
  <c r="G36" i="1"/>
  <c r="F36" i="1"/>
  <c r="E36" i="1"/>
  <c r="I34" i="1"/>
  <c r="H34" i="1"/>
  <c r="G34" i="1"/>
  <c r="F34" i="1"/>
  <c r="E34" i="1"/>
  <c r="I33" i="1"/>
  <c r="H33" i="1"/>
  <c r="G33" i="1"/>
  <c r="F33" i="1"/>
  <c r="E33" i="1"/>
  <c r="E46" i="1" l="1"/>
  <c r="J35" i="1"/>
  <c r="F46" i="1"/>
  <c r="G46" i="1"/>
  <c r="G45" i="1"/>
  <c r="I46" i="1"/>
  <c r="F45" i="1"/>
  <c r="E45" i="1"/>
  <c r="H46" i="1"/>
  <c r="H45" i="1"/>
  <c r="I45" i="1"/>
  <c r="J34" i="1"/>
  <c r="J36" i="1"/>
  <c r="J32" i="1"/>
  <c r="J33" i="1"/>
  <c r="J37" i="1"/>
  <c r="J42" i="1"/>
  <c r="AV19" i="34"/>
  <c r="AG19" i="34"/>
  <c r="Y19" i="34"/>
  <c r="Q19" i="34"/>
  <c r="K19" i="34"/>
  <c r="AV15" i="34"/>
  <c r="AG15" i="34"/>
  <c r="Y15" i="34"/>
  <c r="Q15" i="34"/>
  <c r="K15" i="34"/>
  <c r="AV11" i="34"/>
  <c r="AG11" i="34"/>
  <c r="Y11" i="34"/>
  <c r="Q11" i="34"/>
  <c r="K11" i="34"/>
  <c r="AV7" i="34"/>
  <c r="AG7" i="34"/>
  <c r="Y7" i="34"/>
  <c r="Q7" i="34"/>
  <c r="K7" i="34"/>
  <c r="J46" i="1" l="1"/>
  <c r="J45" i="1"/>
  <c r="S7" i="34"/>
  <c r="AI15" i="34"/>
  <c r="AI19" i="34"/>
  <c r="AI11" i="34"/>
  <c r="S19" i="34"/>
  <c r="S11" i="34"/>
  <c r="AI7" i="34"/>
  <c r="S15" i="34"/>
  <c r="AW11" i="34"/>
  <c r="AA19" i="34"/>
  <c r="AA15" i="34"/>
  <c r="AA11" i="34"/>
  <c r="AA7" i="34"/>
  <c r="K12" i="2" l="1"/>
  <c r="K8" i="2"/>
  <c r="K4" i="2"/>
  <c r="C9" i="2"/>
  <c r="C5" i="2"/>
  <c r="K5" i="2"/>
  <c r="K11" i="2"/>
  <c r="K7" i="2"/>
  <c r="C12" i="2"/>
  <c r="C8" i="2"/>
  <c r="C4" i="2"/>
  <c r="K9" i="2"/>
  <c r="S9" i="2" s="1"/>
  <c r="C6" i="2"/>
  <c r="K10" i="2"/>
  <c r="K6" i="2"/>
  <c r="C11" i="2"/>
  <c r="C7" i="2"/>
  <c r="C10" i="2"/>
  <c r="D4" i="2"/>
  <c r="K23" i="2"/>
  <c r="K19" i="2"/>
  <c r="C24" i="2"/>
  <c r="C20" i="2"/>
  <c r="K24" i="2"/>
  <c r="C21" i="2"/>
  <c r="K22" i="2"/>
  <c r="K18" i="2"/>
  <c r="C23" i="2"/>
  <c r="C19" i="2"/>
  <c r="C27" i="2" s="1"/>
  <c r="C25" i="2"/>
  <c r="K25" i="2"/>
  <c r="K21" i="2"/>
  <c r="K17" i="2"/>
  <c r="C22" i="2"/>
  <c r="C18" i="2"/>
  <c r="K20" i="2"/>
  <c r="C17" i="2"/>
  <c r="C28" i="2" s="1"/>
  <c r="D17" i="2"/>
  <c r="AW7" i="34"/>
  <c r="AW15" i="34"/>
  <c r="AW19" i="34"/>
  <c r="AG3" i="34"/>
  <c r="AV3" i="34"/>
  <c r="AW3" i="34" s="1"/>
  <c r="Y3" i="34"/>
  <c r="Q3" i="34"/>
  <c r="K3" i="34"/>
  <c r="C15" i="2" l="1"/>
  <c r="C14" i="2"/>
  <c r="K28" i="2"/>
  <c r="K27" i="2"/>
  <c r="S5" i="2"/>
  <c r="S25" i="2"/>
  <c r="S21" i="2"/>
  <c r="S24" i="2"/>
  <c r="S22" i="2"/>
  <c r="S6" i="2"/>
  <c r="K14" i="2"/>
  <c r="S11" i="2"/>
  <c r="S4" i="2"/>
  <c r="S18" i="2"/>
  <c r="K15" i="2"/>
  <c r="S7" i="2"/>
  <c r="S17" i="2"/>
  <c r="S19" i="2"/>
  <c r="S10" i="2"/>
  <c r="S8" i="2"/>
  <c r="S20" i="2"/>
  <c r="S23" i="2"/>
  <c r="S12" i="2"/>
  <c r="AI3" i="34"/>
  <c r="S3" i="34"/>
  <c r="AA3" i="34"/>
  <c r="S27" i="2" l="1"/>
  <c r="S15" i="2"/>
  <c r="S14" i="2"/>
  <c r="S28" i="2"/>
  <c r="D3" i="3" l="1"/>
  <c r="E3" i="3" s="1"/>
  <c r="D4" i="3"/>
  <c r="E4" i="3" s="1"/>
  <c r="F4" i="3" s="1"/>
  <c r="G4" i="3" s="1"/>
  <c r="H4" i="3" s="1"/>
  <c r="I4" i="3" s="1"/>
  <c r="D5" i="3"/>
  <c r="E5" i="3" s="1"/>
  <c r="D6" i="3"/>
  <c r="E6" i="3" s="1"/>
  <c r="F6" i="3" s="1"/>
  <c r="G6" i="3" s="1"/>
  <c r="H6" i="3" s="1"/>
  <c r="I6" i="3" s="1"/>
  <c r="F5" i="3" l="1"/>
  <c r="G5" i="3" s="1"/>
  <c r="H5" i="3" s="1"/>
  <c r="I5" i="3" s="1"/>
  <c r="F3" i="3"/>
  <c r="G3" i="3" s="1"/>
  <c r="H3" i="3" s="1"/>
  <c r="I3" i="3" s="1"/>
  <c r="J26" i="1" l="1"/>
  <c r="G165" i="22" l="1"/>
  <c r="G162" i="22" l="1"/>
  <c r="C32" i="3" l="1"/>
  <c r="J29" i="1"/>
  <c r="J28" i="1"/>
  <c r="J27" i="1"/>
  <c r="AU3" i="34" l="1"/>
  <c r="AU7" i="34"/>
  <c r="AU11" i="34"/>
  <c r="AU15" i="34"/>
  <c r="AU19" i="34"/>
  <c r="AQ19" i="34"/>
  <c r="AQ11" i="34"/>
  <c r="AQ15" i="34"/>
  <c r="AQ3" i="34"/>
  <c r="AQ7" i="34"/>
  <c r="A4" i="6"/>
  <c r="D15" i="3"/>
  <c r="D32" i="3"/>
  <c r="E32" i="3"/>
  <c r="E15" i="3"/>
  <c r="G229" i="6" l="1"/>
  <c r="H229" i="6" s="1"/>
  <c r="I229" i="6" s="1"/>
  <c r="J229" i="6" s="1"/>
  <c r="K229" i="6" s="1"/>
  <c r="G307" i="6"/>
  <c r="H307" i="6" s="1"/>
  <c r="I307" i="6" s="1"/>
  <c r="J307" i="6" s="1"/>
  <c r="K307" i="6" s="1"/>
  <c r="G137" i="26"/>
  <c r="H137" i="26" s="1"/>
  <c r="I137" i="26" s="1"/>
  <c r="J137" i="26" s="1"/>
  <c r="K137" i="26" s="1"/>
  <c r="G309" i="6"/>
  <c r="H309" i="6" s="1"/>
  <c r="I309" i="6" s="1"/>
  <c r="J309" i="6" s="1"/>
  <c r="K309" i="6" s="1"/>
  <c r="G306" i="6"/>
  <c r="H306" i="6" s="1"/>
  <c r="I306" i="6" s="1"/>
  <c r="J306" i="6" s="1"/>
  <c r="K306" i="6" s="1"/>
  <c r="G305" i="6"/>
  <c r="H305" i="6" s="1"/>
  <c r="I305" i="6" s="1"/>
  <c r="J305" i="6" s="1"/>
  <c r="K305" i="6" s="1"/>
  <c r="G228" i="6"/>
  <c r="H228" i="6" s="1"/>
  <c r="I228" i="6" s="1"/>
  <c r="J228" i="6" s="1"/>
  <c r="K228" i="6" s="1"/>
  <c r="G308" i="6"/>
  <c r="H308" i="6" s="1"/>
  <c r="I308" i="6" s="1"/>
  <c r="J308" i="6" s="1"/>
  <c r="K308" i="6" s="1"/>
  <c r="G136" i="26"/>
  <c r="H136" i="26" s="1"/>
  <c r="I136" i="26" s="1"/>
  <c r="J136" i="26" s="1"/>
  <c r="K136" i="26" s="1"/>
  <c r="G144" i="26"/>
  <c r="H144" i="26" s="1"/>
  <c r="I144" i="26" s="1"/>
  <c r="J144" i="26" s="1"/>
  <c r="K144" i="26" s="1"/>
  <c r="G145" i="26"/>
  <c r="H145" i="26" s="1"/>
  <c r="I145" i="26" s="1"/>
  <c r="J145" i="26" s="1"/>
  <c r="K145" i="26" s="1"/>
  <c r="F15" i="3"/>
  <c r="F32" i="3"/>
  <c r="G15" i="3" l="1"/>
  <c r="G32" i="3"/>
  <c r="H15" i="3"/>
  <c r="H32" i="3"/>
  <c r="I32" i="3" l="1"/>
  <c r="I15" i="3"/>
  <c r="D12" i="3" l="1"/>
  <c r="C12" i="3"/>
  <c r="C29" i="3"/>
  <c r="C13" i="3"/>
  <c r="C30" i="3"/>
  <c r="C14" i="3"/>
  <c r="C31" i="3"/>
  <c r="D11" i="3"/>
  <c r="C11" i="3"/>
  <c r="C28" i="3"/>
  <c r="Q1" i="2"/>
  <c r="P1" i="2"/>
  <c r="O1" i="2"/>
  <c r="N1" i="2"/>
  <c r="M1" i="2"/>
  <c r="L1" i="2"/>
  <c r="K1" i="2"/>
  <c r="J1" i="2"/>
  <c r="I1" i="2"/>
  <c r="H1" i="2"/>
  <c r="G1" i="2"/>
  <c r="F1" i="2"/>
  <c r="E1" i="2"/>
  <c r="D1" i="2"/>
  <c r="C1" i="2"/>
  <c r="B1" i="2"/>
  <c r="L53" i="2"/>
  <c r="L52" i="2"/>
  <c r="L51" i="2"/>
  <c r="L50" i="2"/>
  <c r="L49" i="2"/>
  <c r="L48" i="2"/>
  <c r="L47" i="2"/>
  <c r="L55" i="2" s="1"/>
  <c r="L46" i="2"/>
  <c r="L45" i="2"/>
  <c r="L56" i="2" l="1"/>
  <c r="S56" i="2"/>
  <c r="L77" i="2"/>
  <c r="L81" i="2"/>
  <c r="L74" i="2"/>
  <c r="L78" i="2"/>
  <c r="L82" i="2"/>
  <c r="L75" i="2"/>
  <c r="L79" i="2"/>
  <c r="S55" i="2"/>
  <c r="L76" i="2"/>
  <c r="L84" i="2" s="1"/>
  <c r="L80" i="2"/>
  <c r="F29" i="3"/>
  <c r="D31" i="3"/>
  <c r="D30" i="3"/>
  <c r="D13" i="3"/>
  <c r="D14" i="3"/>
  <c r="D28" i="3"/>
  <c r="D29" i="3"/>
  <c r="F14" i="3"/>
  <c r="F31" i="3"/>
  <c r="E30" i="3"/>
  <c r="E13" i="3"/>
  <c r="E14" i="3"/>
  <c r="E31" i="3"/>
  <c r="L85" i="2" l="1"/>
  <c r="E12" i="3"/>
  <c r="F12" i="3"/>
  <c r="G29" i="3"/>
  <c r="E29" i="3"/>
  <c r="F28" i="3"/>
  <c r="F11" i="3"/>
  <c r="E11" i="3"/>
  <c r="E28" i="3"/>
  <c r="G31" i="3"/>
  <c r="G14" i="3"/>
  <c r="F13" i="3"/>
  <c r="F30" i="3"/>
  <c r="G11" i="3"/>
  <c r="G28" i="3"/>
  <c r="G12" i="3"/>
  <c r="H12" i="3" l="1"/>
  <c r="H29" i="3"/>
  <c r="H14" i="3"/>
  <c r="H31" i="3"/>
  <c r="G30" i="3"/>
  <c r="G13" i="3"/>
  <c r="H11" i="3"/>
  <c r="H28" i="3"/>
  <c r="A4" i="26" l="1"/>
  <c r="I31" i="3"/>
  <c r="I14" i="3"/>
  <c r="I28" i="3"/>
  <c r="I11" i="3"/>
  <c r="H13" i="3"/>
  <c r="H30" i="3"/>
  <c r="I12" i="3"/>
  <c r="I29" i="3"/>
  <c r="G139" i="22"/>
  <c r="G161" i="22"/>
  <c r="G152" i="22"/>
  <c r="G157" i="22"/>
  <c r="G156" i="22"/>
  <c r="G148" i="22"/>
  <c r="G145" i="22"/>
  <c r="G144" i="22"/>
  <c r="G151" i="22"/>
  <c r="G146" i="22"/>
  <c r="G160" i="22"/>
  <c r="G159" i="22"/>
  <c r="G154" i="22"/>
  <c r="G142" i="22"/>
  <c r="G164" i="22"/>
  <c r="G155" i="22"/>
  <c r="I30" i="3" l="1"/>
  <c r="I13" i="3"/>
  <c r="D53" i="2" l="1"/>
  <c r="D25" i="2" s="1"/>
  <c r="D52" i="2"/>
  <c r="D24" i="2" s="1"/>
  <c r="D51" i="2"/>
  <c r="D23" i="2" s="1"/>
  <c r="D50" i="2"/>
  <c r="D22" i="2" s="1"/>
  <c r="D49" i="2"/>
  <c r="D21" i="2" s="1"/>
  <c r="D48" i="2"/>
  <c r="D47" i="2"/>
  <c r="D46" i="2"/>
  <c r="D18" i="2" s="1"/>
  <c r="D19" i="2" l="1"/>
  <c r="D55" i="2"/>
  <c r="T55" i="2" s="1"/>
  <c r="D56" i="2"/>
  <c r="T56" i="2" s="1"/>
  <c r="D20" i="2"/>
  <c r="D81" i="2"/>
  <c r="T81" i="2" s="1"/>
  <c r="T52" i="2"/>
  <c r="D74" i="2"/>
  <c r="T45" i="2"/>
  <c r="D78" i="2"/>
  <c r="T78" i="2" s="1"/>
  <c r="T49" i="2"/>
  <c r="D75" i="2"/>
  <c r="T75" i="2" s="1"/>
  <c r="T46" i="2"/>
  <c r="D79" i="2"/>
  <c r="T79" i="2" s="1"/>
  <c r="T50" i="2"/>
  <c r="D77" i="2"/>
  <c r="T77" i="2" s="1"/>
  <c r="T48" i="2"/>
  <c r="D82" i="2"/>
  <c r="T82" i="2" s="1"/>
  <c r="T53" i="2"/>
  <c r="D76" i="2"/>
  <c r="T47" i="2"/>
  <c r="D80" i="2"/>
  <c r="T80" i="2" s="1"/>
  <c r="T51" i="2"/>
  <c r="K2" i="26"/>
  <c r="J2" i="26"/>
  <c r="I2" i="26"/>
  <c r="H2" i="26"/>
  <c r="G2" i="26"/>
  <c r="D27" i="2" l="1"/>
  <c r="T76" i="2"/>
  <c r="D84" i="2"/>
  <c r="T84" i="2" s="1"/>
  <c r="D85" i="2"/>
  <c r="T85" i="2" s="1"/>
  <c r="D28" i="2"/>
  <c r="T74" i="2"/>
  <c r="F4" i="26" l="1"/>
  <c r="B4" i="26"/>
  <c r="E4" i="26"/>
  <c r="D4" i="26"/>
  <c r="C4" i="26"/>
  <c r="G150" i="22" l="1"/>
  <c r="G163" i="22"/>
  <c r="G158" i="22"/>
  <c r="G153" i="22" l="1"/>
  <c r="G143" i="22"/>
  <c r="G149" i="22"/>
  <c r="G147" i="22"/>
  <c r="G141" i="22"/>
  <c r="G140" i="22"/>
  <c r="M52" i="2" l="1"/>
  <c r="M46" i="2"/>
  <c r="M48" i="2"/>
  <c r="M51" i="2"/>
  <c r="M50" i="2"/>
  <c r="M45" i="2"/>
  <c r="M49" i="2"/>
  <c r="M53" i="2"/>
  <c r="M47" i="2"/>
  <c r="E48" i="2"/>
  <c r="E20" i="2" s="1"/>
  <c r="E53" i="2"/>
  <c r="E25" i="2" s="1"/>
  <c r="E47" i="2"/>
  <c r="E52" i="2"/>
  <c r="E24" i="2" s="1"/>
  <c r="E50" i="2"/>
  <c r="E22" i="2" s="1"/>
  <c r="E51" i="2"/>
  <c r="E23" i="2" s="1"/>
  <c r="E45" i="2"/>
  <c r="E46" i="2"/>
  <c r="E18" i="2" s="1"/>
  <c r="E49" i="2"/>
  <c r="E21" i="2" s="1"/>
  <c r="M55" i="2" l="1"/>
  <c r="M56" i="2"/>
  <c r="E17" i="2"/>
  <c r="E56" i="2"/>
  <c r="E19" i="2"/>
  <c r="E55" i="2"/>
  <c r="E27" i="2"/>
  <c r="E75" i="2"/>
  <c r="E74" i="2"/>
  <c r="E76" i="2"/>
  <c r="E78" i="2"/>
  <c r="E80" i="2"/>
  <c r="E82" i="2"/>
  <c r="E81" i="2"/>
  <c r="E79" i="2"/>
  <c r="E77" i="2"/>
  <c r="M78" i="2"/>
  <c r="U49" i="2"/>
  <c r="U56" i="2"/>
  <c r="M74" i="2"/>
  <c r="U45" i="2"/>
  <c r="M77" i="2"/>
  <c r="U48" i="2"/>
  <c r="M76" i="2"/>
  <c r="U47" i="2"/>
  <c r="M79" i="2"/>
  <c r="U50" i="2"/>
  <c r="M75" i="2"/>
  <c r="U75" i="2" s="1"/>
  <c r="U46" i="2"/>
  <c r="M82" i="2"/>
  <c r="U53" i="2"/>
  <c r="M80" i="2"/>
  <c r="U51" i="2"/>
  <c r="M81" i="2"/>
  <c r="U52" i="2"/>
  <c r="AC3" i="34"/>
  <c r="AE3" i="34" s="1"/>
  <c r="AB3" i="34"/>
  <c r="AD3" i="34" s="1"/>
  <c r="AK3" i="34"/>
  <c r="AM3" i="34" s="1"/>
  <c r="U3" i="34"/>
  <c r="W3" i="34" s="1"/>
  <c r="T3" i="34"/>
  <c r="V3" i="34" s="1"/>
  <c r="AJ3" i="34"/>
  <c r="AL3" i="34" s="1"/>
  <c r="M3" i="34"/>
  <c r="O3" i="34" s="1"/>
  <c r="L3" i="34"/>
  <c r="N3" i="34" s="1"/>
  <c r="F50" i="2"/>
  <c r="F22" i="2" s="1"/>
  <c r="N53" i="2"/>
  <c r="N52" i="2"/>
  <c r="F48" i="2"/>
  <c r="F20" i="2" s="1"/>
  <c r="N51" i="2"/>
  <c r="F46" i="2"/>
  <c r="F18" i="2" s="1"/>
  <c r="F52" i="2"/>
  <c r="F24" i="2" s="1"/>
  <c r="N49" i="2"/>
  <c r="F45" i="2"/>
  <c r="F47" i="2"/>
  <c r="N45" i="2"/>
  <c r="N48" i="2"/>
  <c r="F49" i="2"/>
  <c r="F21" i="2" s="1"/>
  <c r="F51" i="2"/>
  <c r="F23" i="2" s="1"/>
  <c r="F53" i="2"/>
  <c r="F25" i="2" s="1"/>
  <c r="N47" i="2"/>
  <c r="N55" i="2" s="1"/>
  <c r="N50" i="2"/>
  <c r="V50" i="2" s="1"/>
  <c r="N46" i="2"/>
  <c r="L40" i="2"/>
  <c r="L33" i="2"/>
  <c r="L34" i="2"/>
  <c r="L35" i="2"/>
  <c r="L36" i="2"/>
  <c r="L37" i="2"/>
  <c r="L38" i="2"/>
  <c r="L39" i="2"/>
  <c r="L32" i="2"/>
  <c r="E84" i="2" l="1"/>
  <c r="M84" i="2"/>
  <c r="E28" i="2"/>
  <c r="U79" i="2"/>
  <c r="U55" i="2"/>
  <c r="U78" i="2"/>
  <c r="L43" i="2"/>
  <c r="N56" i="2"/>
  <c r="M85" i="2"/>
  <c r="E85" i="2"/>
  <c r="U85" i="2" s="1"/>
  <c r="F55" i="2"/>
  <c r="G45" i="6"/>
  <c r="H45" i="6" s="1"/>
  <c r="I45" i="6" s="1"/>
  <c r="J45" i="6" s="1"/>
  <c r="K45" i="6" s="1"/>
  <c r="G242" i="6"/>
  <c r="H242" i="6" s="1"/>
  <c r="I242" i="6" s="1"/>
  <c r="J242" i="6" s="1"/>
  <c r="K242" i="6" s="1"/>
  <c r="G235" i="6"/>
  <c r="H235" i="6" s="1"/>
  <c r="I235" i="6" s="1"/>
  <c r="J235" i="6" s="1"/>
  <c r="K235" i="6" s="1"/>
  <c r="L42" i="2"/>
  <c r="F17" i="2"/>
  <c r="F56" i="2"/>
  <c r="V56" i="2" s="1"/>
  <c r="G61" i="6"/>
  <c r="H61" i="6" s="1"/>
  <c r="I61" i="6" s="1"/>
  <c r="J61" i="6" s="1"/>
  <c r="K61" i="6" s="1"/>
  <c r="G18" i="6"/>
  <c r="H18" i="6" s="1"/>
  <c r="I18" i="6" s="1"/>
  <c r="J18" i="6" s="1"/>
  <c r="K18" i="6" s="1"/>
  <c r="G43" i="6"/>
  <c r="H43" i="6" s="1"/>
  <c r="I43" i="6" s="1"/>
  <c r="J43" i="6" s="1"/>
  <c r="K43" i="6" s="1"/>
  <c r="U82" i="2"/>
  <c r="G120" i="6"/>
  <c r="H120" i="6" s="1"/>
  <c r="I120" i="6" s="1"/>
  <c r="J120" i="6" s="1"/>
  <c r="K120" i="6" s="1"/>
  <c r="U81" i="2"/>
  <c r="U84" i="2"/>
  <c r="L10" i="2"/>
  <c r="L23" i="2"/>
  <c r="T23" i="2" s="1"/>
  <c r="L22" i="2"/>
  <c r="T22" i="2" s="1"/>
  <c r="L9" i="2"/>
  <c r="L18" i="2"/>
  <c r="T18" i="2" s="1"/>
  <c r="L5" i="2"/>
  <c r="L12" i="2"/>
  <c r="L25" i="2"/>
  <c r="T25" i="2" s="1"/>
  <c r="L6" i="2"/>
  <c r="L19" i="2"/>
  <c r="F19" i="2"/>
  <c r="F27" i="2" s="1"/>
  <c r="L4" i="2"/>
  <c r="T4" i="2" s="1"/>
  <c r="L17" i="2"/>
  <c r="L8" i="2"/>
  <c r="L21" i="2"/>
  <c r="T21" i="2" s="1"/>
  <c r="L24" i="2"/>
  <c r="T24" i="2" s="1"/>
  <c r="L11" i="2"/>
  <c r="L20" i="2"/>
  <c r="T20" i="2" s="1"/>
  <c r="L7" i="2"/>
  <c r="U76" i="2"/>
  <c r="F75" i="2"/>
  <c r="AJ7" i="34" s="1"/>
  <c r="AL7" i="34" s="1"/>
  <c r="F80" i="2"/>
  <c r="AC7" i="34" s="1"/>
  <c r="AE7" i="34" s="1"/>
  <c r="V46" i="2"/>
  <c r="V49" i="2"/>
  <c r="V45" i="2"/>
  <c r="V51" i="2"/>
  <c r="L63" i="2"/>
  <c r="L71" i="2" s="1"/>
  <c r="L65" i="2"/>
  <c r="L69" i="2"/>
  <c r="V55" i="2"/>
  <c r="V53" i="2"/>
  <c r="L68" i="2"/>
  <c r="AX3" i="34"/>
  <c r="G250" i="6"/>
  <c r="H250" i="6" s="1"/>
  <c r="I250" i="6" s="1"/>
  <c r="J250" i="6" s="1"/>
  <c r="K250" i="6" s="1"/>
  <c r="U77" i="2"/>
  <c r="L64" i="2"/>
  <c r="L67" i="2"/>
  <c r="L66" i="2"/>
  <c r="L62" i="2"/>
  <c r="V47" i="2"/>
  <c r="V48" i="2"/>
  <c r="V52" i="2"/>
  <c r="U80" i="2"/>
  <c r="G248" i="6"/>
  <c r="H248" i="6" s="1"/>
  <c r="I248" i="6" s="1"/>
  <c r="J248" i="6" s="1"/>
  <c r="K248" i="6" s="1"/>
  <c r="U74" i="2"/>
  <c r="O48" i="2"/>
  <c r="N77" i="2"/>
  <c r="G52" i="2"/>
  <c r="G24" i="2" s="1"/>
  <c r="F81" i="2"/>
  <c r="G310" i="6"/>
  <c r="H310" i="6" s="1"/>
  <c r="I310" i="6" s="1"/>
  <c r="J310" i="6" s="1"/>
  <c r="K310" i="6" s="1"/>
  <c r="G141" i="6"/>
  <c r="H141" i="6" s="1"/>
  <c r="I141" i="6" s="1"/>
  <c r="J141" i="6" s="1"/>
  <c r="K141" i="6" s="1"/>
  <c r="G257" i="6"/>
  <c r="H257" i="6" s="1"/>
  <c r="I257" i="6" s="1"/>
  <c r="J257" i="6" s="1"/>
  <c r="K257" i="6" s="1"/>
  <c r="G246" i="6"/>
  <c r="H246" i="6" s="1"/>
  <c r="I246" i="6" s="1"/>
  <c r="J246" i="6" s="1"/>
  <c r="K246" i="6" s="1"/>
  <c r="G243" i="6"/>
  <c r="H243" i="6" s="1"/>
  <c r="I243" i="6" s="1"/>
  <c r="J243" i="6" s="1"/>
  <c r="K243" i="6" s="1"/>
  <c r="G156" i="6"/>
  <c r="H156" i="6" s="1"/>
  <c r="I156" i="6" s="1"/>
  <c r="J156" i="6" s="1"/>
  <c r="K156" i="6" s="1"/>
  <c r="G28" i="6"/>
  <c r="H28" i="6" s="1"/>
  <c r="I28" i="6" s="1"/>
  <c r="J28" i="6" s="1"/>
  <c r="K28" i="6" s="1"/>
  <c r="G38" i="6"/>
  <c r="H38" i="6" s="1"/>
  <c r="I38" i="6" s="1"/>
  <c r="J38" i="6" s="1"/>
  <c r="K38" i="6" s="1"/>
  <c r="G30" i="6"/>
  <c r="H30" i="6" s="1"/>
  <c r="I30" i="6" s="1"/>
  <c r="J30" i="6" s="1"/>
  <c r="K30" i="6" s="1"/>
  <c r="L61" i="2"/>
  <c r="G53" i="2"/>
  <c r="G25" i="2" s="1"/>
  <c r="F82" i="2"/>
  <c r="O45" i="2"/>
  <c r="N74" i="2"/>
  <c r="L7" i="34"/>
  <c r="N7" i="34" s="1"/>
  <c r="M7" i="34"/>
  <c r="O7" i="34" s="1"/>
  <c r="O53" i="2"/>
  <c r="N82" i="2"/>
  <c r="G65" i="6"/>
  <c r="H65" i="6" s="1"/>
  <c r="I65" i="6" s="1"/>
  <c r="J65" i="6" s="1"/>
  <c r="K65" i="6" s="1"/>
  <c r="G74" i="6"/>
  <c r="H74" i="6" s="1"/>
  <c r="I74" i="6" s="1"/>
  <c r="J74" i="6" s="1"/>
  <c r="K74" i="6" s="1"/>
  <c r="G239" i="6"/>
  <c r="H239" i="6" s="1"/>
  <c r="I239" i="6" s="1"/>
  <c r="J239" i="6" s="1"/>
  <c r="K239" i="6" s="1"/>
  <c r="G52" i="6"/>
  <c r="H52" i="6" s="1"/>
  <c r="I52" i="6" s="1"/>
  <c r="J52" i="6" s="1"/>
  <c r="K52" i="6" s="1"/>
  <c r="G295" i="6"/>
  <c r="H295" i="6" s="1"/>
  <c r="I295" i="6" s="1"/>
  <c r="J295" i="6" s="1"/>
  <c r="K295" i="6" s="1"/>
  <c r="G143" i="6"/>
  <c r="H143" i="6" s="1"/>
  <c r="I143" i="6" s="1"/>
  <c r="J143" i="6" s="1"/>
  <c r="K143" i="6" s="1"/>
  <c r="G300" i="6"/>
  <c r="H300" i="6" s="1"/>
  <c r="I300" i="6" s="1"/>
  <c r="J300" i="6" s="1"/>
  <c r="K300" i="6" s="1"/>
  <c r="G169" i="6"/>
  <c r="H169" i="6" s="1"/>
  <c r="I169" i="6" s="1"/>
  <c r="J169" i="6" s="1"/>
  <c r="K169" i="6" s="1"/>
  <c r="G138" i="6"/>
  <c r="H138" i="6" s="1"/>
  <c r="I138" i="6" s="1"/>
  <c r="J138" i="6" s="1"/>
  <c r="K138" i="6" s="1"/>
  <c r="G288" i="6"/>
  <c r="H288" i="6" s="1"/>
  <c r="I288" i="6" s="1"/>
  <c r="J288" i="6" s="1"/>
  <c r="K288" i="6" s="1"/>
  <c r="G292" i="6"/>
  <c r="H292" i="6" s="1"/>
  <c r="I292" i="6" s="1"/>
  <c r="J292" i="6" s="1"/>
  <c r="K292" i="6" s="1"/>
  <c r="G159" i="6"/>
  <c r="H159" i="6" s="1"/>
  <c r="I159" i="6" s="1"/>
  <c r="J159" i="6" s="1"/>
  <c r="K159" i="6" s="1"/>
  <c r="G313" i="6"/>
  <c r="H313" i="6" s="1"/>
  <c r="I313" i="6" s="1"/>
  <c r="J313" i="6" s="1"/>
  <c r="K313" i="6" s="1"/>
  <c r="G118" i="6"/>
  <c r="H118" i="6" s="1"/>
  <c r="I118" i="6" s="1"/>
  <c r="J118" i="6" s="1"/>
  <c r="K118" i="6" s="1"/>
  <c r="G154" i="6"/>
  <c r="H154" i="6" s="1"/>
  <c r="I154" i="6" s="1"/>
  <c r="J154" i="6" s="1"/>
  <c r="K154" i="6" s="1"/>
  <c r="G77" i="6"/>
  <c r="H77" i="6" s="1"/>
  <c r="I77" i="6" s="1"/>
  <c r="J77" i="6" s="1"/>
  <c r="K77" i="6" s="1"/>
  <c r="G232" i="6"/>
  <c r="H232" i="6" s="1"/>
  <c r="I232" i="6" s="1"/>
  <c r="J232" i="6" s="1"/>
  <c r="K232" i="6" s="1"/>
  <c r="G55" i="6"/>
  <c r="H55" i="6" s="1"/>
  <c r="I55" i="6" s="1"/>
  <c r="J55" i="6" s="1"/>
  <c r="K55" i="6" s="1"/>
  <c r="O47" i="2"/>
  <c r="N76" i="2"/>
  <c r="O52" i="2"/>
  <c r="N81" i="2"/>
  <c r="G64" i="6"/>
  <c r="H64" i="6" s="1"/>
  <c r="I64" i="6" s="1"/>
  <c r="J64" i="6" s="1"/>
  <c r="K64" i="6" s="1"/>
  <c r="G289" i="6"/>
  <c r="H289" i="6" s="1"/>
  <c r="I289" i="6" s="1"/>
  <c r="J289" i="6" s="1"/>
  <c r="K289" i="6" s="1"/>
  <c r="G244" i="6"/>
  <c r="H244" i="6" s="1"/>
  <c r="I244" i="6" s="1"/>
  <c r="J244" i="6" s="1"/>
  <c r="K244" i="6" s="1"/>
  <c r="G49" i="6"/>
  <c r="H49" i="6" s="1"/>
  <c r="I49" i="6" s="1"/>
  <c r="J49" i="6" s="1"/>
  <c r="K49" i="6" s="1"/>
  <c r="G62" i="6"/>
  <c r="H62" i="6" s="1"/>
  <c r="I62" i="6" s="1"/>
  <c r="J62" i="6" s="1"/>
  <c r="K62" i="6" s="1"/>
  <c r="G25" i="6"/>
  <c r="H25" i="6" s="1"/>
  <c r="I25" i="6" s="1"/>
  <c r="J25" i="6" s="1"/>
  <c r="K25" i="6" s="1"/>
  <c r="G67" i="6"/>
  <c r="H67" i="6" s="1"/>
  <c r="I67" i="6" s="1"/>
  <c r="J67" i="6" s="1"/>
  <c r="K67" i="6" s="1"/>
  <c r="G237" i="6"/>
  <c r="H237" i="6" s="1"/>
  <c r="I237" i="6" s="1"/>
  <c r="J237" i="6" s="1"/>
  <c r="K237" i="6" s="1"/>
  <c r="G140" i="6"/>
  <c r="H140" i="6" s="1"/>
  <c r="I140" i="6" s="1"/>
  <c r="J140" i="6" s="1"/>
  <c r="K140" i="6" s="1"/>
  <c r="G268" i="6"/>
  <c r="H268" i="6" s="1"/>
  <c r="I268" i="6" s="1"/>
  <c r="J268" i="6" s="1"/>
  <c r="K268" i="6" s="1"/>
  <c r="G221" i="6"/>
  <c r="H221" i="6" s="1"/>
  <c r="I221" i="6" s="1"/>
  <c r="J221" i="6" s="1"/>
  <c r="K221" i="6" s="1"/>
  <c r="G204" i="6"/>
  <c r="H204" i="6" s="1"/>
  <c r="I204" i="6" s="1"/>
  <c r="J204" i="6" s="1"/>
  <c r="K204" i="6" s="1"/>
  <c r="G217" i="6"/>
  <c r="H217" i="6" s="1"/>
  <c r="I217" i="6" s="1"/>
  <c r="J217" i="6" s="1"/>
  <c r="K217" i="6" s="1"/>
  <c r="G264" i="6"/>
  <c r="H264" i="6" s="1"/>
  <c r="I264" i="6" s="1"/>
  <c r="J264" i="6" s="1"/>
  <c r="K264" i="6" s="1"/>
  <c r="G220" i="6"/>
  <c r="H220" i="6" s="1"/>
  <c r="I220" i="6" s="1"/>
  <c r="J220" i="6" s="1"/>
  <c r="K220" i="6" s="1"/>
  <c r="G155" i="6"/>
  <c r="H155" i="6" s="1"/>
  <c r="I155" i="6" s="1"/>
  <c r="J155" i="6" s="1"/>
  <c r="K155" i="6" s="1"/>
  <c r="G99" i="6"/>
  <c r="H99" i="6" s="1"/>
  <c r="I99" i="6" s="1"/>
  <c r="J99" i="6" s="1"/>
  <c r="K99" i="6" s="1"/>
  <c r="G5" i="6"/>
  <c r="H5" i="6" s="1"/>
  <c r="I5" i="6" s="1"/>
  <c r="J5" i="6" s="1"/>
  <c r="K5" i="6" s="1"/>
  <c r="G16" i="6"/>
  <c r="H16" i="6" s="1"/>
  <c r="I16" i="6" s="1"/>
  <c r="J16" i="6" s="1"/>
  <c r="K16" i="6" s="1"/>
  <c r="G125" i="6"/>
  <c r="H125" i="6" s="1"/>
  <c r="I125" i="6" s="1"/>
  <c r="J125" i="6" s="1"/>
  <c r="K125" i="6" s="1"/>
  <c r="G57" i="6"/>
  <c r="H57" i="6" s="1"/>
  <c r="I57" i="6" s="1"/>
  <c r="J57" i="6" s="1"/>
  <c r="K57" i="6" s="1"/>
  <c r="G19" i="6"/>
  <c r="H19" i="6" s="1"/>
  <c r="I19" i="6" s="1"/>
  <c r="J19" i="6" s="1"/>
  <c r="K19" i="6" s="1"/>
  <c r="G81" i="6"/>
  <c r="H81" i="6" s="1"/>
  <c r="I81" i="6" s="1"/>
  <c r="J81" i="6" s="1"/>
  <c r="K81" i="6" s="1"/>
  <c r="G45" i="2"/>
  <c r="F74" i="2"/>
  <c r="G4" i="6"/>
  <c r="G258" i="6"/>
  <c r="H258" i="6" s="1"/>
  <c r="I258" i="6" s="1"/>
  <c r="J258" i="6" s="1"/>
  <c r="K258" i="6" s="1"/>
  <c r="G102" i="6"/>
  <c r="H102" i="6" s="1"/>
  <c r="I102" i="6" s="1"/>
  <c r="J102" i="6" s="1"/>
  <c r="K102" i="6" s="1"/>
  <c r="G136" i="6"/>
  <c r="H136" i="6" s="1"/>
  <c r="I136" i="6" s="1"/>
  <c r="J136" i="6" s="1"/>
  <c r="K136" i="6" s="1"/>
  <c r="O46" i="2"/>
  <c r="N75" i="2"/>
  <c r="O49" i="2"/>
  <c r="N78" i="2"/>
  <c r="O51" i="2"/>
  <c r="N80" i="2"/>
  <c r="V80" i="2" s="1"/>
  <c r="G53" i="6"/>
  <c r="H53" i="6" s="1"/>
  <c r="I53" i="6" s="1"/>
  <c r="J53" i="6" s="1"/>
  <c r="K53" i="6" s="1"/>
  <c r="G272" i="6"/>
  <c r="H272" i="6" s="1"/>
  <c r="I272" i="6" s="1"/>
  <c r="J272" i="6" s="1"/>
  <c r="K272" i="6" s="1"/>
  <c r="G312" i="6"/>
  <c r="H312" i="6" s="1"/>
  <c r="I312" i="6" s="1"/>
  <c r="J312" i="6" s="1"/>
  <c r="K312" i="6" s="1"/>
  <c r="O50" i="2"/>
  <c r="N79" i="2"/>
  <c r="G49" i="2"/>
  <c r="G21" i="2" s="1"/>
  <c r="F78" i="2"/>
  <c r="G47" i="2"/>
  <c r="G55" i="2" s="1"/>
  <c r="F76" i="2"/>
  <c r="G48" i="2"/>
  <c r="G20" i="2" s="1"/>
  <c r="F77" i="2"/>
  <c r="G50" i="2"/>
  <c r="G22" i="2" s="1"/>
  <c r="F79" i="2"/>
  <c r="G68" i="6"/>
  <c r="H68" i="6" s="1"/>
  <c r="I68" i="6" s="1"/>
  <c r="J68" i="6" s="1"/>
  <c r="K68" i="6" s="1"/>
  <c r="G73" i="6"/>
  <c r="H73" i="6" s="1"/>
  <c r="I73" i="6" s="1"/>
  <c r="J73" i="6" s="1"/>
  <c r="K73" i="6" s="1"/>
  <c r="G121" i="6"/>
  <c r="H121" i="6" s="1"/>
  <c r="I121" i="6" s="1"/>
  <c r="J121" i="6" s="1"/>
  <c r="K121" i="6" s="1"/>
  <c r="G153" i="6"/>
  <c r="H153" i="6" s="1"/>
  <c r="I153" i="6" s="1"/>
  <c r="J153" i="6" s="1"/>
  <c r="K153" i="6" s="1"/>
  <c r="G265" i="6"/>
  <c r="H265" i="6" s="1"/>
  <c r="I265" i="6" s="1"/>
  <c r="J265" i="6" s="1"/>
  <c r="K265" i="6" s="1"/>
  <c r="G293" i="6"/>
  <c r="H293" i="6" s="1"/>
  <c r="I293" i="6" s="1"/>
  <c r="J293" i="6" s="1"/>
  <c r="K293" i="6" s="1"/>
  <c r="G247" i="6"/>
  <c r="H247" i="6" s="1"/>
  <c r="I247" i="6" s="1"/>
  <c r="J247" i="6" s="1"/>
  <c r="K247" i="6" s="1"/>
  <c r="G95" i="6"/>
  <c r="H95" i="6" s="1"/>
  <c r="I95" i="6" s="1"/>
  <c r="J95" i="6" s="1"/>
  <c r="K95" i="6" s="1"/>
  <c r="G205" i="6"/>
  <c r="H205" i="6" s="1"/>
  <c r="I205" i="6" s="1"/>
  <c r="J205" i="6" s="1"/>
  <c r="K205" i="6" s="1"/>
  <c r="G241" i="6"/>
  <c r="H241" i="6" s="1"/>
  <c r="I241" i="6" s="1"/>
  <c r="J241" i="6" s="1"/>
  <c r="K241" i="6" s="1"/>
  <c r="G91" i="6"/>
  <c r="H91" i="6" s="1"/>
  <c r="I91" i="6" s="1"/>
  <c r="J91" i="6" s="1"/>
  <c r="K91" i="6" s="1"/>
  <c r="G152" i="6"/>
  <c r="H152" i="6" s="1"/>
  <c r="I152" i="6" s="1"/>
  <c r="J152" i="6" s="1"/>
  <c r="K152" i="6" s="1"/>
  <c r="G44" i="6"/>
  <c r="H44" i="6" s="1"/>
  <c r="I44" i="6" s="1"/>
  <c r="J44" i="6" s="1"/>
  <c r="K44" i="6" s="1"/>
  <c r="G54" i="6"/>
  <c r="H54" i="6" s="1"/>
  <c r="I54" i="6" s="1"/>
  <c r="J54" i="6" s="1"/>
  <c r="K54" i="6" s="1"/>
  <c r="G50" i="6"/>
  <c r="H50" i="6" s="1"/>
  <c r="I50" i="6" s="1"/>
  <c r="J50" i="6" s="1"/>
  <c r="K50" i="6" s="1"/>
  <c r="G59" i="6"/>
  <c r="H59" i="6" s="1"/>
  <c r="I59" i="6" s="1"/>
  <c r="J59" i="6" s="1"/>
  <c r="K59" i="6" s="1"/>
  <c r="G24" i="6"/>
  <c r="H24" i="6" s="1"/>
  <c r="I24" i="6" s="1"/>
  <c r="J24" i="6" s="1"/>
  <c r="K24" i="6" s="1"/>
  <c r="G22" i="6"/>
  <c r="H22" i="6" s="1"/>
  <c r="I22" i="6" s="1"/>
  <c r="J22" i="6" s="1"/>
  <c r="K22" i="6" s="1"/>
  <c r="G127" i="6"/>
  <c r="H127" i="6" s="1"/>
  <c r="I127" i="6" s="1"/>
  <c r="J127" i="6" s="1"/>
  <c r="K127" i="6" s="1"/>
  <c r="G60" i="6"/>
  <c r="H60" i="6" s="1"/>
  <c r="I60" i="6" s="1"/>
  <c r="J60" i="6" s="1"/>
  <c r="K60" i="6" s="1"/>
  <c r="G40" i="6"/>
  <c r="H40" i="6" s="1"/>
  <c r="I40" i="6" s="1"/>
  <c r="J40" i="6" s="1"/>
  <c r="K40" i="6" s="1"/>
  <c r="G56" i="6"/>
  <c r="H56" i="6" s="1"/>
  <c r="I56" i="6" s="1"/>
  <c r="J56" i="6" s="1"/>
  <c r="K56" i="6" s="1"/>
  <c r="G6" i="6"/>
  <c r="H6" i="6" s="1"/>
  <c r="I6" i="6" s="1"/>
  <c r="J6" i="6" s="1"/>
  <c r="K6" i="6" s="1"/>
  <c r="G33" i="6"/>
  <c r="H33" i="6" s="1"/>
  <c r="I33" i="6" s="1"/>
  <c r="J33" i="6" s="1"/>
  <c r="K33" i="6" s="1"/>
  <c r="G277" i="6"/>
  <c r="H277" i="6" s="1"/>
  <c r="I277" i="6" s="1"/>
  <c r="J277" i="6" s="1"/>
  <c r="K277" i="6" s="1"/>
  <c r="G296" i="6"/>
  <c r="H296" i="6" s="1"/>
  <c r="I296" i="6" s="1"/>
  <c r="J296" i="6" s="1"/>
  <c r="K296" i="6" s="1"/>
  <c r="G261" i="6"/>
  <c r="H261" i="6" s="1"/>
  <c r="I261" i="6" s="1"/>
  <c r="J261" i="6" s="1"/>
  <c r="K261" i="6" s="1"/>
  <c r="G285" i="6"/>
  <c r="H285" i="6" s="1"/>
  <c r="I285" i="6" s="1"/>
  <c r="J285" i="6" s="1"/>
  <c r="K285" i="6" s="1"/>
  <c r="G304" i="6"/>
  <c r="H304" i="6" s="1"/>
  <c r="I304" i="6" s="1"/>
  <c r="J304" i="6" s="1"/>
  <c r="K304" i="6" s="1"/>
  <c r="G46" i="2"/>
  <c r="G18" i="2" s="1"/>
  <c r="G51" i="2"/>
  <c r="G23" i="2" s="1"/>
  <c r="M34" i="2"/>
  <c r="M35" i="2"/>
  <c r="M36" i="2"/>
  <c r="M40" i="2"/>
  <c r="M37" i="2"/>
  <c r="M38" i="2"/>
  <c r="M33" i="2"/>
  <c r="M32" i="2"/>
  <c r="M39" i="2"/>
  <c r="S42" i="2"/>
  <c r="D39" i="2"/>
  <c r="D11" i="2" s="1"/>
  <c r="D33" i="2"/>
  <c r="D5" i="2" s="1"/>
  <c r="D34" i="2"/>
  <c r="D35" i="2"/>
  <c r="D7" i="2" s="1"/>
  <c r="D36" i="2"/>
  <c r="D8" i="2" s="1"/>
  <c r="D37" i="2"/>
  <c r="D9" i="2" s="1"/>
  <c r="D38" i="2"/>
  <c r="D10" i="2" s="1"/>
  <c r="D40" i="2"/>
  <c r="D12" i="2" s="1"/>
  <c r="T32" i="2"/>
  <c r="G51" i="6" l="1"/>
  <c r="H51" i="6" s="1"/>
  <c r="I51" i="6" s="1"/>
  <c r="J51" i="6" s="1"/>
  <c r="K51" i="6" s="1"/>
  <c r="G39" i="6"/>
  <c r="H39" i="6" s="1"/>
  <c r="I39" i="6" s="1"/>
  <c r="J39" i="6" s="1"/>
  <c r="K39" i="6" s="1"/>
  <c r="G35" i="6"/>
  <c r="H35" i="6" s="1"/>
  <c r="I35" i="6" s="1"/>
  <c r="J35" i="6" s="1"/>
  <c r="K35" i="6" s="1"/>
  <c r="G34" i="6"/>
  <c r="H34" i="6" s="1"/>
  <c r="I34" i="6" s="1"/>
  <c r="J34" i="6" s="1"/>
  <c r="K34" i="6" s="1"/>
  <c r="G105" i="6"/>
  <c r="H105" i="6" s="1"/>
  <c r="I105" i="6" s="1"/>
  <c r="J105" i="6" s="1"/>
  <c r="K105" i="6" s="1"/>
  <c r="G71" i="6"/>
  <c r="H71" i="6" s="1"/>
  <c r="I71" i="6" s="1"/>
  <c r="J71" i="6" s="1"/>
  <c r="K71" i="6" s="1"/>
  <c r="N84" i="2"/>
  <c r="M42" i="2"/>
  <c r="O55" i="2"/>
  <c r="O56" i="2"/>
  <c r="G256" i="6"/>
  <c r="H256" i="6" s="1"/>
  <c r="I256" i="6" s="1"/>
  <c r="J256" i="6" s="1"/>
  <c r="K256" i="6" s="1"/>
  <c r="G222" i="6"/>
  <c r="H222" i="6" s="1"/>
  <c r="I222" i="6" s="1"/>
  <c r="J222" i="6" s="1"/>
  <c r="K222" i="6" s="1"/>
  <c r="G134" i="6"/>
  <c r="H134" i="6" s="1"/>
  <c r="I134" i="6" s="1"/>
  <c r="J134" i="6" s="1"/>
  <c r="K134" i="6" s="1"/>
  <c r="G297" i="6"/>
  <c r="H297" i="6" s="1"/>
  <c r="I297" i="6" s="1"/>
  <c r="J297" i="6" s="1"/>
  <c r="K297" i="6" s="1"/>
  <c r="G259" i="6"/>
  <c r="H259" i="6" s="1"/>
  <c r="I259" i="6" s="1"/>
  <c r="J259" i="6" s="1"/>
  <c r="K259" i="6" s="1"/>
  <c r="G139" i="6"/>
  <c r="H139" i="6" s="1"/>
  <c r="I139" i="6" s="1"/>
  <c r="J139" i="6" s="1"/>
  <c r="K139" i="6" s="1"/>
  <c r="G94" i="6"/>
  <c r="H94" i="6" s="1"/>
  <c r="I94" i="6" s="1"/>
  <c r="J94" i="6" s="1"/>
  <c r="K94" i="6" s="1"/>
  <c r="G142" i="6"/>
  <c r="H142" i="6" s="1"/>
  <c r="I142" i="6" s="1"/>
  <c r="J142" i="6" s="1"/>
  <c r="K142" i="6" s="1"/>
  <c r="G27" i="6"/>
  <c r="H27" i="6" s="1"/>
  <c r="I27" i="6" s="1"/>
  <c r="J27" i="6" s="1"/>
  <c r="K27" i="6" s="1"/>
  <c r="G89" i="6"/>
  <c r="H89" i="6" s="1"/>
  <c r="I89" i="6" s="1"/>
  <c r="J89" i="6" s="1"/>
  <c r="K89" i="6" s="1"/>
  <c r="G103" i="6"/>
  <c r="H103" i="6" s="1"/>
  <c r="I103" i="6" s="1"/>
  <c r="J103" i="6" s="1"/>
  <c r="K103" i="6" s="1"/>
  <c r="G223" i="6"/>
  <c r="H223" i="6" s="1"/>
  <c r="I223" i="6" s="1"/>
  <c r="J223" i="6" s="1"/>
  <c r="K223" i="6" s="1"/>
  <c r="G119" i="6"/>
  <c r="H119" i="6" s="1"/>
  <c r="I119" i="6" s="1"/>
  <c r="J119" i="6" s="1"/>
  <c r="K119" i="6" s="1"/>
  <c r="G7" i="6"/>
  <c r="H7" i="6" s="1"/>
  <c r="I7" i="6" s="1"/>
  <c r="J7" i="6" s="1"/>
  <c r="K7" i="6" s="1"/>
  <c r="G17" i="6"/>
  <c r="H17" i="6" s="1"/>
  <c r="I17" i="6" s="1"/>
  <c r="J17" i="6" s="1"/>
  <c r="K17" i="6" s="1"/>
  <c r="G78" i="6"/>
  <c r="H78" i="6" s="1"/>
  <c r="I78" i="6" s="1"/>
  <c r="J78" i="6" s="1"/>
  <c r="K78" i="6" s="1"/>
  <c r="G245" i="6"/>
  <c r="H245" i="6" s="1"/>
  <c r="I245" i="6" s="1"/>
  <c r="J245" i="6" s="1"/>
  <c r="K245" i="6" s="1"/>
  <c r="G98" i="6"/>
  <c r="H98" i="6" s="1"/>
  <c r="I98" i="6" s="1"/>
  <c r="J98" i="6" s="1"/>
  <c r="K98" i="6" s="1"/>
  <c r="G37" i="6"/>
  <c r="H37" i="6" s="1"/>
  <c r="I37" i="6" s="1"/>
  <c r="J37" i="6" s="1"/>
  <c r="K37" i="6" s="1"/>
  <c r="G240" i="6"/>
  <c r="H240" i="6" s="1"/>
  <c r="I240" i="6" s="1"/>
  <c r="J240" i="6" s="1"/>
  <c r="K240" i="6" s="1"/>
  <c r="G207" i="6"/>
  <c r="H207" i="6" s="1"/>
  <c r="I207" i="6" s="1"/>
  <c r="J207" i="6" s="1"/>
  <c r="K207" i="6" s="1"/>
  <c r="G104" i="6"/>
  <c r="H104" i="6" s="1"/>
  <c r="I104" i="6" s="1"/>
  <c r="J104" i="6" s="1"/>
  <c r="K104" i="6" s="1"/>
  <c r="G311" i="6"/>
  <c r="H311" i="6" s="1"/>
  <c r="I311" i="6" s="1"/>
  <c r="J311" i="6" s="1"/>
  <c r="K311" i="6" s="1"/>
  <c r="G280" i="6"/>
  <c r="H280" i="6" s="1"/>
  <c r="I280" i="6" s="1"/>
  <c r="J280" i="6" s="1"/>
  <c r="K280" i="6" s="1"/>
  <c r="G135" i="6"/>
  <c r="H135" i="6" s="1"/>
  <c r="I135" i="6" s="1"/>
  <c r="J135" i="6" s="1"/>
  <c r="K135" i="6" s="1"/>
  <c r="G236" i="6"/>
  <c r="H236" i="6" s="1"/>
  <c r="I236" i="6" s="1"/>
  <c r="J236" i="6" s="1"/>
  <c r="K236" i="6" s="1"/>
  <c r="G47" i="6"/>
  <c r="H47" i="6" s="1"/>
  <c r="I47" i="6" s="1"/>
  <c r="J47" i="6" s="1"/>
  <c r="K47" i="6" s="1"/>
  <c r="G48" i="6"/>
  <c r="H48" i="6" s="1"/>
  <c r="I48" i="6" s="1"/>
  <c r="J48" i="6" s="1"/>
  <c r="K48" i="6" s="1"/>
  <c r="G301" i="6"/>
  <c r="H301" i="6" s="1"/>
  <c r="I301" i="6" s="1"/>
  <c r="J301" i="6" s="1"/>
  <c r="K301" i="6" s="1"/>
  <c r="G46" i="6"/>
  <c r="H46" i="6" s="1"/>
  <c r="I46" i="6" s="1"/>
  <c r="J46" i="6" s="1"/>
  <c r="K46" i="6" s="1"/>
  <c r="G23" i="6"/>
  <c r="H23" i="6" s="1"/>
  <c r="I23" i="6" s="1"/>
  <c r="J23" i="6" s="1"/>
  <c r="K23" i="6" s="1"/>
  <c r="F84" i="2"/>
  <c r="G29" i="6"/>
  <c r="H29" i="6" s="1"/>
  <c r="I29" i="6" s="1"/>
  <c r="J29" i="6" s="1"/>
  <c r="K29" i="6" s="1"/>
  <c r="G273" i="6"/>
  <c r="H273" i="6" s="1"/>
  <c r="I273" i="6" s="1"/>
  <c r="J273" i="6" s="1"/>
  <c r="K273" i="6" s="1"/>
  <c r="G206" i="6"/>
  <c r="H206" i="6" s="1"/>
  <c r="I206" i="6" s="1"/>
  <c r="J206" i="6" s="1"/>
  <c r="K206" i="6" s="1"/>
  <c r="F85" i="2"/>
  <c r="G124" i="6"/>
  <c r="H124" i="6" s="1"/>
  <c r="I124" i="6" s="1"/>
  <c r="J124" i="6" s="1"/>
  <c r="K124" i="6" s="1"/>
  <c r="G58" i="6"/>
  <c r="H58" i="6" s="1"/>
  <c r="I58" i="6" s="1"/>
  <c r="J58" i="6" s="1"/>
  <c r="K58" i="6" s="1"/>
  <c r="G171" i="6"/>
  <c r="H171" i="6" s="1"/>
  <c r="I171" i="6" s="1"/>
  <c r="J171" i="6" s="1"/>
  <c r="K171" i="6" s="1"/>
  <c r="G26" i="6"/>
  <c r="H26" i="6" s="1"/>
  <c r="I26" i="6" s="1"/>
  <c r="J26" i="6" s="1"/>
  <c r="K26" i="6" s="1"/>
  <c r="G281" i="6"/>
  <c r="H281" i="6" s="1"/>
  <c r="I281" i="6" s="1"/>
  <c r="J281" i="6" s="1"/>
  <c r="K281" i="6" s="1"/>
  <c r="G82" i="6"/>
  <c r="H82" i="6" s="1"/>
  <c r="I82" i="6" s="1"/>
  <c r="J82" i="6" s="1"/>
  <c r="K82" i="6" s="1"/>
  <c r="G31" i="6"/>
  <c r="H31" i="6" s="1"/>
  <c r="I31" i="6" s="1"/>
  <c r="J31" i="6" s="1"/>
  <c r="K31" i="6" s="1"/>
  <c r="G32" i="6"/>
  <c r="H32" i="6" s="1"/>
  <c r="I32" i="6" s="1"/>
  <c r="J32" i="6" s="1"/>
  <c r="K32" i="6" s="1"/>
  <c r="G202" i="6"/>
  <c r="H202" i="6" s="1"/>
  <c r="I202" i="6" s="1"/>
  <c r="J202" i="6" s="1"/>
  <c r="K202" i="6" s="1"/>
  <c r="G90" i="6"/>
  <c r="H90" i="6" s="1"/>
  <c r="I90" i="6" s="1"/>
  <c r="J90" i="6" s="1"/>
  <c r="K90" i="6" s="1"/>
  <c r="G131" i="6"/>
  <c r="H131" i="6" s="1"/>
  <c r="I131" i="6" s="1"/>
  <c r="J131" i="6" s="1"/>
  <c r="K131" i="6" s="1"/>
  <c r="G129" i="6"/>
  <c r="H129" i="6" s="1"/>
  <c r="I129" i="6" s="1"/>
  <c r="J129" i="6" s="1"/>
  <c r="K129" i="6" s="1"/>
  <c r="G130" i="6"/>
  <c r="H130" i="6" s="1"/>
  <c r="I130" i="6" s="1"/>
  <c r="J130" i="6" s="1"/>
  <c r="K130" i="6" s="1"/>
  <c r="G132" i="6"/>
  <c r="H132" i="6" s="1"/>
  <c r="I132" i="6" s="1"/>
  <c r="J132" i="6" s="1"/>
  <c r="K132" i="6" s="1"/>
  <c r="G128" i="6"/>
  <c r="H128" i="6" s="1"/>
  <c r="I128" i="6" s="1"/>
  <c r="J128" i="6" s="1"/>
  <c r="K128" i="6" s="1"/>
  <c r="D6" i="2"/>
  <c r="D14" i="2" s="1"/>
  <c r="D42" i="2"/>
  <c r="D43" i="2"/>
  <c r="G260" i="6"/>
  <c r="H260" i="6" s="1"/>
  <c r="I260" i="6" s="1"/>
  <c r="J260" i="6" s="1"/>
  <c r="K260" i="6" s="1"/>
  <c r="M43" i="2"/>
  <c r="G276" i="6"/>
  <c r="H276" i="6" s="1"/>
  <c r="I276" i="6" s="1"/>
  <c r="J276" i="6" s="1"/>
  <c r="K276" i="6" s="1"/>
  <c r="G176" i="6"/>
  <c r="H176" i="6" s="1"/>
  <c r="I176" i="6" s="1"/>
  <c r="J176" i="6" s="1"/>
  <c r="K176" i="6" s="1"/>
  <c r="G63" i="6"/>
  <c r="H63" i="6" s="1"/>
  <c r="I63" i="6" s="1"/>
  <c r="J63" i="6" s="1"/>
  <c r="K63" i="6" s="1"/>
  <c r="G17" i="2"/>
  <c r="G56" i="2"/>
  <c r="G100" i="6"/>
  <c r="H100" i="6" s="1"/>
  <c r="I100" i="6" s="1"/>
  <c r="J100" i="6" s="1"/>
  <c r="K100" i="6" s="1"/>
  <c r="G233" i="6"/>
  <c r="H233" i="6" s="1"/>
  <c r="I233" i="6" s="1"/>
  <c r="J233" i="6" s="1"/>
  <c r="K233" i="6" s="1"/>
  <c r="G238" i="6"/>
  <c r="H238" i="6" s="1"/>
  <c r="I238" i="6" s="1"/>
  <c r="J238" i="6" s="1"/>
  <c r="K238" i="6" s="1"/>
  <c r="N85" i="2"/>
  <c r="L72" i="2"/>
  <c r="G234" i="6"/>
  <c r="H234" i="6" s="1"/>
  <c r="I234" i="6" s="1"/>
  <c r="J234" i="6" s="1"/>
  <c r="K234" i="6" s="1"/>
  <c r="G200" i="6"/>
  <c r="H200" i="6" s="1"/>
  <c r="I200" i="6" s="1"/>
  <c r="J200" i="6" s="1"/>
  <c r="K200" i="6" s="1"/>
  <c r="G170" i="6"/>
  <c r="H170" i="6" s="1"/>
  <c r="I170" i="6" s="1"/>
  <c r="J170" i="6" s="1"/>
  <c r="K170" i="6" s="1"/>
  <c r="G251" i="6"/>
  <c r="H251" i="6" s="1"/>
  <c r="I251" i="6" s="1"/>
  <c r="J251" i="6" s="1"/>
  <c r="K251" i="6" s="1"/>
  <c r="G133" i="6"/>
  <c r="H133" i="6" s="1"/>
  <c r="I133" i="6" s="1"/>
  <c r="J133" i="6" s="1"/>
  <c r="K133" i="6" s="1"/>
  <c r="T19" i="2"/>
  <c r="L27" i="2"/>
  <c r="T17" i="2"/>
  <c r="L28" i="2"/>
  <c r="F28" i="2"/>
  <c r="G80" i="6"/>
  <c r="H80" i="6" s="1"/>
  <c r="I80" i="6" s="1"/>
  <c r="J80" i="6" s="1"/>
  <c r="K80" i="6" s="1"/>
  <c r="G249" i="6"/>
  <c r="H249" i="6" s="1"/>
  <c r="I249" i="6" s="1"/>
  <c r="J249" i="6" s="1"/>
  <c r="K249" i="6" s="1"/>
  <c r="G8" i="6"/>
  <c r="H8" i="6" s="1"/>
  <c r="I8" i="6" s="1"/>
  <c r="J8" i="6" s="1"/>
  <c r="K8" i="6" s="1"/>
  <c r="G75" i="6"/>
  <c r="H75" i="6" s="1"/>
  <c r="I75" i="6" s="1"/>
  <c r="J75" i="6" s="1"/>
  <c r="K75" i="6" s="1"/>
  <c r="G42" i="6"/>
  <c r="H42" i="6" s="1"/>
  <c r="I42" i="6" s="1"/>
  <c r="J42" i="6" s="1"/>
  <c r="K42" i="6" s="1"/>
  <c r="G13" i="6"/>
  <c r="H13" i="6" s="1"/>
  <c r="I13" i="6" s="1"/>
  <c r="J13" i="6" s="1"/>
  <c r="K13" i="6" s="1"/>
  <c r="G187" i="6"/>
  <c r="H187" i="6" s="1"/>
  <c r="I187" i="6" s="1"/>
  <c r="J187" i="6" s="1"/>
  <c r="K187" i="6" s="1"/>
  <c r="G79" i="6"/>
  <c r="H79" i="6" s="1"/>
  <c r="I79" i="6" s="1"/>
  <c r="J79" i="6" s="1"/>
  <c r="K79" i="6" s="1"/>
  <c r="G83" i="6"/>
  <c r="H83" i="6" s="1"/>
  <c r="I83" i="6" s="1"/>
  <c r="J83" i="6" s="1"/>
  <c r="K83" i="6" s="1"/>
  <c r="G195" i="6"/>
  <c r="H195" i="6" s="1"/>
  <c r="I195" i="6" s="1"/>
  <c r="J195" i="6" s="1"/>
  <c r="K195" i="6" s="1"/>
  <c r="G72" i="6"/>
  <c r="H72" i="6" s="1"/>
  <c r="I72" i="6" s="1"/>
  <c r="J72" i="6" s="1"/>
  <c r="K72" i="6" s="1"/>
  <c r="G21" i="6"/>
  <c r="H21" i="6" s="1"/>
  <c r="I21" i="6" s="1"/>
  <c r="J21" i="6" s="1"/>
  <c r="K21" i="6" s="1"/>
  <c r="G193" i="6"/>
  <c r="H193" i="6" s="1"/>
  <c r="I193" i="6" s="1"/>
  <c r="J193" i="6" s="1"/>
  <c r="K193" i="6" s="1"/>
  <c r="G10" i="6"/>
  <c r="H10" i="6" s="1"/>
  <c r="I10" i="6" s="1"/>
  <c r="J10" i="6" s="1"/>
  <c r="K10" i="6" s="1"/>
  <c r="G70" i="6"/>
  <c r="H70" i="6" s="1"/>
  <c r="I70" i="6" s="1"/>
  <c r="J70" i="6" s="1"/>
  <c r="K70" i="6" s="1"/>
  <c r="G185" i="6"/>
  <c r="H185" i="6" s="1"/>
  <c r="I185" i="6" s="1"/>
  <c r="J185" i="6" s="1"/>
  <c r="K185" i="6" s="1"/>
  <c r="AB7" i="34"/>
  <c r="AD7" i="34" s="1"/>
  <c r="G20" i="6"/>
  <c r="H20" i="6" s="1"/>
  <c r="I20" i="6" s="1"/>
  <c r="J20" i="6" s="1"/>
  <c r="K20" i="6" s="1"/>
  <c r="G11" i="6"/>
  <c r="H11" i="6" s="1"/>
  <c r="I11" i="6" s="1"/>
  <c r="J11" i="6" s="1"/>
  <c r="K11" i="6" s="1"/>
  <c r="G186" i="6"/>
  <c r="H186" i="6" s="1"/>
  <c r="I186" i="6" s="1"/>
  <c r="J186" i="6" s="1"/>
  <c r="K186" i="6" s="1"/>
  <c r="G84" i="6"/>
  <c r="H84" i="6" s="1"/>
  <c r="I84" i="6" s="1"/>
  <c r="J84" i="6" s="1"/>
  <c r="K84" i="6" s="1"/>
  <c r="G9" i="6"/>
  <c r="H9" i="6" s="1"/>
  <c r="I9" i="6" s="1"/>
  <c r="J9" i="6" s="1"/>
  <c r="K9" i="6" s="1"/>
  <c r="AK7" i="34"/>
  <c r="AM7" i="34" s="1"/>
  <c r="G76" i="6"/>
  <c r="H76" i="6" s="1"/>
  <c r="I76" i="6" s="1"/>
  <c r="J76" i="6" s="1"/>
  <c r="K76" i="6" s="1"/>
  <c r="G184" i="6"/>
  <c r="H184" i="6" s="1"/>
  <c r="I184" i="6" s="1"/>
  <c r="J184" i="6" s="1"/>
  <c r="K184" i="6" s="1"/>
  <c r="G14" i="6"/>
  <c r="H14" i="6" s="1"/>
  <c r="I14" i="6" s="1"/>
  <c r="J14" i="6" s="1"/>
  <c r="K14" i="6" s="1"/>
  <c r="G41" i="6"/>
  <c r="H41" i="6" s="1"/>
  <c r="I41" i="6" s="1"/>
  <c r="J41" i="6" s="1"/>
  <c r="K41" i="6" s="1"/>
  <c r="G101" i="6"/>
  <c r="H101" i="6" s="1"/>
  <c r="I101" i="6" s="1"/>
  <c r="J101" i="6" s="1"/>
  <c r="K101" i="6" s="1"/>
  <c r="G294" i="6"/>
  <c r="H294" i="6" s="1"/>
  <c r="I294" i="6" s="1"/>
  <c r="J294" i="6" s="1"/>
  <c r="K294" i="6" s="1"/>
  <c r="G69" i="6"/>
  <c r="H69" i="6" s="1"/>
  <c r="I69" i="6" s="1"/>
  <c r="J69" i="6" s="1"/>
  <c r="K69" i="6" s="1"/>
  <c r="G270" i="6"/>
  <c r="H270" i="6" s="1"/>
  <c r="I270" i="6" s="1"/>
  <c r="J270" i="6" s="1"/>
  <c r="K270" i="6" s="1"/>
  <c r="G137" i="6"/>
  <c r="H137" i="6" s="1"/>
  <c r="I137" i="6" s="1"/>
  <c r="J137" i="6" s="1"/>
  <c r="K137" i="6" s="1"/>
  <c r="G192" i="6"/>
  <c r="H192" i="6" s="1"/>
  <c r="I192" i="6" s="1"/>
  <c r="J192" i="6" s="1"/>
  <c r="K192" i="6" s="1"/>
  <c r="G158" i="6"/>
  <c r="H158" i="6" s="1"/>
  <c r="I158" i="6" s="1"/>
  <c r="J158" i="6" s="1"/>
  <c r="K158" i="6" s="1"/>
  <c r="G269" i="6"/>
  <c r="H269" i="6" s="1"/>
  <c r="I269" i="6" s="1"/>
  <c r="J269" i="6" s="1"/>
  <c r="K269" i="6" s="1"/>
  <c r="G201" i="6"/>
  <c r="H201" i="6" s="1"/>
  <c r="I201" i="6" s="1"/>
  <c r="J201" i="6" s="1"/>
  <c r="K201" i="6" s="1"/>
  <c r="G179" i="6"/>
  <c r="H179" i="6" s="1"/>
  <c r="I179" i="6" s="1"/>
  <c r="J179" i="6" s="1"/>
  <c r="K179" i="6" s="1"/>
  <c r="G203" i="6"/>
  <c r="H203" i="6" s="1"/>
  <c r="I203" i="6" s="1"/>
  <c r="J203" i="6" s="1"/>
  <c r="K203" i="6" s="1"/>
  <c r="G66" i="6"/>
  <c r="H66" i="6" s="1"/>
  <c r="I66" i="6" s="1"/>
  <c r="J66" i="6" s="1"/>
  <c r="K66" i="6" s="1"/>
  <c r="G216" i="6"/>
  <c r="H216" i="6" s="1"/>
  <c r="I216" i="6" s="1"/>
  <c r="J216" i="6" s="1"/>
  <c r="K216" i="6" s="1"/>
  <c r="G284" i="6"/>
  <c r="H284" i="6" s="1"/>
  <c r="I284" i="6" s="1"/>
  <c r="J284" i="6" s="1"/>
  <c r="K284" i="6" s="1"/>
  <c r="G178" i="6"/>
  <c r="H178" i="6" s="1"/>
  <c r="I178" i="6" s="1"/>
  <c r="J178" i="6" s="1"/>
  <c r="K178" i="6" s="1"/>
  <c r="G168" i="6"/>
  <c r="H168" i="6" s="1"/>
  <c r="I168" i="6" s="1"/>
  <c r="J168" i="6" s="1"/>
  <c r="K168" i="6" s="1"/>
  <c r="G157" i="6"/>
  <c r="H157" i="6" s="1"/>
  <c r="I157" i="6" s="1"/>
  <c r="J157" i="6" s="1"/>
  <c r="K157" i="6" s="1"/>
  <c r="G36" i="6"/>
  <c r="H36" i="6" s="1"/>
  <c r="I36" i="6" s="1"/>
  <c r="J36" i="6" s="1"/>
  <c r="K36" i="6" s="1"/>
  <c r="V81" i="2"/>
  <c r="G12" i="6"/>
  <c r="H12" i="6" s="1"/>
  <c r="I12" i="6" s="1"/>
  <c r="J12" i="6" s="1"/>
  <c r="K12" i="6" s="1"/>
  <c r="G194" i="6"/>
  <c r="H194" i="6" s="1"/>
  <c r="I194" i="6" s="1"/>
  <c r="J194" i="6" s="1"/>
  <c r="K194" i="6" s="1"/>
  <c r="G85" i="6"/>
  <c r="H85" i="6" s="1"/>
  <c r="I85" i="6" s="1"/>
  <c r="J85" i="6" s="1"/>
  <c r="K85" i="6" s="1"/>
  <c r="G177" i="6"/>
  <c r="H177" i="6" s="1"/>
  <c r="I177" i="6" s="1"/>
  <c r="J177" i="6" s="1"/>
  <c r="K177" i="6" s="1"/>
  <c r="G15" i="6"/>
  <c r="H15" i="6" s="1"/>
  <c r="I15" i="6" s="1"/>
  <c r="J15" i="6" s="1"/>
  <c r="K15" i="6" s="1"/>
  <c r="L14" i="2"/>
  <c r="G107" i="6"/>
  <c r="H107" i="6" s="1"/>
  <c r="I107" i="6" s="1"/>
  <c r="J107" i="6" s="1"/>
  <c r="K107" i="6" s="1"/>
  <c r="T7" i="34"/>
  <c r="V7" i="34" s="1"/>
  <c r="U7" i="34"/>
  <c r="W7" i="34" s="1"/>
  <c r="G117" i="6"/>
  <c r="H117" i="6" s="1"/>
  <c r="I117" i="6" s="1"/>
  <c r="J117" i="6" s="1"/>
  <c r="K117" i="6" s="1"/>
  <c r="V75" i="2"/>
  <c r="M10" i="2"/>
  <c r="M23" i="2"/>
  <c r="U23" i="2" s="1"/>
  <c r="M20" i="2"/>
  <c r="M7" i="2"/>
  <c r="T7" i="2"/>
  <c r="T9" i="2"/>
  <c r="M24" i="2"/>
  <c r="M11" i="2"/>
  <c r="M22" i="2"/>
  <c r="M9" i="2"/>
  <c r="M6" i="2"/>
  <c r="M19" i="2"/>
  <c r="T8" i="2"/>
  <c r="T12" i="2"/>
  <c r="M4" i="2"/>
  <c r="M17" i="2"/>
  <c r="M12" i="2"/>
  <c r="M25" i="2"/>
  <c r="G19" i="2"/>
  <c r="G27" i="2" s="1"/>
  <c r="T11" i="2"/>
  <c r="T5" i="2"/>
  <c r="M18" i="2"/>
  <c r="M5" i="2"/>
  <c r="M8" i="2"/>
  <c r="M21" i="2"/>
  <c r="T6" i="2"/>
  <c r="T10" i="2"/>
  <c r="D66" i="2"/>
  <c r="D68" i="2"/>
  <c r="G80" i="2"/>
  <c r="AB11" i="34" s="1"/>
  <c r="AD11" i="34" s="1"/>
  <c r="D62" i="2"/>
  <c r="D65" i="2"/>
  <c r="T65" i="2" s="1"/>
  <c r="D69" i="2"/>
  <c r="D64" i="2"/>
  <c r="G75" i="2"/>
  <c r="L15" i="2"/>
  <c r="T28" i="2"/>
  <c r="D67" i="2"/>
  <c r="T67" i="2" s="1"/>
  <c r="D63" i="2"/>
  <c r="T27" i="2"/>
  <c r="G181" i="6"/>
  <c r="H181" i="6" s="1"/>
  <c r="I181" i="6" s="1"/>
  <c r="J181" i="6" s="1"/>
  <c r="K181" i="6" s="1"/>
  <c r="G252" i="6"/>
  <c r="H252" i="6" s="1"/>
  <c r="I252" i="6" s="1"/>
  <c r="J252" i="6" s="1"/>
  <c r="K252" i="6" s="1"/>
  <c r="G263" i="6"/>
  <c r="H263" i="6" s="1"/>
  <c r="I263" i="6" s="1"/>
  <c r="J263" i="6" s="1"/>
  <c r="K263" i="6" s="1"/>
  <c r="W52" i="2"/>
  <c r="G255" i="6"/>
  <c r="H255" i="6" s="1"/>
  <c r="I255" i="6" s="1"/>
  <c r="J255" i="6" s="1"/>
  <c r="K255" i="6" s="1"/>
  <c r="G287" i="6"/>
  <c r="H287" i="6" s="1"/>
  <c r="I287" i="6" s="1"/>
  <c r="J287" i="6" s="1"/>
  <c r="K287" i="6" s="1"/>
  <c r="G290" i="6"/>
  <c r="H290" i="6" s="1"/>
  <c r="I290" i="6" s="1"/>
  <c r="J290" i="6" s="1"/>
  <c r="K290" i="6" s="1"/>
  <c r="G126" i="6"/>
  <c r="H126" i="6" s="1"/>
  <c r="I126" i="6" s="1"/>
  <c r="J126" i="6" s="1"/>
  <c r="K126" i="6" s="1"/>
  <c r="G93" i="6"/>
  <c r="H93" i="6" s="1"/>
  <c r="I93" i="6" s="1"/>
  <c r="J93" i="6" s="1"/>
  <c r="K93" i="6" s="1"/>
  <c r="G96" i="6"/>
  <c r="H96" i="6" s="1"/>
  <c r="I96" i="6" s="1"/>
  <c r="J96" i="6" s="1"/>
  <c r="K96" i="6" s="1"/>
  <c r="G115" i="6"/>
  <c r="H115" i="6" s="1"/>
  <c r="I115" i="6" s="1"/>
  <c r="J115" i="6" s="1"/>
  <c r="K115" i="6" s="1"/>
  <c r="G254" i="6"/>
  <c r="H254" i="6" s="1"/>
  <c r="I254" i="6" s="1"/>
  <c r="J254" i="6" s="1"/>
  <c r="K254" i="6" s="1"/>
  <c r="G224" i="6"/>
  <c r="H224" i="6" s="1"/>
  <c r="I224" i="6" s="1"/>
  <c r="J224" i="6" s="1"/>
  <c r="K224" i="6" s="1"/>
  <c r="G97" i="6"/>
  <c r="H97" i="6" s="1"/>
  <c r="I97" i="6" s="1"/>
  <c r="J97" i="6" s="1"/>
  <c r="K97" i="6" s="1"/>
  <c r="G274" i="6"/>
  <c r="H274" i="6" s="1"/>
  <c r="I274" i="6" s="1"/>
  <c r="J274" i="6" s="1"/>
  <c r="K274" i="6" s="1"/>
  <c r="G189" i="6"/>
  <c r="H189" i="6" s="1"/>
  <c r="I189" i="6" s="1"/>
  <c r="J189" i="6" s="1"/>
  <c r="K189" i="6" s="1"/>
  <c r="G109" i="6"/>
  <c r="H109" i="6" s="1"/>
  <c r="I109" i="6" s="1"/>
  <c r="J109" i="6" s="1"/>
  <c r="K109" i="6" s="1"/>
  <c r="G116" i="6"/>
  <c r="H116" i="6" s="1"/>
  <c r="I116" i="6" s="1"/>
  <c r="J116" i="6" s="1"/>
  <c r="K116" i="6" s="1"/>
  <c r="G196" i="6"/>
  <c r="H196" i="6" s="1"/>
  <c r="I196" i="6" s="1"/>
  <c r="J196" i="6" s="1"/>
  <c r="K196" i="6" s="1"/>
  <c r="G123" i="6"/>
  <c r="H123" i="6" s="1"/>
  <c r="I123" i="6" s="1"/>
  <c r="J123" i="6" s="1"/>
  <c r="K123" i="6" s="1"/>
  <c r="G183" i="6"/>
  <c r="H183" i="6" s="1"/>
  <c r="I183" i="6" s="1"/>
  <c r="J183" i="6" s="1"/>
  <c r="K183" i="6" s="1"/>
  <c r="G214" i="6"/>
  <c r="H214" i="6" s="1"/>
  <c r="I214" i="6" s="1"/>
  <c r="J214" i="6" s="1"/>
  <c r="K214" i="6" s="1"/>
  <c r="G271" i="6"/>
  <c r="H271" i="6" s="1"/>
  <c r="I271" i="6" s="1"/>
  <c r="J271" i="6" s="1"/>
  <c r="K271" i="6" s="1"/>
  <c r="G92" i="6"/>
  <c r="H92" i="6" s="1"/>
  <c r="I92" i="6" s="1"/>
  <c r="J92" i="6" s="1"/>
  <c r="K92" i="6" s="1"/>
  <c r="G122" i="6"/>
  <c r="H122" i="6" s="1"/>
  <c r="I122" i="6" s="1"/>
  <c r="J122" i="6" s="1"/>
  <c r="K122" i="6" s="1"/>
  <c r="G162" i="6"/>
  <c r="H162" i="6" s="1"/>
  <c r="I162" i="6" s="1"/>
  <c r="J162" i="6" s="1"/>
  <c r="K162" i="6" s="1"/>
  <c r="G182" i="6"/>
  <c r="H182" i="6" s="1"/>
  <c r="I182" i="6" s="1"/>
  <c r="J182" i="6" s="1"/>
  <c r="K182" i="6" s="1"/>
  <c r="V78" i="2"/>
  <c r="G188" i="6"/>
  <c r="H188" i="6" s="1"/>
  <c r="I188" i="6" s="1"/>
  <c r="J188" i="6" s="1"/>
  <c r="K188" i="6" s="1"/>
  <c r="G166" i="6"/>
  <c r="H166" i="6" s="1"/>
  <c r="I166" i="6" s="1"/>
  <c r="J166" i="6" s="1"/>
  <c r="K166" i="6" s="1"/>
  <c r="G197" i="6"/>
  <c r="H197" i="6" s="1"/>
  <c r="I197" i="6" s="1"/>
  <c r="J197" i="6" s="1"/>
  <c r="K197" i="6" s="1"/>
  <c r="G175" i="6"/>
  <c r="H175" i="6" s="1"/>
  <c r="I175" i="6" s="1"/>
  <c r="J175" i="6" s="1"/>
  <c r="K175" i="6" s="1"/>
  <c r="G303" i="6"/>
  <c r="H303" i="6" s="1"/>
  <c r="I303" i="6" s="1"/>
  <c r="J303" i="6" s="1"/>
  <c r="K303" i="6" s="1"/>
  <c r="G210" i="6"/>
  <c r="H210" i="6" s="1"/>
  <c r="I210" i="6" s="1"/>
  <c r="J210" i="6" s="1"/>
  <c r="K210" i="6" s="1"/>
  <c r="G173" i="6"/>
  <c r="H173" i="6" s="1"/>
  <c r="I173" i="6" s="1"/>
  <c r="J173" i="6" s="1"/>
  <c r="K173" i="6" s="1"/>
  <c r="G291" i="6"/>
  <c r="H291" i="6" s="1"/>
  <c r="I291" i="6" s="1"/>
  <c r="J291" i="6" s="1"/>
  <c r="K291" i="6" s="1"/>
  <c r="G299" i="6"/>
  <c r="H299" i="6" s="1"/>
  <c r="I299" i="6" s="1"/>
  <c r="J299" i="6" s="1"/>
  <c r="K299" i="6" s="1"/>
  <c r="G208" i="6"/>
  <c r="H208" i="6" s="1"/>
  <c r="I208" i="6" s="1"/>
  <c r="J208" i="6" s="1"/>
  <c r="K208" i="6" s="1"/>
  <c r="G108" i="6"/>
  <c r="H108" i="6" s="1"/>
  <c r="I108" i="6" s="1"/>
  <c r="J108" i="6" s="1"/>
  <c r="K108" i="6" s="1"/>
  <c r="G283" i="6"/>
  <c r="H283" i="6" s="1"/>
  <c r="I283" i="6" s="1"/>
  <c r="J283" i="6" s="1"/>
  <c r="K283" i="6" s="1"/>
  <c r="G144" i="6"/>
  <c r="H144" i="6" s="1"/>
  <c r="I144" i="6" s="1"/>
  <c r="J144" i="6" s="1"/>
  <c r="K144" i="6" s="1"/>
  <c r="G215" i="6"/>
  <c r="H215" i="6" s="1"/>
  <c r="I215" i="6" s="1"/>
  <c r="J215" i="6" s="1"/>
  <c r="K215" i="6" s="1"/>
  <c r="G113" i="6"/>
  <c r="H113" i="6" s="1"/>
  <c r="I113" i="6" s="1"/>
  <c r="J113" i="6" s="1"/>
  <c r="K113" i="6" s="1"/>
  <c r="G279" i="6"/>
  <c r="H279" i="6" s="1"/>
  <c r="I279" i="6" s="1"/>
  <c r="J279" i="6" s="1"/>
  <c r="K279" i="6" s="1"/>
  <c r="G213" i="6"/>
  <c r="H213" i="6" s="1"/>
  <c r="I213" i="6" s="1"/>
  <c r="J213" i="6" s="1"/>
  <c r="K213" i="6" s="1"/>
  <c r="G212" i="6"/>
  <c r="H212" i="6" s="1"/>
  <c r="I212" i="6" s="1"/>
  <c r="J212" i="6" s="1"/>
  <c r="K212" i="6" s="1"/>
  <c r="G199" i="6"/>
  <c r="H199" i="6" s="1"/>
  <c r="I199" i="6" s="1"/>
  <c r="J199" i="6" s="1"/>
  <c r="K199" i="6" s="1"/>
  <c r="G149" i="6"/>
  <c r="H149" i="6" s="1"/>
  <c r="I149" i="6" s="1"/>
  <c r="J149" i="6" s="1"/>
  <c r="K149" i="6" s="1"/>
  <c r="G145" i="6"/>
  <c r="H145" i="6" s="1"/>
  <c r="I145" i="6" s="1"/>
  <c r="J145" i="6" s="1"/>
  <c r="K145" i="6" s="1"/>
  <c r="G88" i="6"/>
  <c r="H88" i="6" s="1"/>
  <c r="I88" i="6" s="1"/>
  <c r="J88" i="6" s="1"/>
  <c r="K88" i="6" s="1"/>
  <c r="G211" i="6"/>
  <c r="H211" i="6" s="1"/>
  <c r="I211" i="6" s="1"/>
  <c r="J211" i="6" s="1"/>
  <c r="K211" i="6" s="1"/>
  <c r="G147" i="6"/>
  <c r="H147" i="6" s="1"/>
  <c r="I147" i="6" s="1"/>
  <c r="J147" i="6" s="1"/>
  <c r="K147" i="6" s="1"/>
  <c r="G114" i="6"/>
  <c r="H114" i="6" s="1"/>
  <c r="I114" i="6" s="1"/>
  <c r="J114" i="6" s="1"/>
  <c r="K114" i="6" s="1"/>
  <c r="G172" i="6"/>
  <c r="H172" i="6" s="1"/>
  <c r="I172" i="6" s="1"/>
  <c r="J172" i="6" s="1"/>
  <c r="K172" i="6" s="1"/>
  <c r="G282" i="6"/>
  <c r="H282" i="6" s="1"/>
  <c r="I282" i="6" s="1"/>
  <c r="J282" i="6" s="1"/>
  <c r="K282" i="6" s="1"/>
  <c r="G278" i="6"/>
  <c r="H278" i="6" s="1"/>
  <c r="I278" i="6" s="1"/>
  <c r="J278" i="6" s="1"/>
  <c r="K278" i="6" s="1"/>
  <c r="G302" i="6"/>
  <c r="H302" i="6" s="1"/>
  <c r="I302" i="6" s="1"/>
  <c r="J302" i="6" s="1"/>
  <c r="K302" i="6" s="1"/>
  <c r="G151" i="6"/>
  <c r="H151" i="6" s="1"/>
  <c r="I151" i="6" s="1"/>
  <c r="J151" i="6" s="1"/>
  <c r="K151" i="6" s="1"/>
  <c r="G275" i="6"/>
  <c r="H275" i="6" s="1"/>
  <c r="I275" i="6" s="1"/>
  <c r="J275" i="6" s="1"/>
  <c r="K275" i="6" s="1"/>
  <c r="G86" i="6"/>
  <c r="H86" i="6" s="1"/>
  <c r="I86" i="6" s="1"/>
  <c r="J86" i="6" s="1"/>
  <c r="K86" i="6" s="1"/>
  <c r="G112" i="6"/>
  <c r="H112" i="6" s="1"/>
  <c r="I112" i="6" s="1"/>
  <c r="J112" i="6" s="1"/>
  <c r="K112" i="6" s="1"/>
  <c r="W49" i="2"/>
  <c r="G253" i="6"/>
  <c r="H253" i="6" s="1"/>
  <c r="I253" i="6" s="1"/>
  <c r="J253" i="6" s="1"/>
  <c r="K253" i="6" s="1"/>
  <c r="G106" i="6"/>
  <c r="H106" i="6" s="1"/>
  <c r="I106" i="6" s="1"/>
  <c r="J106" i="6" s="1"/>
  <c r="K106" i="6" s="1"/>
  <c r="G163" i="6"/>
  <c r="H163" i="6" s="1"/>
  <c r="I163" i="6" s="1"/>
  <c r="J163" i="6" s="1"/>
  <c r="K163" i="6" s="1"/>
  <c r="G218" i="6"/>
  <c r="H218" i="6" s="1"/>
  <c r="I218" i="6" s="1"/>
  <c r="J218" i="6" s="1"/>
  <c r="K218" i="6" s="1"/>
  <c r="G209" i="6"/>
  <c r="H209" i="6" s="1"/>
  <c r="I209" i="6" s="1"/>
  <c r="J209" i="6" s="1"/>
  <c r="K209" i="6" s="1"/>
  <c r="G266" i="6"/>
  <c r="H266" i="6" s="1"/>
  <c r="I266" i="6" s="1"/>
  <c r="J266" i="6" s="1"/>
  <c r="K266" i="6" s="1"/>
  <c r="G190" i="6"/>
  <c r="H190" i="6" s="1"/>
  <c r="I190" i="6" s="1"/>
  <c r="J190" i="6" s="1"/>
  <c r="K190" i="6" s="1"/>
  <c r="G165" i="6"/>
  <c r="H165" i="6" s="1"/>
  <c r="I165" i="6" s="1"/>
  <c r="J165" i="6" s="1"/>
  <c r="K165" i="6" s="1"/>
  <c r="G267" i="6"/>
  <c r="H267" i="6" s="1"/>
  <c r="I267" i="6" s="1"/>
  <c r="J267" i="6" s="1"/>
  <c r="K267" i="6" s="1"/>
  <c r="G174" i="6"/>
  <c r="H174" i="6" s="1"/>
  <c r="I174" i="6" s="1"/>
  <c r="J174" i="6" s="1"/>
  <c r="K174" i="6" s="1"/>
  <c r="G110" i="6"/>
  <c r="H110" i="6" s="1"/>
  <c r="I110" i="6" s="1"/>
  <c r="J110" i="6" s="1"/>
  <c r="K110" i="6" s="1"/>
  <c r="G225" i="6"/>
  <c r="H225" i="6" s="1"/>
  <c r="I225" i="6" s="1"/>
  <c r="J225" i="6" s="1"/>
  <c r="K225" i="6" s="1"/>
  <c r="G150" i="6"/>
  <c r="H150" i="6" s="1"/>
  <c r="I150" i="6" s="1"/>
  <c r="J150" i="6" s="1"/>
  <c r="K150" i="6" s="1"/>
  <c r="G164" i="6"/>
  <c r="H164" i="6" s="1"/>
  <c r="I164" i="6" s="1"/>
  <c r="J164" i="6" s="1"/>
  <c r="K164" i="6" s="1"/>
  <c r="G226" i="6"/>
  <c r="H226" i="6" s="1"/>
  <c r="I226" i="6" s="1"/>
  <c r="J226" i="6" s="1"/>
  <c r="K226" i="6" s="1"/>
  <c r="G111" i="6"/>
  <c r="H111" i="6" s="1"/>
  <c r="I111" i="6" s="1"/>
  <c r="J111" i="6" s="1"/>
  <c r="K111" i="6" s="1"/>
  <c r="G146" i="6"/>
  <c r="H146" i="6" s="1"/>
  <c r="I146" i="6" s="1"/>
  <c r="J146" i="6" s="1"/>
  <c r="K146" i="6" s="1"/>
  <c r="G180" i="6"/>
  <c r="H180" i="6" s="1"/>
  <c r="I180" i="6" s="1"/>
  <c r="J180" i="6" s="1"/>
  <c r="K180" i="6" s="1"/>
  <c r="G160" i="6"/>
  <c r="H160" i="6" s="1"/>
  <c r="I160" i="6" s="1"/>
  <c r="J160" i="6" s="1"/>
  <c r="K160" i="6" s="1"/>
  <c r="G148" i="6"/>
  <c r="H148" i="6" s="1"/>
  <c r="I148" i="6" s="1"/>
  <c r="J148" i="6" s="1"/>
  <c r="K148" i="6" s="1"/>
  <c r="G219" i="6"/>
  <c r="H219" i="6" s="1"/>
  <c r="I219" i="6" s="1"/>
  <c r="J219" i="6" s="1"/>
  <c r="K219" i="6" s="1"/>
  <c r="G161" i="6"/>
  <c r="H161" i="6" s="1"/>
  <c r="I161" i="6" s="1"/>
  <c r="J161" i="6" s="1"/>
  <c r="K161" i="6" s="1"/>
  <c r="G87" i="6"/>
  <c r="H87" i="6" s="1"/>
  <c r="I87" i="6" s="1"/>
  <c r="J87" i="6" s="1"/>
  <c r="K87" i="6" s="1"/>
  <c r="G167" i="6"/>
  <c r="H167" i="6" s="1"/>
  <c r="I167" i="6" s="1"/>
  <c r="J167" i="6" s="1"/>
  <c r="K167" i="6" s="1"/>
  <c r="G198" i="6"/>
  <c r="H198" i="6" s="1"/>
  <c r="I198" i="6" s="1"/>
  <c r="J198" i="6" s="1"/>
  <c r="K198" i="6" s="1"/>
  <c r="G191" i="6"/>
  <c r="H191" i="6" s="1"/>
  <c r="I191" i="6" s="1"/>
  <c r="J191" i="6" s="1"/>
  <c r="K191" i="6" s="1"/>
  <c r="V76" i="2"/>
  <c r="V82" i="2"/>
  <c r="W45" i="2"/>
  <c r="G227" i="6"/>
  <c r="H227" i="6" s="1"/>
  <c r="I227" i="6" s="1"/>
  <c r="J227" i="6" s="1"/>
  <c r="K227" i="6" s="1"/>
  <c r="W48" i="2"/>
  <c r="T66" i="2"/>
  <c r="G262" i="6"/>
  <c r="H262" i="6" s="1"/>
  <c r="I262" i="6" s="1"/>
  <c r="J262" i="6" s="1"/>
  <c r="K262" i="6" s="1"/>
  <c r="W56" i="2"/>
  <c r="T40" i="2"/>
  <c r="W50" i="2"/>
  <c r="M67" i="2"/>
  <c r="M64" i="2"/>
  <c r="V79" i="2"/>
  <c r="W51" i="2"/>
  <c r="W46" i="2"/>
  <c r="W47" i="2"/>
  <c r="W53" i="2"/>
  <c r="T33" i="2"/>
  <c r="T38" i="2"/>
  <c r="G286" i="6"/>
  <c r="H286" i="6" s="1"/>
  <c r="I286" i="6" s="1"/>
  <c r="J286" i="6" s="1"/>
  <c r="K286" i="6" s="1"/>
  <c r="T39" i="2"/>
  <c r="T69" i="2"/>
  <c r="T34" i="2"/>
  <c r="T62" i="2"/>
  <c r="G231" i="6"/>
  <c r="H231" i="6" s="1"/>
  <c r="I231" i="6" s="1"/>
  <c r="J231" i="6" s="1"/>
  <c r="K231" i="6" s="1"/>
  <c r="G298" i="6"/>
  <c r="H298" i="6" s="1"/>
  <c r="I298" i="6" s="1"/>
  <c r="J298" i="6" s="1"/>
  <c r="K298" i="6" s="1"/>
  <c r="T68" i="2"/>
  <c r="T36" i="2"/>
  <c r="T63" i="2"/>
  <c r="V74" i="2"/>
  <c r="V77" i="2"/>
  <c r="T37" i="2"/>
  <c r="T35" i="2"/>
  <c r="G230" i="6"/>
  <c r="H230" i="6" s="1"/>
  <c r="I230" i="6" s="1"/>
  <c r="J230" i="6" s="1"/>
  <c r="K230" i="6" s="1"/>
  <c r="W55" i="2"/>
  <c r="H49" i="2"/>
  <c r="H21" i="2" s="1"/>
  <c r="G78" i="2"/>
  <c r="D61" i="2"/>
  <c r="D72" i="2" s="1"/>
  <c r="T43" i="2"/>
  <c r="V84" i="2"/>
  <c r="P51" i="2"/>
  <c r="O80" i="2"/>
  <c r="P46" i="2"/>
  <c r="O75" i="2"/>
  <c r="W75" i="2" s="1"/>
  <c r="P47" i="2"/>
  <c r="O76" i="2"/>
  <c r="O84" i="2" s="1"/>
  <c r="P53" i="2"/>
  <c r="O82" i="2"/>
  <c r="M61" i="2"/>
  <c r="L15" i="34"/>
  <c r="N15" i="34" s="1"/>
  <c r="U11" i="34"/>
  <c r="W11" i="34" s="1"/>
  <c r="M11" i="34"/>
  <c r="O11" i="34" s="1"/>
  <c r="AJ11" i="34"/>
  <c r="AL11" i="34" s="1"/>
  <c r="L11" i="34"/>
  <c r="N11" i="34" s="1"/>
  <c r="T11" i="34"/>
  <c r="V11" i="34" s="1"/>
  <c r="H50" i="2"/>
  <c r="H22" i="2" s="1"/>
  <c r="G79" i="2"/>
  <c r="H47" i="2"/>
  <c r="G76" i="2"/>
  <c r="P50" i="2"/>
  <c r="O79" i="2"/>
  <c r="W79" i="2" s="1"/>
  <c r="H53" i="2"/>
  <c r="H25" i="2" s="1"/>
  <c r="G82" i="2"/>
  <c r="H52" i="2"/>
  <c r="H24" i="2" s="1"/>
  <c r="G81" i="2"/>
  <c r="P49" i="2"/>
  <c r="O78" i="2"/>
  <c r="H45" i="2"/>
  <c r="G74" i="2"/>
  <c r="P52" i="2"/>
  <c r="O81" i="2"/>
  <c r="H48" i="2"/>
  <c r="H20" i="2" s="1"/>
  <c r="G77" i="2"/>
  <c r="P45" i="2"/>
  <c r="O74" i="2"/>
  <c r="P48" i="2"/>
  <c r="O77" i="2"/>
  <c r="W77" i="2" s="1"/>
  <c r="G135" i="26"/>
  <c r="H135" i="26" s="1"/>
  <c r="I135" i="26" s="1"/>
  <c r="J135" i="26" s="1"/>
  <c r="K135" i="26" s="1"/>
  <c r="N39" i="2"/>
  <c r="M68" i="2"/>
  <c r="N34" i="2"/>
  <c r="M63" i="2"/>
  <c r="M71" i="2" s="1"/>
  <c r="N37" i="2"/>
  <c r="M66" i="2"/>
  <c r="N40" i="2"/>
  <c r="M69" i="2"/>
  <c r="N33" i="2"/>
  <c r="M62" i="2"/>
  <c r="N36" i="2"/>
  <c r="M65" i="2"/>
  <c r="H51" i="2"/>
  <c r="H23" i="2" s="1"/>
  <c r="H46" i="2"/>
  <c r="H18" i="2" s="1"/>
  <c r="N32" i="2"/>
  <c r="N38" i="2"/>
  <c r="N35" i="2"/>
  <c r="T42" i="2"/>
  <c r="E40" i="2"/>
  <c r="E12" i="2" s="1"/>
  <c r="E35" i="2"/>
  <c r="E7" i="2" s="1"/>
  <c r="E36" i="2"/>
  <c r="E8" i="2" s="1"/>
  <c r="E37" i="2"/>
  <c r="E9" i="2" s="1"/>
  <c r="E38" i="2"/>
  <c r="E10" i="2" s="1"/>
  <c r="E33" i="2"/>
  <c r="E5" i="2" s="1"/>
  <c r="E32" i="2"/>
  <c r="E39" i="2"/>
  <c r="E11" i="2" s="1"/>
  <c r="E34" i="2"/>
  <c r="N43" i="2" l="1"/>
  <c r="N42" i="2"/>
  <c r="H17" i="2"/>
  <c r="H56" i="2"/>
  <c r="E4" i="2"/>
  <c r="E43" i="2"/>
  <c r="O85" i="2"/>
  <c r="G84" i="2"/>
  <c r="D71" i="2"/>
  <c r="P56" i="2"/>
  <c r="H19" i="2"/>
  <c r="H27" i="2" s="1"/>
  <c r="H55" i="2"/>
  <c r="X55" i="2" s="1"/>
  <c r="T71" i="2"/>
  <c r="E6" i="2"/>
  <c r="E15" i="2" s="1"/>
  <c r="E42" i="2"/>
  <c r="G85" i="2"/>
  <c r="M72" i="2"/>
  <c r="P55" i="2"/>
  <c r="D15" i="2"/>
  <c r="M14" i="2"/>
  <c r="U17" i="2"/>
  <c r="M28" i="2"/>
  <c r="U28" i="2" s="1"/>
  <c r="M27" i="2"/>
  <c r="G28" i="2"/>
  <c r="T64" i="2"/>
  <c r="X50" i="2"/>
  <c r="AC11" i="34"/>
  <c r="AE11" i="34" s="1"/>
  <c r="W80" i="2"/>
  <c r="AK11" i="34"/>
  <c r="AM11" i="34" s="1"/>
  <c r="AX7" i="34"/>
  <c r="V85" i="2"/>
  <c r="U21" i="2"/>
  <c r="U22" i="2"/>
  <c r="U19" i="2"/>
  <c r="U24" i="2"/>
  <c r="U20" i="2"/>
  <c r="U18" i="2"/>
  <c r="U25" i="2"/>
  <c r="U4" i="2"/>
  <c r="U11" i="2"/>
  <c r="U7" i="2"/>
  <c r="N21" i="2"/>
  <c r="V21" i="2" s="1"/>
  <c r="N8" i="2"/>
  <c r="U6" i="2"/>
  <c r="N17" i="2"/>
  <c r="N4" i="2"/>
  <c r="N25" i="2"/>
  <c r="V25" i="2" s="1"/>
  <c r="N12" i="2"/>
  <c r="N19" i="2"/>
  <c r="N6" i="2"/>
  <c r="N7" i="2"/>
  <c r="N20" i="2"/>
  <c r="V20" i="2" s="1"/>
  <c r="N5" i="2"/>
  <c r="N18" i="2"/>
  <c r="V18" i="2" s="1"/>
  <c r="U8" i="2"/>
  <c r="U12" i="2"/>
  <c r="U9" i="2"/>
  <c r="N23" i="2"/>
  <c r="V23" i="2" s="1"/>
  <c r="N10" i="2"/>
  <c r="N9" i="2"/>
  <c r="N22" i="2"/>
  <c r="V22" i="2" s="1"/>
  <c r="N11" i="2"/>
  <c r="N24" i="2"/>
  <c r="V24" i="2" s="1"/>
  <c r="U5" i="2"/>
  <c r="U10" i="2"/>
  <c r="E67" i="2"/>
  <c r="U67" i="2" s="1"/>
  <c r="E66" i="2"/>
  <c r="U66" i="2" s="1"/>
  <c r="H75" i="2"/>
  <c r="U15" i="34" s="1"/>
  <c r="W15" i="34" s="1"/>
  <c r="O34" i="2"/>
  <c r="E63" i="2"/>
  <c r="E69" i="2"/>
  <c r="U69" i="2" s="1"/>
  <c r="O36" i="2"/>
  <c r="P36" i="2" s="1"/>
  <c r="M15" i="2"/>
  <c r="F39" i="2"/>
  <c r="F11" i="2" s="1"/>
  <c r="O40" i="2"/>
  <c r="U32" i="2"/>
  <c r="U36" i="2"/>
  <c r="H80" i="2"/>
  <c r="AB15" i="34" s="1"/>
  <c r="AD15" i="34" s="1"/>
  <c r="T14" i="2"/>
  <c r="T15" i="2"/>
  <c r="U33" i="2"/>
  <c r="E64" i="2"/>
  <c r="O37" i="2"/>
  <c r="N68" i="2"/>
  <c r="X48" i="2"/>
  <c r="I46" i="2"/>
  <c r="I18" i="2" s="1"/>
  <c r="N63" i="2"/>
  <c r="F35" i="2"/>
  <c r="F7" i="2" s="1"/>
  <c r="X49" i="2"/>
  <c r="F33" i="2"/>
  <c r="F5" i="2" s="1"/>
  <c r="X52" i="2"/>
  <c r="X45" i="2"/>
  <c r="E62" i="2"/>
  <c r="U62" i="2" s="1"/>
  <c r="N69" i="2"/>
  <c r="O35" i="2"/>
  <c r="W81" i="2"/>
  <c r="W78" i="2"/>
  <c r="E65" i="2"/>
  <c r="U65" i="2" s="1"/>
  <c r="F32" i="2"/>
  <c r="F40" i="2"/>
  <c r="F12" i="2" s="1"/>
  <c r="F37" i="2"/>
  <c r="F9" i="2" s="1"/>
  <c r="E68" i="2"/>
  <c r="U68" i="2" s="1"/>
  <c r="N62" i="2"/>
  <c r="W76" i="2"/>
  <c r="T72" i="2"/>
  <c r="F36" i="2"/>
  <c r="F8" i="2" s="1"/>
  <c r="N64" i="2"/>
  <c r="O32" i="2"/>
  <c r="O38" i="2"/>
  <c r="N66" i="2"/>
  <c r="O39" i="2"/>
  <c r="V39" i="2"/>
  <c r="W74" i="2"/>
  <c r="X47" i="2"/>
  <c r="X51" i="2"/>
  <c r="U39" i="2"/>
  <c r="U38" i="2"/>
  <c r="U37" i="2"/>
  <c r="W82" i="2"/>
  <c r="U34" i="2"/>
  <c r="N65" i="2"/>
  <c r="X53" i="2"/>
  <c r="X46" i="2"/>
  <c r="U35" i="2"/>
  <c r="X56" i="2"/>
  <c r="T61" i="2"/>
  <c r="U40" i="2"/>
  <c r="I45" i="2"/>
  <c r="H74" i="2"/>
  <c r="I52" i="2"/>
  <c r="I24" i="2" s="1"/>
  <c r="H81" i="2"/>
  <c r="Q50" i="2"/>
  <c r="P79" i="2"/>
  <c r="I50" i="2"/>
  <c r="I22" i="2" s="1"/>
  <c r="H79" i="2"/>
  <c r="Q53" i="2"/>
  <c r="P82" i="2"/>
  <c r="Q46" i="2"/>
  <c r="P75" i="2"/>
  <c r="AK15" i="34"/>
  <c r="AM15" i="34" s="1"/>
  <c r="Q48" i="2"/>
  <c r="P77" i="2"/>
  <c r="I48" i="2"/>
  <c r="I20" i="2" s="1"/>
  <c r="H77" i="2"/>
  <c r="N67" i="2"/>
  <c r="I51" i="2"/>
  <c r="I23" i="2" s="1"/>
  <c r="O33" i="2"/>
  <c r="U43" i="2"/>
  <c r="Q45" i="2"/>
  <c r="P74" i="2"/>
  <c r="W84" i="2"/>
  <c r="F34" i="2"/>
  <c r="F38" i="2"/>
  <c r="F10" i="2" s="1"/>
  <c r="N61" i="2"/>
  <c r="N72" i="2" s="1"/>
  <c r="E61" i="2"/>
  <c r="Q52" i="2"/>
  <c r="P81" i="2"/>
  <c r="Q49" i="2"/>
  <c r="P78" i="2"/>
  <c r="I53" i="2"/>
  <c r="I25" i="2" s="1"/>
  <c r="H82" i="2"/>
  <c r="I47" i="2"/>
  <c r="H76" i="2"/>
  <c r="Q47" i="2"/>
  <c r="P76" i="2"/>
  <c r="Q51" i="2"/>
  <c r="P80" i="2"/>
  <c r="I49" i="2"/>
  <c r="I21" i="2" s="1"/>
  <c r="H78" i="2"/>
  <c r="P40" i="2"/>
  <c r="O69" i="2"/>
  <c r="P85" i="2" l="1"/>
  <c r="E14" i="2"/>
  <c r="Q55" i="2"/>
  <c r="H28" i="2"/>
  <c r="E72" i="2"/>
  <c r="H84" i="2"/>
  <c r="O43" i="2"/>
  <c r="F4" i="2"/>
  <c r="F43" i="2"/>
  <c r="N71" i="2"/>
  <c r="I17" i="2"/>
  <c r="I56" i="2"/>
  <c r="F6" i="2"/>
  <c r="F14" i="2" s="1"/>
  <c r="F42" i="2"/>
  <c r="P34" i="2"/>
  <c r="O42" i="2"/>
  <c r="I19" i="2"/>
  <c r="I55" i="2"/>
  <c r="Y55" i="2" s="1"/>
  <c r="P84" i="2"/>
  <c r="X84" i="2" s="1"/>
  <c r="Q56" i="2"/>
  <c r="Y56" i="2" s="1"/>
  <c r="H85" i="2"/>
  <c r="E71" i="2"/>
  <c r="I27" i="2"/>
  <c r="F15" i="2"/>
  <c r="V19" i="2"/>
  <c r="N27" i="2"/>
  <c r="V27" i="2" s="1"/>
  <c r="V17" i="2"/>
  <c r="N28" i="2"/>
  <c r="AX11" i="34"/>
  <c r="G7" i="26"/>
  <c r="H7" i="26" s="1"/>
  <c r="I7" i="26" s="1"/>
  <c r="J7" i="26" s="1"/>
  <c r="K7" i="26" s="1"/>
  <c r="G122" i="26"/>
  <c r="H122" i="26" s="1"/>
  <c r="I122" i="26" s="1"/>
  <c r="J122" i="26" s="1"/>
  <c r="K122" i="26" s="1"/>
  <c r="U64" i="2"/>
  <c r="T15" i="34"/>
  <c r="V15" i="34" s="1"/>
  <c r="M15" i="34"/>
  <c r="O15" i="34" s="1"/>
  <c r="F68" i="2"/>
  <c r="V68" i="2" s="1"/>
  <c r="O63" i="2"/>
  <c r="F69" i="2"/>
  <c r="V69" i="2" s="1"/>
  <c r="AC15" i="34"/>
  <c r="AE15" i="34" s="1"/>
  <c r="X80" i="2"/>
  <c r="U27" i="2"/>
  <c r="X75" i="2"/>
  <c r="AJ15" i="34"/>
  <c r="AL15" i="34" s="1"/>
  <c r="U71" i="2"/>
  <c r="V9" i="2"/>
  <c r="V12" i="2"/>
  <c r="P6" i="2"/>
  <c r="O11" i="2"/>
  <c r="O24" i="2"/>
  <c r="W24" i="2" s="1"/>
  <c r="O19" i="2"/>
  <c r="O6" i="2"/>
  <c r="V10" i="2"/>
  <c r="V7" i="2"/>
  <c r="O5" i="2"/>
  <c r="O18" i="2"/>
  <c r="W18" i="2" s="1"/>
  <c r="P12" i="2"/>
  <c r="P25" i="2"/>
  <c r="X25" i="2" s="1"/>
  <c r="P8" i="2"/>
  <c r="P21" i="2"/>
  <c r="X21" i="2" s="1"/>
  <c r="O17" i="2"/>
  <c r="O4" i="2"/>
  <c r="O66" i="2"/>
  <c r="O9" i="2"/>
  <c r="O22" i="2"/>
  <c r="W22" i="2" s="1"/>
  <c r="O21" i="2"/>
  <c r="W21" i="2" s="1"/>
  <c r="O8" i="2"/>
  <c r="V11" i="2"/>
  <c r="V6" i="2"/>
  <c r="V4" i="2"/>
  <c r="V8" i="2"/>
  <c r="O23" i="2"/>
  <c r="W23" i="2" s="1"/>
  <c r="O10" i="2"/>
  <c r="O7" i="2"/>
  <c r="O20" i="2"/>
  <c r="W20" i="2" s="1"/>
  <c r="O25" i="2"/>
  <c r="W25" i="2" s="1"/>
  <c r="O12" i="2"/>
  <c r="V5" i="2"/>
  <c r="P35" i="2"/>
  <c r="Q35" i="2" s="1"/>
  <c r="G39" i="2"/>
  <c r="G11" i="2" s="1"/>
  <c r="P39" i="2"/>
  <c r="Q39" i="2" s="1"/>
  <c r="U63" i="2"/>
  <c r="V40" i="2"/>
  <c r="G32" i="2"/>
  <c r="V33" i="2"/>
  <c r="N14" i="2"/>
  <c r="V28" i="2"/>
  <c r="F67" i="2"/>
  <c r="V67" i="2" s="1"/>
  <c r="I80" i="2"/>
  <c r="AB19" i="34" s="1"/>
  <c r="AD19" i="34" s="1"/>
  <c r="I82" i="2"/>
  <c r="I78" i="2"/>
  <c r="O61" i="2"/>
  <c r="G36" i="2"/>
  <c r="G8" i="2" s="1"/>
  <c r="G37" i="2"/>
  <c r="G9" i="2" s="1"/>
  <c r="I75" i="2"/>
  <c r="F63" i="2"/>
  <c r="I77" i="2"/>
  <c r="I79" i="2"/>
  <c r="I81" i="2"/>
  <c r="P37" i="2"/>
  <c r="Q37" i="2" s="1"/>
  <c r="O65" i="2"/>
  <c r="I76" i="2"/>
  <c r="O62" i="2"/>
  <c r="I74" i="2"/>
  <c r="O67" i="2"/>
  <c r="F64" i="2"/>
  <c r="V64" i="2" s="1"/>
  <c r="U14" i="2"/>
  <c r="U15" i="2"/>
  <c r="N15" i="2"/>
  <c r="G18" i="26"/>
  <c r="H18" i="26" s="1"/>
  <c r="I18" i="26" s="1"/>
  <c r="J18" i="26" s="1"/>
  <c r="K18" i="26" s="1"/>
  <c r="P32" i="2"/>
  <c r="V35" i="2"/>
  <c r="G35" i="2"/>
  <c r="G7" i="2" s="1"/>
  <c r="V36" i="2"/>
  <c r="F62" i="2"/>
  <c r="V62" i="2" s="1"/>
  <c r="P38" i="2"/>
  <c r="G16" i="26"/>
  <c r="H16" i="26" s="1"/>
  <c r="I16" i="26" s="1"/>
  <c r="J16" i="26" s="1"/>
  <c r="K16" i="26" s="1"/>
  <c r="G33" i="2"/>
  <c r="G5" i="2" s="1"/>
  <c r="G54" i="26"/>
  <c r="H54" i="26" s="1"/>
  <c r="I54" i="26" s="1"/>
  <c r="J54" i="26" s="1"/>
  <c r="K54" i="26" s="1"/>
  <c r="G48" i="26"/>
  <c r="H48" i="26" s="1"/>
  <c r="I48" i="26" s="1"/>
  <c r="J48" i="26" s="1"/>
  <c r="K48" i="26" s="1"/>
  <c r="G21" i="26"/>
  <c r="H21" i="26" s="1"/>
  <c r="I21" i="26" s="1"/>
  <c r="J21" i="26" s="1"/>
  <c r="K21" i="26" s="1"/>
  <c r="G118" i="26"/>
  <c r="H118" i="26" s="1"/>
  <c r="I118" i="26" s="1"/>
  <c r="J118" i="26" s="1"/>
  <c r="K118" i="26" s="1"/>
  <c r="G126" i="26"/>
  <c r="H126" i="26" s="1"/>
  <c r="I126" i="26" s="1"/>
  <c r="J126" i="26" s="1"/>
  <c r="K126" i="26" s="1"/>
  <c r="G59" i="26"/>
  <c r="H59" i="26" s="1"/>
  <c r="I59" i="26" s="1"/>
  <c r="J59" i="26" s="1"/>
  <c r="K59" i="26" s="1"/>
  <c r="F66" i="2"/>
  <c r="V66" i="2" s="1"/>
  <c r="X76" i="2"/>
  <c r="G44" i="26"/>
  <c r="H44" i="26" s="1"/>
  <c r="I44" i="26" s="1"/>
  <c r="J44" i="26" s="1"/>
  <c r="K44" i="26" s="1"/>
  <c r="G31" i="26"/>
  <c r="H31" i="26" s="1"/>
  <c r="I31" i="26" s="1"/>
  <c r="J31" i="26" s="1"/>
  <c r="K31" i="26" s="1"/>
  <c r="G17" i="26"/>
  <c r="H17" i="26" s="1"/>
  <c r="I17" i="26" s="1"/>
  <c r="J17" i="26" s="1"/>
  <c r="K17" i="26" s="1"/>
  <c r="W85" i="2"/>
  <c r="F61" i="2"/>
  <c r="G86" i="26"/>
  <c r="H86" i="26" s="1"/>
  <c r="I86" i="26" s="1"/>
  <c r="J86" i="26" s="1"/>
  <c r="K86" i="26" s="1"/>
  <c r="G143" i="26"/>
  <c r="H143" i="26" s="1"/>
  <c r="I143" i="26" s="1"/>
  <c r="J143" i="26" s="1"/>
  <c r="K143" i="26" s="1"/>
  <c r="X74" i="2"/>
  <c r="G102" i="26"/>
  <c r="H102" i="26" s="1"/>
  <c r="I102" i="26" s="1"/>
  <c r="J102" i="26" s="1"/>
  <c r="K102" i="26" s="1"/>
  <c r="G66" i="26"/>
  <c r="H66" i="26" s="1"/>
  <c r="I66" i="26" s="1"/>
  <c r="J66" i="26" s="1"/>
  <c r="K66" i="26" s="1"/>
  <c r="G108" i="26"/>
  <c r="H108" i="26" s="1"/>
  <c r="I108" i="26" s="1"/>
  <c r="J108" i="26" s="1"/>
  <c r="K108" i="26" s="1"/>
  <c r="G101" i="26"/>
  <c r="H101" i="26" s="1"/>
  <c r="I101" i="26" s="1"/>
  <c r="J101" i="26" s="1"/>
  <c r="K101" i="26" s="1"/>
  <c r="V32" i="2"/>
  <c r="G38" i="2"/>
  <c r="G10" i="2" s="1"/>
  <c r="G11" i="26"/>
  <c r="H11" i="26" s="1"/>
  <c r="I11" i="26" s="1"/>
  <c r="J11" i="26" s="1"/>
  <c r="K11" i="26" s="1"/>
  <c r="G36" i="26"/>
  <c r="H36" i="26" s="1"/>
  <c r="I36" i="26" s="1"/>
  <c r="J36" i="26" s="1"/>
  <c r="K36" i="26" s="1"/>
  <c r="G90" i="26"/>
  <c r="H90" i="26" s="1"/>
  <c r="I90" i="26" s="1"/>
  <c r="J90" i="26" s="1"/>
  <c r="K90" i="26" s="1"/>
  <c r="G5" i="26"/>
  <c r="H5" i="26" s="1"/>
  <c r="I5" i="26" s="1"/>
  <c r="J5" i="26" s="1"/>
  <c r="K5" i="26" s="1"/>
  <c r="P33" i="2"/>
  <c r="G65" i="26"/>
  <c r="H65" i="26" s="1"/>
  <c r="I65" i="26" s="1"/>
  <c r="J65" i="26" s="1"/>
  <c r="K65" i="26" s="1"/>
  <c r="G75" i="26"/>
  <c r="H75" i="26" s="1"/>
  <c r="I75" i="26" s="1"/>
  <c r="J75" i="26" s="1"/>
  <c r="K75" i="26" s="1"/>
  <c r="G28" i="26"/>
  <c r="H28" i="26" s="1"/>
  <c r="I28" i="26" s="1"/>
  <c r="J28" i="26" s="1"/>
  <c r="K28" i="26" s="1"/>
  <c r="G107" i="26"/>
  <c r="H107" i="26" s="1"/>
  <c r="I107" i="26" s="1"/>
  <c r="J107" i="26" s="1"/>
  <c r="K107" i="26" s="1"/>
  <c r="G58" i="26"/>
  <c r="H58" i="26" s="1"/>
  <c r="I58" i="26" s="1"/>
  <c r="J58" i="26" s="1"/>
  <c r="K58" i="26" s="1"/>
  <c r="G124" i="26"/>
  <c r="H124" i="26" s="1"/>
  <c r="I124" i="26" s="1"/>
  <c r="J124" i="26" s="1"/>
  <c r="K124" i="26" s="1"/>
  <c r="G78" i="26"/>
  <c r="H78" i="26" s="1"/>
  <c r="I78" i="26" s="1"/>
  <c r="J78" i="26" s="1"/>
  <c r="K78" i="26" s="1"/>
  <c r="G42" i="26"/>
  <c r="H42" i="26" s="1"/>
  <c r="I42" i="26" s="1"/>
  <c r="J42" i="26" s="1"/>
  <c r="K42" i="26" s="1"/>
  <c r="G104" i="26"/>
  <c r="H104" i="26" s="1"/>
  <c r="I104" i="26" s="1"/>
  <c r="J104" i="26" s="1"/>
  <c r="K104" i="26" s="1"/>
  <c r="G30" i="26"/>
  <c r="H30" i="26" s="1"/>
  <c r="I30" i="26" s="1"/>
  <c r="J30" i="26" s="1"/>
  <c r="K30" i="26" s="1"/>
  <c r="G111" i="26"/>
  <c r="H111" i="26" s="1"/>
  <c r="I111" i="26" s="1"/>
  <c r="J111" i="26" s="1"/>
  <c r="K111" i="26" s="1"/>
  <c r="V37" i="2"/>
  <c r="G97" i="26"/>
  <c r="H97" i="26" s="1"/>
  <c r="I97" i="26" s="1"/>
  <c r="J97" i="26" s="1"/>
  <c r="K97" i="26" s="1"/>
  <c r="G134" i="26"/>
  <c r="H134" i="26" s="1"/>
  <c r="I134" i="26" s="1"/>
  <c r="J134" i="26" s="1"/>
  <c r="K134" i="26" s="1"/>
  <c r="G94" i="26"/>
  <c r="H94" i="26" s="1"/>
  <c r="I94" i="26" s="1"/>
  <c r="J94" i="26" s="1"/>
  <c r="K94" i="26" s="1"/>
  <c r="G63" i="26"/>
  <c r="H63" i="26" s="1"/>
  <c r="I63" i="26" s="1"/>
  <c r="J63" i="26" s="1"/>
  <c r="K63" i="26" s="1"/>
  <c r="G132" i="26"/>
  <c r="H132" i="26" s="1"/>
  <c r="I132" i="26" s="1"/>
  <c r="J132" i="26" s="1"/>
  <c r="K132" i="26" s="1"/>
  <c r="G84" i="26"/>
  <c r="H84" i="26" s="1"/>
  <c r="I84" i="26" s="1"/>
  <c r="J84" i="26" s="1"/>
  <c r="K84" i="26" s="1"/>
  <c r="G64" i="26"/>
  <c r="H64" i="26" s="1"/>
  <c r="I64" i="26" s="1"/>
  <c r="J64" i="26" s="1"/>
  <c r="K64" i="26" s="1"/>
  <c r="O68" i="2"/>
  <c r="G20" i="26"/>
  <c r="H20" i="26" s="1"/>
  <c r="I20" i="26" s="1"/>
  <c r="J20" i="26" s="1"/>
  <c r="K20" i="26" s="1"/>
  <c r="G41" i="26"/>
  <c r="H41" i="26" s="1"/>
  <c r="I41" i="26" s="1"/>
  <c r="J41" i="26" s="1"/>
  <c r="K41" i="26" s="1"/>
  <c r="G43" i="26"/>
  <c r="H43" i="26" s="1"/>
  <c r="I43" i="26" s="1"/>
  <c r="J43" i="26" s="1"/>
  <c r="K43" i="26" s="1"/>
  <c r="G120" i="26"/>
  <c r="H120" i="26" s="1"/>
  <c r="I120" i="26" s="1"/>
  <c r="J120" i="26" s="1"/>
  <c r="K120" i="26" s="1"/>
  <c r="O64" i="2"/>
  <c r="F65" i="2"/>
  <c r="V65" i="2" s="1"/>
  <c r="G40" i="2"/>
  <c r="G12" i="2" s="1"/>
  <c r="G26" i="26"/>
  <c r="H26" i="26" s="1"/>
  <c r="I26" i="26" s="1"/>
  <c r="J26" i="26" s="1"/>
  <c r="K26" i="26" s="1"/>
  <c r="G93" i="26"/>
  <c r="H93" i="26" s="1"/>
  <c r="I93" i="26" s="1"/>
  <c r="J93" i="26" s="1"/>
  <c r="K93" i="26" s="1"/>
  <c r="G15" i="26"/>
  <c r="H15" i="26" s="1"/>
  <c r="I15" i="26" s="1"/>
  <c r="J15" i="26" s="1"/>
  <c r="K15" i="26" s="1"/>
  <c r="G25" i="26"/>
  <c r="H25" i="26" s="1"/>
  <c r="I25" i="26" s="1"/>
  <c r="J25" i="26" s="1"/>
  <c r="K25" i="26" s="1"/>
  <c r="G98" i="26"/>
  <c r="H98" i="26" s="1"/>
  <c r="I98" i="26" s="1"/>
  <c r="J98" i="26" s="1"/>
  <c r="K98" i="26" s="1"/>
  <c r="G89" i="26"/>
  <c r="H89" i="26" s="1"/>
  <c r="I89" i="26" s="1"/>
  <c r="J89" i="26" s="1"/>
  <c r="K89" i="26" s="1"/>
  <c r="G85" i="26"/>
  <c r="H85" i="26" s="1"/>
  <c r="I85" i="26" s="1"/>
  <c r="J85" i="26" s="1"/>
  <c r="K85" i="26" s="1"/>
  <c r="G77" i="26"/>
  <c r="H77" i="26" s="1"/>
  <c r="I77" i="26" s="1"/>
  <c r="J77" i="26" s="1"/>
  <c r="K77" i="26" s="1"/>
  <c r="G55" i="26"/>
  <c r="H55" i="26" s="1"/>
  <c r="I55" i="26" s="1"/>
  <c r="J55" i="26" s="1"/>
  <c r="K55" i="26" s="1"/>
  <c r="G53" i="26"/>
  <c r="H53" i="26" s="1"/>
  <c r="I53" i="26" s="1"/>
  <c r="J53" i="26" s="1"/>
  <c r="K53" i="26" s="1"/>
  <c r="G128" i="26"/>
  <c r="H128" i="26" s="1"/>
  <c r="I128" i="26" s="1"/>
  <c r="J128" i="26" s="1"/>
  <c r="K128" i="26" s="1"/>
  <c r="G34" i="2"/>
  <c r="U72" i="2"/>
  <c r="G46" i="26"/>
  <c r="H46" i="26" s="1"/>
  <c r="I46" i="26" s="1"/>
  <c r="J46" i="26" s="1"/>
  <c r="K46" i="26" s="1"/>
  <c r="G56" i="26"/>
  <c r="H56" i="26" s="1"/>
  <c r="I56" i="26" s="1"/>
  <c r="J56" i="26" s="1"/>
  <c r="K56" i="26" s="1"/>
  <c r="G27" i="26"/>
  <c r="H27" i="26" s="1"/>
  <c r="I27" i="26" s="1"/>
  <c r="J27" i="26" s="1"/>
  <c r="K27" i="26" s="1"/>
  <c r="G33" i="26"/>
  <c r="H33" i="26" s="1"/>
  <c r="I33" i="26" s="1"/>
  <c r="J33" i="26" s="1"/>
  <c r="K33" i="26" s="1"/>
  <c r="G57" i="26"/>
  <c r="H57" i="26" s="1"/>
  <c r="I57" i="26" s="1"/>
  <c r="J57" i="26" s="1"/>
  <c r="K57" i="26" s="1"/>
  <c r="X77" i="2"/>
  <c r="G76" i="26"/>
  <c r="H76" i="26" s="1"/>
  <c r="I76" i="26" s="1"/>
  <c r="J76" i="26" s="1"/>
  <c r="K76" i="26" s="1"/>
  <c r="G116" i="26"/>
  <c r="H116" i="26" s="1"/>
  <c r="I116" i="26" s="1"/>
  <c r="J116" i="26" s="1"/>
  <c r="K116" i="26" s="1"/>
  <c r="G114" i="26"/>
  <c r="H114" i="26" s="1"/>
  <c r="I114" i="26" s="1"/>
  <c r="J114" i="26" s="1"/>
  <c r="K114" i="26" s="1"/>
  <c r="G142" i="26"/>
  <c r="H142" i="26" s="1"/>
  <c r="I142" i="26" s="1"/>
  <c r="J142" i="26" s="1"/>
  <c r="K142" i="26" s="1"/>
  <c r="G60" i="26"/>
  <c r="H60" i="26" s="1"/>
  <c r="I60" i="26" s="1"/>
  <c r="J60" i="26" s="1"/>
  <c r="K60" i="26" s="1"/>
  <c r="G83" i="26"/>
  <c r="H83" i="26" s="1"/>
  <c r="I83" i="26" s="1"/>
  <c r="J83" i="26" s="1"/>
  <c r="K83" i="26" s="1"/>
  <c r="G112" i="26"/>
  <c r="H112" i="26" s="1"/>
  <c r="I112" i="26" s="1"/>
  <c r="J112" i="26" s="1"/>
  <c r="K112" i="26" s="1"/>
  <c r="G34" i="26"/>
  <c r="H34" i="26" s="1"/>
  <c r="I34" i="26" s="1"/>
  <c r="J34" i="26" s="1"/>
  <c r="K34" i="26" s="1"/>
  <c r="X78" i="2"/>
  <c r="Q75" i="2"/>
  <c r="Y46" i="2"/>
  <c r="V34" i="2"/>
  <c r="Q80" i="2"/>
  <c r="Y51" i="2"/>
  <c r="Q76" i="2"/>
  <c r="Y47" i="2"/>
  <c r="Q78" i="2"/>
  <c r="Y49" i="2"/>
  <c r="X82" i="2"/>
  <c r="X79" i="2"/>
  <c r="U61" i="2"/>
  <c r="V38" i="2"/>
  <c r="Q81" i="2"/>
  <c r="Y52" i="2"/>
  <c r="Q77" i="2"/>
  <c r="Y48" i="2"/>
  <c r="X81" i="2"/>
  <c r="Q74" i="2"/>
  <c r="Y45" i="2"/>
  <c r="Q82" i="2"/>
  <c r="Y53" i="2"/>
  <c r="Q79" i="2"/>
  <c r="Y50" i="2"/>
  <c r="V43" i="2"/>
  <c r="Q40" i="2"/>
  <c r="P69" i="2"/>
  <c r="Q34" i="2"/>
  <c r="Q36" i="2"/>
  <c r="P65" i="2"/>
  <c r="H2" i="6"/>
  <c r="I2" i="6"/>
  <c r="J2" i="6"/>
  <c r="K2" i="6"/>
  <c r="G2" i="6"/>
  <c r="F71" i="2" l="1"/>
  <c r="I84" i="2"/>
  <c r="I28" i="2"/>
  <c r="P61" i="2"/>
  <c r="P43" i="2"/>
  <c r="P42" i="2"/>
  <c r="P63" i="2"/>
  <c r="Y79" i="2"/>
  <c r="Q85" i="2"/>
  <c r="G6" i="2"/>
  <c r="G14" i="2" s="1"/>
  <c r="G42" i="2"/>
  <c r="V61" i="2"/>
  <c r="F72" i="2"/>
  <c r="I85" i="2"/>
  <c r="G4" i="2"/>
  <c r="G15" i="2" s="1"/>
  <c r="G43" i="2"/>
  <c r="Q42" i="2"/>
  <c r="Q84" i="2"/>
  <c r="Y82" i="2"/>
  <c r="Y75" i="2"/>
  <c r="O72" i="2"/>
  <c r="P19" i="2"/>
  <c r="X19" i="2" s="1"/>
  <c r="O71" i="2"/>
  <c r="W19" i="2"/>
  <c r="O27" i="2"/>
  <c r="W17" i="2"/>
  <c r="O28" i="2"/>
  <c r="H32" i="2"/>
  <c r="G68" i="26"/>
  <c r="H68" i="26" s="1"/>
  <c r="I68" i="26" s="1"/>
  <c r="J68" i="26" s="1"/>
  <c r="K68" i="26" s="1"/>
  <c r="G70" i="26"/>
  <c r="H70" i="26" s="1"/>
  <c r="I70" i="26" s="1"/>
  <c r="J70" i="26" s="1"/>
  <c r="K70" i="26" s="1"/>
  <c r="G35" i="26"/>
  <c r="H35" i="26" s="1"/>
  <c r="I35" i="26" s="1"/>
  <c r="J35" i="26" s="1"/>
  <c r="K35" i="26" s="1"/>
  <c r="G73" i="26"/>
  <c r="H73" i="26" s="1"/>
  <c r="I73" i="26" s="1"/>
  <c r="J73" i="26" s="1"/>
  <c r="K73" i="26" s="1"/>
  <c r="G23" i="26"/>
  <c r="H23" i="26" s="1"/>
  <c r="I23" i="26" s="1"/>
  <c r="J23" i="26" s="1"/>
  <c r="K23" i="26" s="1"/>
  <c r="G29" i="26"/>
  <c r="H29" i="26" s="1"/>
  <c r="I29" i="26" s="1"/>
  <c r="J29" i="26" s="1"/>
  <c r="K29" i="26" s="1"/>
  <c r="G129" i="26"/>
  <c r="H129" i="26" s="1"/>
  <c r="I129" i="26" s="1"/>
  <c r="J129" i="26" s="1"/>
  <c r="K129" i="26" s="1"/>
  <c r="G121" i="26"/>
  <c r="H121" i="26" s="1"/>
  <c r="I121" i="26" s="1"/>
  <c r="J121" i="26" s="1"/>
  <c r="K121" i="26" s="1"/>
  <c r="G113" i="26"/>
  <c r="H113" i="26" s="1"/>
  <c r="I113" i="26" s="1"/>
  <c r="J113" i="26" s="1"/>
  <c r="K113" i="26" s="1"/>
  <c r="G52" i="26"/>
  <c r="H52" i="26" s="1"/>
  <c r="I52" i="26" s="1"/>
  <c r="J52" i="26" s="1"/>
  <c r="K52" i="26" s="1"/>
  <c r="G105" i="26"/>
  <c r="H105" i="26" s="1"/>
  <c r="I105" i="26" s="1"/>
  <c r="J105" i="26" s="1"/>
  <c r="K105" i="26" s="1"/>
  <c r="H36" i="2"/>
  <c r="H8" i="2" s="1"/>
  <c r="X8" i="2" s="1"/>
  <c r="G65" i="2"/>
  <c r="W65" i="2" s="1"/>
  <c r="G80" i="26"/>
  <c r="H80" i="26" s="1"/>
  <c r="I80" i="26" s="1"/>
  <c r="J80" i="26" s="1"/>
  <c r="K80" i="26" s="1"/>
  <c r="H39" i="2"/>
  <c r="H11" i="2" s="1"/>
  <c r="G130" i="26"/>
  <c r="H130" i="26" s="1"/>
  <c r="I130" i="26" s="1"/>
  <c r="J130" i="26" s="1"/>
  <c r="K130" i="26" s="1"/>
  <c r="G61" i="2"/>
  <c r="P66" i="2"/>
  <c r="G141" i="26"/>
  <c r="H141" i="26" s="1"/>
  <c r="I141" i="26" s="1"/>
  <c r="J141" i="26" s="1"/>
  <c r="K141" i="26" s="1"/>
  <c r="W32" i="2"/>
  <c r="G40" i="26"/>
  <c r="H40" i="26" s="1"/>
  <c r="I40" i="26" s="1"/>
  <c r="J40" i="26" s="1"/>
  <c r="K40" i="26" s="1"/>
  <c r="G13" i="26"/>
  <c r="H13" i="26" s="1"/>
  <c r="I13" i="26" s="1"/>
  <c r="J13" i="26" s="1"/>
  <c r="K13" i="26" s="1"/>
  <c r="Q32" i="2"/>
  <c r="G100" i="26"/>
  <c r="H100" i="26" s="1"/>
  <c r="I100" i="26" s="1"/>
  <c r="J100" i="26" s="1"/>
  <c r="K100" i="26" s="1"/>
  <c r="G133" i="26"/>
  <c r="H133" i="26" s="1"/>
  <c r="I133" i="26" s="1"/>
  <c r="J133" i="26" s="1"/>
  <c r="K133" i="26" s="1"/>
  <c r="G66" i="2"/>
  <c r="W66" i="2" s="1"/>
  <c r="H37" i="2"/>
  <c r="H9" i="2" s="1"/>
  <c r="AC19" i="34"/>
  <c r="AE19" i="34" s="1"/>
  <c r="G103" i="26"/>
  <c r="H103" i="26" s="1"/>
  <c r="I103" i="26" s="1"/>
  <c r="J103" i="26" s="1"/>
  <c r="K103" i="26" s="1"/>
  <c r="G81" i="26"/>
  <c r="H81" i="26" s="1"/>
  <c r="I81" i="26" s="1"/>
  <c r="J81" i="26" s="1"/>
  <c r="K81" i="26" s="1"/>
  <c r="Y77" i="2"/>
  <c r="G139" i="26"/>
  <c r="H139" i="26" s="1"/>
  <c r="I139" i="26" s="1"/>
  <c r="J139" i="26" s="1"/>
  <c r="K139" i="26" s="1"/>
  <c r="G109" i="26"/>
  <c r="H109" i="26" s="1"/>
  <c r="I109" i="26" s="1"/>
  <c r="J109" i="26" s="1"/>
  <c r="K109" i="26" s="1"/>
  <c r="Y74" i="2"/>
  <c r="G92" i="26"/>
  <c r="H92" i="26" s="1"/>
  <c r="I92" i="26" s="1"/>
  <c r="J92" i="26" s="1"/>
  <c r="K92" i="26" s="1"/>
  <c r="G47" i="26"/>
  <c r="H47" i="26" s="1"/>
  <c r="I47" i="26" s="1"/>
  <c r="J47" i="26" s="1"/>
  <c r="K47" i="26" s="1"/>
  <c r="AX15" i="34"/>
  <c r="G22" i="26"/>
  <c r="H22" i="26" s="1"/>
  <c r="I22" i="26" s="1"/>
  <c r="J22" i="26" s="1"/>
  <c r="K22" i="26" s="1"/>
  <c r="G24" i="26"/>
  <c r="H24" i="26" s="1"/>
  <c r="I24" i="26" s="1"/>
  <c r="J24" i="26" s="1"/>
  <c r="K24" i="26" s="1"/>
  <c r="O14" i="2"/>
  <c r="G79" i="26"/>
  <c r="H79" i="26" s="1"/>
  <c r="I79" i="26" s="1"/>
  <c r="J79" i="26" s="1"/>
  <c r="K79" i="26" s="1"/>
  <c r="G123" i="26"/>
  <c r="H123" i="26" s="1"/>
  <c r="I123" i="26" s="1"/>
  <c r="J123" i="26" s="1"/>
  <c r="K123" i="26" s="1"/>
  <c r="P68" i="2"/>
  <c r="P64" i="2"/>
  <c r="G19" i="26"/>
  <c r="H19" i="26" s="1"/>
  <c r="I19" i="26" s="1"/>
  <c r="J19" i="26" s="1"/>
  <c r="K19" i="26" s="1"/>
  <c r="G38" i="26"/>
  <c r="H38" i="26" s="1"/>
  <c r="I38" i="26" s="1"/>
  <c r="J38" i="26" s="1"/>
  <c r="K38" i="26" s="1"/>
  <c r="G32" i="26"/>
  <c r="H32" i="26" s="1"/>
  <c r="I32" i="26" s="1"/>
  <c r="J32" i="26" s="1"/>
  <c r="K32" i="26" s="1"/>
  <c r="Y81" i="2"/>
  <c r="G106" i="26"/>
  <c r="H106" i="26" s="1"/>
  <c r="I106" i="26" s="1"/>
  <c r="J106" i="26" s="1"/>
  <c r="K106" i="26" s="1"/>
  <c r="W27" i="2"/>
  <c r="G12" i="26"/>
  <c r="H12" i="26" s="1"/>
  <c r="I12" i="26" s="1"/>
  <c r="J12" i="26" s="1"/>
  <c r="K12" i="26" s="1"/>
  <c r="G138" i="26"/>
  <c r="H138" i="26" s="1"/>
  <c r="I138" i="26" s="1"/>
  <c r="J138" i="26" s="1"/>
  <c r="K138" i="26" s="1"/>
  <c r="AK19" i="34"/>
  <c r="AM19" i="34" s="1"/>
  <c r="G10" i="26"/>
  <c r="H10" i="26" s="1"/>
  <c r="I10" i="26" s="1"/>
  <c r="J10" i="26" s="1"/>
  <c r="K10" i="26" s="1"/>
  <c r="Y80" i="2"/>
  <c r="G119" i="26"/>
  <c r="H119" i="26" s="1"/>
  <c r="I119" i="26" s="1"/>
  <c r="J119" i="26" s="1"/>
  <c r="K119" i="26" s="1"/>
  <c r="G99" i="26"/>
  <c r="H99" i="26" s="1"/>
  <c r="I99" i="26" s="1"/>
  <c r="J99" i="26" s="1"/>
  <c r="K99" i="26" s="1"/>
  <c r="G14" i="26"/>
  <c r="H14" i="26" s="1"/>
  <c r="I14" i="26" s="1"/>
  <c r="J14" i="26" s="1"/>
  <c r="K14" i="26" s="1"/>
  <c r="W28" i="2"/>
  <c r="G125" i="26"/>
  <c r="H125" i="26" s="1"/>
  <c r="I125" i="26" s="1"/>
  <c r="J125" i="26" s="1"/>
  <c r="K125" i="26" s="1"/>
  <c r="G131" i="26"/>
  <c r="H131" i="26" s="1"/>
  <c r="I131" i="26" s="1"/>
  <c r="J131" i="26" s="1"/>
  <c r="K131" i="26" s="1"/>
  <c r="G91" i="26"/>
  <c r="H91" i="26" s="1"/>
  <c r="I91" i="26" s="1"/>
  <c r="J91" i="26" s="1"/>
  <c r="K91" i="26" s="1"/>
  <c r="G8" i="26"/>
  <c r="H8" i="26" s="1"/>
  <c r="I8" i="26" s="1"/>
  <c r="J8" i="26" s="1"/>
  <c r="K8" i="26" s="1"/>
  <c r="Q8" i="2"/>
  <c r="Q21" i="2"/>
  <c r="Y21" i="2" s="1"/>
  <c r="Q22" i="2"/>
  <c r="Y22" i="2" s="1"/>
  <c r="Q9" i="2"/>
  <c r="P18" i="2"/>
  <c r="X18" i="2" s="1"/>
  <c r="P5" i="2"/>
  <c r="P4" i="2"/>
  <c r="P17" i="2"/>
  <c r="W9" i="2"/>
  <c r="W6" i="2"/>
  <c r="W11" i="2"/>
  <c r="P24" i="2"/>
  <c r="X24" i="2" s="1"/>
  <c r="P11" i="2"/>
  <c r="P20" i="2"/>
  <c r="X20" i="2" s="1"/>
  <c r="P7" i="2"/>
  <c r="W8" i="2"/>
  <c r="W5" i="2"/>
  <c r="Q24" i="2"/>
  <c r="Y24" i="2" s="1"/>
  <c r="Q11" i="2"/>
  <c r="Q20" i="2"/>
  <c r="Y20" i="2" s="1"/>
  <c r="Q7" i="2"/>
  <c r="Q12" i="2"/>
  <c r="Q25" i="2"/>
  <c r="Y25" i="2" s="1"/>
  <c r="Q6" i="2"/>
  <c r="Q19" i="2"/>
  <c r="G74" i="26"/>
  <c r="H74" i="26" s="1"/>
  <c r="I74" i="26" s="1"/>
  <c r="J74" i="26" s="1"/>
  <c r="K74" i="26" s="1"/>
  <c r="W7" i="2"/>
  <c r="W4" i="2"/>
  <c r="P10" i="2"/>
  <c r="P23" i="2"/>
  <c r="X23" i="2" s="1"/>
  <c r="P22" i="2"/>
  <c r="X22" i="2" s="1"/>
  <c r="P9" i="2"/>
  <c r="V71" i="2"/>
  <c r="W12" i="2"/>
  <c r="W10" i="2"/>
  <c r="G63" i="2"/>
  <c r="G67" i="2"/>
  <c r="W67" i="2" s="1"/>
  <c r="W33" i="2"/>
  <c r="G88" i="26"/>
  <c r="H88" i="26" s="1"/>
  <c r="I88" i="26" s="1"/>
  <c r="J88" i="26" s="1"/>
  <c r="K88" i="26" s="1"/>
  <c r="G95" i="26"/>
  <c r="H95" i="26" s="1"/>
  <c r="I95" i="26" s="1"/>
  <c r="J95" i="26" s="1"/>
  <c r="K95" i="26" s="1"/>
  <c r="G50" i="26"/>
  <c r="H50" i="26" s="1"/>
  <c r="I50" i="26" s="1"/>
  <c r="J50" i="26" s="1"/>
  <c r="K50" i="26" s="1"/>
  <c r="Y76" i="2"/>
  <c r="Y84" i="2"/>
  <c r="V15" i="2"/>
  <c r="W37" i="2"/>
  <c r="P62" i="2"/>
  <c r="G61" i="26"/>
  <c r="H61" i="26" s="1"/>
  <c r="I61" i="26" s="1"/>
  <c r="J61" i="26" s="1"/>
  <c r="K61" i="26" s="1"/>
  <c r="G39" i="26"/>
  <c r="H39" i="26" s="1"/>
  <c r="I39" i="26" s="1"/>
  <c r="J39" i="26" s="1"/>
  <c r="K39" i="26" s="1"/>
  <c r="G9" i="26"/>
  <c r="H9" i="26" s="1"/>
  <c r="I9" i="26" s="1"/>
  <c r="J9" i="26" s="1"/>
  <c r="K9" i="26" s="1"/>
  <c r="G62" i="26"/>
  <c r="H62" i="26" s="1"/>
  <c r="I62" i="26" s="1"/>
  <c r="J62" i="26" s="1"/>
  <c r="K62" i="26" s="1"/>
  <c r="G87" i="26"/>
  <c r="H87" i="26" s="1"/>
  <c r="I87" i="26" s="1"/>
  <c r="J87" i="26" s="1"/>
  <c r="K87" i="26" s="1"/>
  <c r="G82" i="26"/>
  <c r="H82" i="26" s="1"/>
  <c r="I82" i="26" s="1"/>
  <c r="J82" i="26" s="1"/>
  <c r="K82" i="26" s="1"/>
  <c r="G117" i="26"/>
  <c r="H117" i="26" s="1"/>
  <c r="I117" i="26" s="1"/>
  <c r="J117" i="26" s="1"/>
  <c r="K117" i="26" s="1"/>
  <c r="G115" i="26"/>
  <c r="H115" i="26" s="1"/>
  <c r="I115" i="26" s="1"/>
  <c r="J115" i="26" s="1"/>
  <c r="K115" i="26" s="1"/>
  <c r="G37" i="26"/>
  <c r="H37" i="26" s="1"/>
  <c r="I37" i="26" s="1"/>
  <c r="J37" i="26" s="1"/>
  <c r="K37" i="26" s="1"/>
  <c r="V63" i="2"/>
  <c r="O15" i="2"/>
  <c r="G68" i="2"/>
  <c r="W68" i="2" s="1"/>
  <c r="G110" i="26"/>
  <c r="H110" i="26" s="1"/>
  <c r="I110" i="26" s="1"/>
  <c r="J110" i="26" s="1"/>
  <c r="K110" i="26" s="1"/>
  <c r="G127" i="26"/>
  <c r="H127" i="26" s="1"/>
  <c r="I127" i="26" s="1"/>
  <c r="J127" i="26" s="1"/>
  <c r="K127" i="26" s="1"/>
  <c r="G72" i="26"/>
  <c r="H72" i="26" s="1"/>
  <c r="I72" i="26" s="1"/>
  <c r="J72" i="26" s="1"/>
  <c r="K72" i="26" s="1"/>
  <c r="G49" i="26"/>
  <c r="H49" i="26" s="1"/>
  <c r="I49" i="26" s="1"/>
  <c r="J49" i="26" s="1"/>
  <c r="K49" i="26" s="1"/>
  <c r="G51" i="26"/>
  <c r="H51" i="26" s="1"/>
  <c r="I51" i="26" s="1"/>
  <c r="J51" i="26" s="1"/>
  <c r="K51" i="26" s="1"/>
  <c r="G140" i="26"/>
  <c r="H140" i="26" s="1"/>
  <c r="I140" i="26" s="1"/>
  <c r="J140" i="26" s="1"/>
  <c r="K140" i="26" s="1"/>
  <c r="G96" i="26"/>
  <c r="H96" i="26" s="1"/>
  <c r="I96" i="26" s="1"/>
  <c r="J96" i="26" s="1"/>
  <c r="K96" i="26" s="1"/>
  <c r="W39" i="2"/>
  <c r="Y78" i="2"/>
  <c r="W40" i="2"/>
  <c r="Q38" i="2"/>
  <c r="Q67" i="2" s="1"/>
  <c r="W35" i="2"/>
  <c r="V14" i="2"/>
  <c r="M19" i="34"/>
  <c r="O19" i="34" s="1"/>
  <c r="AJ19" i="34"/>
  <c r="AL19" i="34" s="1"/>
  <c r="T19" i="34"/>
  <c r="V19" i="34" s="1"/>
  <c r="L19" i="34"/>
  <c r="N19" i="34" s="1"/>
  <c r="U19" i="34"/>
  <c r="W19" i="34" s="1"/>
  <c r="W36" i="2"/>
  <c r="G69" i="2"/>
  <c r="W69" i="2" s="1"/>
  <c r="P67" i="2"/>
  <c r="G64" i="2"/>
  <c r="W64" i="2" s="1"/>
  <c r="H35" i="2"/>
  <c r="H7" i="2" s="1"/>
  <c r="Q33" i="2"/>
  <c r="H38" i="2"/>
  <c r="H10" i="2" s="1"/>
  <c r="H40" i="2"/>
  <c r="H12" i="2" s="1"/>
  <c r="X12" i="2" s="1"/>
  <c r="G62" i="2"/>
  <c r="W62" i="2" s="1"/>
  <c r="H33" i="2"/>
  <c r="H5" i="2" s="1"/>
  <c r="V72" i="2"/>
  <c r="W38" i="2"/>
  <c r="W43" i="2"/>
  <c r="H34" i="2"/>
  <c r="W34" i="2"/>
  <c r="Q66" i="2"/>
  <c r="Q68" i="2"/>
  <c r="Q64" i="2"/>
  <c r="Q63" i="2"/>
  <c r="Q65" i="2"/>
  <c r="Q69" i="2"/>
  <c r="X85" i="2"/>
  <c r="X32" i="2"/>
  <c r="I32" i="2"/>
  <c r="H61" i="2"/>
  <c r="G45" i="26" l="1"/>
  <c r="H45" i="26" s="1"/>
  <c r="I45" i="26" s="1"/>
  <c r="J45" i="26" s="1"/>
  <c r="K45" i="26" s="1"/>
  <c r="I4" i="2"/>
  <c r="W61" i="2"/>
  <c r="G72" i="2"/>
  <c r="W72" i="2" s="1"/>
  <c r="P71" i="2"/>
  <c r="Q71" i="2"/>
  <c r="H4" i="2"/>
  <c r="X4" i="2" s="1"/>
  <c r="H43" i="2"/>
  <c r="X43" i="2" s="1"/>
  <c r="Q4" i="2"/>
  <c r="Q15" i="2" s="1"/>
  <c r="Q43" i="2"/>
  <c r="W63" i="2"/>
  <c r="G71" i="2"/>
  <c r="H6" i="2"/>
  <c r="H14" i="2" s="1"/>
  <c r="H42" i="2"/>
  <c r="X61" i="2"/>
  <c r="X39" i="2"/>
  <c r="P72" i="2"/>
  <c r="X17" i="2"/>
  <c r="P28" i="2"/>
  <c r="X28" i="2" s="1"/>
  <c r="P27" i="2"/>
  <c r="X27" i="2" s="1"/>
  <c r="Y19" i="2"/>
  <c r="Q27" i="2"/>
  <c r="Y27" i="2" s="1"/>
  <c r="G6" i="26"/>
  <c r="H6" i="26" s="1"/>
  <c r="I6" i="26" s="1"/>
  <c r="J6" i="26" s="1"/>
  <c r="K6" i="26" s="1"/>
  <c r="G67" i="26"/>
  <c r="H67" i="26" s="1"/>
  <c r="I67" i="26" s="1"/>
  <c r="J67" i="26" s="1"/>
  <c r="K67" i="26" s="1"/>
  <c r="G71" i="26"/>
  <c r="H71" i="26" s="1"/>
  <c r="I71" i="26" s="1"/>
  <c r="J71" i="26" s="1"/>
  <c r="K71" i="26" s="1"/>
  <c r="G69" i="26"/>
  <c r="H69" i="26" s="1"/>
  <c r="I69" i="26" s="1"/>
  <c r="J69" i="26" s="1"/>
  <c r="K69" i="26" s="1"/>
  <c r="H65" i="2"/>
  <c r="X65" i="2" s="1"/>
  <c r="I35" i="2"/>
  <c r="I7" i="2" s="1"/>
  <c r="Y85" i="2"/>
  <c r="I36" i="2"/>
  <c r="I8" i="2" s="1"/>
  <c r="Y8" i="2" s="1"/>
  <c r="H68" i="2"/>
  <c r="X68" i="2" s="1"/>
  <c r="I37" i="2"/>
  <c r="I9" i="2" s="1"/>
  <c r="Y9" i="2" s="1"/>
  <c r="I39" i="2"/>
  <c r="I11" i="2" s="1"/>
  <c r="Y11" i="2" s="1"/>
  <c r="X36" i="2"/>
  <c r="X11" i="2"/>
  <c r="I33" i="2"/>
  <c r="I5" i="2" s="1"/>
  <c r="H69" i="2"/>
  <c r="X69" i="2" s="1"/>
  <c r="H64" i="2"/>
  <c r="Q61" i="2"/>
  <c r="Q72" i="2" s="1"/>
  <c r="Q17" i="2"/>
  <c r="H66" i="2"/>
  <c r="X66" i="2" s="1"/>
  <c r="X37" i="2"/>
  <c r="X9" i="2"/>
  <c r="P15" i="2"/>
  <c r="H62" i="2"/>
  <c r="X62" i="2" s="1"/>
  <c r="Q10" i="2"/>
  <c r="Q23" i="2"/>
  <c r="Y23" i="2" s="1"/>
  <c r="Y4" i="2"/>
  <c r="Q18" i="2"/>
  <c r="Y18" i="2" s="1"/>
  <c r="Q5" i="2"/>
  <c r="X10" i="2"/>
  <c r="X5" i="2"/>
  <c r="AX19" i="34"/>
  <c r="W15" i="2"/>
  <c r="X7" i="2"/>
  <c r="H67" i="2"/>
  <c r="X67" i="2" s="1"/>
  <c r="H63" i="2"/>
  <c r="Q62" i="2"/>
  <c r="Q14" i="2"/>
  <c r="P14" i="2"/>
  <c r="X40" i="2"/>
  <c r="X35" i="2"/>
  <c r="W14" i="2"/>
  <c r="Y32" i="2"/>
  <c r="I38" i="2"/>
  <c r="I10" i="2" s="1"/>
  <c r="X33" i="2"/>
  <c r="I34" i="2"/>
  <c r="I43" i="2" s="1"/>
  <c r="W71" i="2"/>
  <c r="X38" i="2"/>
  <c r="I40" i="2"/>
  <c r="I12" i="2" s="1"/>
  <c r="Y12" i="2" s="1"/>
  <c r="X34" i="2"/>
  <c r="Y35" i="2"/>
  <c r="I61" i="2"/>
  <c r="I64" i="2" l="1"/>
  <c r="Y64" i="2" s="1"/>
  <c r="H15" i="2"/>
  <c r="X6" i="2"/>
  <c r="I68" i="2"/>
  <c r="Y68" i="2" s="1"/>
  <c r="X63" i="2"/>
  <c r="H71" i="2"/>
  <c r="I6" i="2"/>
  <c r="I15" i="2" s="1"/>
  <c r="Y15" i="2" s="1"/>
  <c r="I42" i="2"/>
  <c r="H72" i="2"/>
  <c r="I14" i="2"/>
  <c r="Y7" i="2"/>
  <c r="Y17" i="2"/>
  <c r="Q28" i="2"/>
  <c r="Y28" i="2" s="1"/>
  <c r="G4" i="26"/>
  <c r="Y39" i="2"/>
  <c r="X71" i="2"/>
  <c r="Y36" i="2"/>
  <c r="Y38" i="2"/>
  <c r="I65" i="2"/>
  <c r="Y65" i="2" s="1"/>
  <c r="Y5" i="2"/>
  <c r="X64" i="2"/>
  <c r="Y61" i="2"/>
  <c r="Y33" i="2"/>
  <c r="I66" i="2"/>
  <c r="Y66" i="2" s="1"/>
  <c r="Y37" i="2"/>
  <c r="I62" i="2"/>
  <c r="Y62" i="2" s="1"/>
  <c r="X72" i="2"/>
  <c r="Y43" i="2"/>
  <c r="I63" i="2"/>
  <c r="I72" i="2" s="1"/>
  <c r="Y10" i="2"/>
  <c r="X14" i="2"/>
  <c r="X15" i="2"/>
  <c r="I69" i="2"/>
  <c r="Y69" i="2" s="1"/>
  <c r="Y34" i="2"/>
  <c r="Y14" i="2"/>
  <c r="I67" i="2"/>
  <c r="Y67" i="2" s="1"/>
  <c r="Y40" i="2"/>
  <c r="D4" i="6"/>
  <c r="F4" i="6"/>
  <c r="B4" i="6"/>
  <c r="C4" i="6"/>
  <c r="E4" i="6"/>
  <c r="Y6" i="2" l="1"/>
  <c r="I71" i="2"/>
  <c r="Y71" i="2" s="1"/>
  <c r="Y72" i="2"/>
  <c r="Y63" i="2"/>
  <c r="V42" i="2" l="1"/>
  <c r="U42" i="2"/>
  <c r="H4" i="6" l="1"/>
  <c r="I4" i="6" l="1"/>
  <c r="W42" i="2"/>
  <c r="Y42" i="2"/>
  <c r="X42" i="2"/>
  <c r="J4" i="6" l="1"/>
  <c r="K4" i="6" l="1"/>
  <c r="H4" i="26" l="1"/>
  <c r="I4" i="26" l="1"/>
  <c r="J4" i="26" l="1"/>
  <c r="K4" i="26" l="1"/>
</calcChain>
</file>

<file path=xl/comments1.xml><?xml version="1.0" encoding="utf-8"?>
<comments xmlns="http://schemas.openxmlformats.org/spreadsheetml/2006/main">
  <authors>
    <author>Author</author>
  </authors>
  <commentList>
    <comment ref="AM5" authorId="0" shapeId="0">
      <text>
        <r>
          <rPr>
            <b/>
            <sz val="9"/>
            <color indexed="81"/>
            <rFont val="Tahoma"/>
            <family val="2"/>
          </rPr>
          <t>Author:</t>
        </r>
        <r>
          <rPr>
            <sz val="9"/>
            <color indexed="81"/>
            <rFont val="Tahoma"/>
            <family val="2"/>
          </rPr>
          <t xml:space="preserve">
only apply network overheads (ie no oncosts)
</t>
        </r>
      </text>
    </comment>
  </commentList>
</comments>
</file>

<file path=xl/comments2.xml><?xml version="1.0" encoding="utf-8"?>
<comments xmlns="http://schemas.openxmlformats.org/spreadsheetml/2006/main">
  <authors>
    <author>Author</author>
  </authors>
  <commentList>
    <comment ref="AM5" authorId="0" shapeId="0">
      <text>
        <r>
          <rPr>
            <b/>
            <sz val="9"/>
            <color rgb="FF000000"/>
            <rFont val="Tahoma"/>
            <family val="2"/>
          </rPr>
          <t>Author:</t>
        </r>
        <r>
          <rPr>
            <sz val="9"/>
            <color rgb="FF000000"/>
            <rFont val="Tahoma"/>
            <family val="2"/>
          </rPr>
          <t xml:space="preserve">
</t>
        </r>
        <r>
          <rPr>
            <sz val="9"/>
            <color rgb="FF000000"/>
            <rFont val="Tahoma"/>
            <family val="2"/>
          </rPr>
          <t xml:space="preserve">only apply network overheads (ie no oncosts)
</t>
        </r>
      </text>
    </comment>
  </commentList>
</comments>
</file>

<file path=xl/sharedStrings.xml><?xml version="1.0" encoding="utf-8"?>
<sst xmlns="http://schemas.openxmlformats.org/spreadsheetml/2006/main" count="9294" uniqueCount="1527">
  <si>
    <t>No material needed</t>
  </si>
  <si>
    <t>2019-20</t>
  </si>
  <si>
    <t>2020-21</t>
  </si>
  <si>
    <t>2021-22</t>
  </si>
  <si>
    <t>2022-23</t>
  </si>
  <si>
    <t>2023-24</t>
  </si>
  <si>
    <t>2024-25</t>
  </si>
  <si>
    <t>Ordinary time</t>
  </si>
  <si>
    <t>Overtime</t>
  </si>
  <si>
    <t>CPI</t>
  </si>
  <si>
    <t>Energex</t>
  </si>
  <si>
    <t>Ergon Energy</t>
  </si>
  <si>
    <t>Professional Managerial</t>
  </si>
  <si>
    <t>Labour (incl on-cost)</t>
  </si>
  <si>
    <t xml:space="preserve">Forecast </t>
  </si>
  <si>
    <t>X factor</t>
  </si>
  <si>
    <t>Admin Employee</t>
  </si>
  <si>
    <t>Power Worker</t>
  </si>
  <si>
    <t>Technical Service Person</t>
  </si>
  <si>
    <t>Electrical System Designer</t>
  </si>
  <si>
    <t>Supervisor</t>
  </si>
  <si>
    <t>Para-Professional</t>
  </si>
  <si>
    <t>Apprentice</t>
  </si>
  <si>
    <t>System Operator</t>
  </si>
  <si>
    <t>Inflation</t>
  </si>
  <si>
    <t>Nominal escalators</t>
  </si>
  <si>
    <t>Labour</t>
  </si>
  <si>
    <t>Contractor Services</t>
  </si>
  <si>
    <t>Materials</t>
  </si>
  <si>
    <t>X factors</t>
  </si>
  <si>
    <t>Ergon energy</t>
  </si>
  <si>
    <t>Business</t>
  </si>
  <si>
    <t>Tech/PW</t>
  </si>
  <si>
    <t>Tech/PW/Admin</t>
  </si>
  <si>
    <t>Service Description</t>
  </si>
  <si>
    <t>Employee 1</t>
  </si>
  <si>
    <t>Labour classification</t>
  </si>
  <si>
    <t>Travel time (hours)</t>
  </si>
  <si>
    <t>Time on job (hours)</t>
  </si>
  <si>
    <t>Employee 2</t>
  </si>
  <si>
    <t>Services</t>
  </si>
  <si>
    <t>2WD COMMERCIAL - LIGHT</t>
  </si>
  <si>
    <t>Long rural/isolated</t>
  </si>
  <si>
    <t>Updated service ref</t>
  </si>
  <si>
    <t xml:space="preserve">Initial Service ref </t>
  </si>
  <si>
    <t>Capital allowance</t>
  </si>
  <si>
    <t xml:space="preserve">Traffic control </t>
  </si>
  <si>
    <t>ORD</t>
  </si>
  <si>
    <t>Business hours (ORD) / After hours (OT)</t>
  </si>
  <si>
    <t>No</t>
  </si>
  <si>
    <t>Time</t>
  </si>
  <si>
    <t>Average of Supplier Rates</t>
  </si>
  <si>
    <t>Evolution</t>
  </si>
  <si>
    <t>TC Officer incl transp &amp; equip - Rate 2</t>
  </si>
  <si>
    <t>TC Officer incl transp &amp; equip - Rate 3</t>
  </si>
  <si>
    <t>@ 4 hrs minimum</t>
  </si>
  <si>
    <t>21-Develop Traffic Mgmt Plan</t>
  </si>
  <si>
    <t>Feeder type</t>
  </si>
  <si>
    <t>Base (2020-21)</t>
  </si>
  <si>
    <t>Contractors</t>
  </si>
  <si>
    <t xml:space="preserve">Material </t>
  </si>
  <si>
    <t>Type</t>
  </si>
  <si>
    <t xml:space="preserve">Number </t>
  </si>
  <si>
    <t>Cost to conduct job - Incl OC &amp; OH 
($)</t>
  </si>
  <si>
    <t>Travel cost - 
Incl OC &amp; OH 
(S)</t>
  </si>
  <si>
    <t>Total time (Hours)</t>
  </si>
  <si>
    <t>Total time (hours)</t>
  </si>
  <si>
    <t>Travel cost - 
Incl OC  &amp; OH
(S)</t>
  </si>
  <si>
    <t>Cost to conduct job - Incl OC &amp; OH
($)</t>
  </si>
  <si>
    <t>TRUCKS-C/C HEAVY RIGID &gt;22t GVM</t>
  </si>
  <si>
    <t>TRUCKS-C/C LR 4.5 to  &lt;8t GVM</t>
  </si>
  <si>
    <t>TRUCKS-C/C MEDIUM RIGID 8t to 16t GVM</t>
  </si>
  <si>
    <t>PASSENGER VEHICLES</t>
  </si>
  <si>
    <t>EWP-SCISSOR LIFT</t>
  </si>
  <si>
    <t>EWP-SELF PROPELLED</t>
  </si>
  <si>
    <t>4WD COMMERCIAL -HEAVY</t>
  </si>
  <si>
    <t>4WD COMMERCIAL - LIGHT</t>
  </si>
  <si>
    <t>Single phase meter</t>
  </si>
  <si>
    <t>Dual element meter</t>
  </si>
  <si>
    <t>Polyphase meter</t>
  </si>
  <si>
    <t>CT meter</t>
  </si>
  <si>
    <t>2018-19</t>
  </si>
  <si>
    <t>Material costs (stock) - Base costs</t>
  </si>
  <si>
    <t>Connection services</t>
  </si>
  <si>
    <t>Comments</t>
  </si>
  <si>
    <t>X factors (fee based)</t>
  </si>
  <si>
    <t>The worksheets in this section include the inputs used to develop the prices for fee based services.</t>
  </si>
  <si>
    <t>Fee based services formula</t>
  </si>
  <si>
    <t>Cost build-up formula</t>
  </si>
  <si>
    <t>Price = Labour + Contractor Services + Materials + Capital Allowance</t>
  </si>
  <si>
    <t>Application of formula</t>
  </si>
  <si>
    <t>The standard labour rate for each employee position is multiplied by their total time on the job.  These unit costs are then totalled to derive an overall labour cost for the service.
For services where travel is required, a fleet on-cost (inclusive of overheads) is also applied.  This is charged hourly.</t>
  </si>
  <si>
    <t>Where Ergon Energy attends a premises to perform a service and is unable to do so due to no fault of our own, the labour costs will only incorporate the travel time and fleet on-cost.  Ergon Energy has calculated a separate price for these circumstances (refer to 'Call out fee - no service undertaken' for each service). The labour component has been calculated by multiplying the standard labour rate (base with labour on-costs and overheads) for each employee position by their travel time.  These unit costs are then totalled to derive an overall labour cost for the service. The fleet on-cost is then applied based on the total travel time for the job.
The 'Call out fee - no service undertaken' prices will be included individually in our external Price List.</t>
  </si>
  <si>
    <t>Contractor services</t>
  </si>
  <si>
    <t>There are no contractor services costs incurred in the provision of fee based services.  Therefore, this component is not included in the calculation of fee based service prices.</t>
  </si>
  <si>
    <t>The capital allowance has been calculated by multiplying the total (internal) labour costs (inclusive of labour on-costs and overheads) by the capital allowance rate.</t>
  </si>
  <si>
    <t>Where the 'Call out fee - no service undertaken' price applies, the capital allowance has been calculated by multiplying the total travel time labour costs (inclusive of labour on-costs and overheads) by the capital allowance rate.</t>
  </si>
  <si>
    <t>General Overheads</t>
  </si>
  <si>
    <t>Network overheads</t>
  </si>
  <si>
    <t>Non-network overheads</t>
  </si>
  <si>
    <t>On-costs</t>
  </si>
  <si>
    <t>&lt;&lt;-------------------2020-25 Regulatory Control Period-------------------&gt;&gt;</t>
  </si>
  <si>
    <t>Material</t>
  </si>
  <si>
    <t>De-energisation</t>
  </si>
  <si>
    <t>Permutations</t>
  </si>
  <si>
    <t>BUSINESS HOURS - NO CT</t>
  </si>
  <si>
    <t>Fleet type</t>
  </si>
  <si>
    <t>None</t>
  </si>
  <si>
    <t>No fleet</t>
  </si>
  <si>
    <t>Urban/Short Rural</t>
  </si>
  <si>
    <t>Long rural/Isolated</t>
  </si>
  <si>
    <t>BUSINESS HOURS - CT</t>
  </si>
  <si>
    <t>AFTER HOURS - NO CT</t>
  </si>
  <si>
    <t>OT</t>
  </si>
  <si>
    <t>Service Grouping</t>
  </si>
  <si>
    <t>Service grouping</t>
  </si>
  <si>
    <t xml:space="preserve">De-energisation </t>
  </si>
  <si>
    <t>Re-energisation</t>
  </si>
  <si>
    <t>Post-connection services</t>
  </si>
  <si>
    <t>ANYTIME - NO CT</t>
  </si>
  <si>
    <t>Contractor required? Y/N</t>
  </si>
  <si>
    <t>AFTER HOURS - CT</t>
  </si>
  <si>
    <t>AFTER HOURS</t>
  </si>
  <si>
    <t>ANYTIME - CT</t>
  </si>
  <si>
    <t>NON PAYMENT - NO CT</t>
  </si>
  <si>
    <t>NON PAYMENT - CT</t>
  </si>
  <si>
    <t>Retailer requested de-energisation (MSS)</t>
  </si>
  <si>
    <t>BUSINESS HOURS</t>
  </si>
  <si>
    <t>ANYTIME</t>
  </si>
  <si>
    <t>All other remote de-energisation requests (PoC Exempt locations only)</t>
  </si>
  <si>
    <t>Retailer or metering coordinator/provider requests a visual examination upon re-energisation (physical) of the customer’s premises where the customer has not paid their electricity account. NMI de-energised &gt; 30 days.</t>
  </si>
  <si>
    <t>Time on the job</t>
  </si>
  <si>
    <t>15 minutes</t>
  </si>
  <si>
    <t>20 minutes</t>
  </si>
  <si>
    <t>25 minutes</t>
  </si>
  <si>
    <t>30 minutes</t>
  </si>
  <si>
    <t>35 mniutes</t>
  </si>
  <si>
    <t>45 minutes</t>
  </si>
  <si>
    <t>ORD/OT</t>
  </si>
  <si>
    <t>Business Hours/ Anytime</t>
  </si>
  <si>
    <t>Afterhours</t>
  </si>
  <si>
    <t>Traffic Control Required</t>
  </si>
  <si>
    <t>Yes</t>
  </si>
  <si>
    <t>P</t>
  </si>
  <si>
    <t>40 minutes</t>
  </si>
  <si>
    <t>NO CT</t>
  </si>
  <si>
    <t>CT</t>
  </si>
  <si>
    <t>No Dismantling - BUSINESS HOURS</t>
  </si>
  <si>
    <t>No Dismantling - AFTER HOURS</t>
  </si>
  <si>
    <t>No Dismantling - ANYTIME</t>
  </si>
  <si>
    <t>Dismantling - BUSINESS HOURS</t>
  </si>
  <si>
    <t>Dismantling - BUSINESS HOURS with Traffic Control</t>
  </si>
  <si>
    <t>Dismantling - AFTER HOURS</t>
  </si>
  <si>
    <t>Dismantling - ANYTIME</t>
  </si>
  <si>
    <t>Temporary disconnections and reconnections (which may involve a line drop)</t>
  </si>
  <si>
    <t>Supply Abolishment</t>
  </si>
  <si>
    <t xml:space="preserve">Install new meter (Type 5 and 6) </t>
  </si>
  <si>
    <t xml:space="preserve">Removal of a meter (Type 5 &amp; 6)
</t>
  </si>
  <si>
    <t>Meter test</t>
  </si>
  <si>
    <t>Meter inspection and investigation on request</t>
  </si>
  <si>
    <t>Meter reconfiguration</t>
  </si>
  <si>
    <t>Metering alteration</t>
  </si>
  <si>
    <t>Type 5-7 non standard metering data services</t>
  </si>
  <si>
    <t>1 hour/60 minutes</t>
  </si>
  <si>
    <t>270 minutes</t>
  </si>
  <si>
    <t>24 minutes</t>
  </si>
  <si>
    <t>53 minutes</t>
  </si>
  <si>
    <t>123 minutes</t>
  </si>
  <si>
    <t>130 minutes</t>
  </si>
  <si>
    <t>28 minutes</t>
  </si>
  <si>
    <t>42 minutes</t>
  </si>
  <si>
    <t>26 minutes</t>
  </si>
  <si>
    <t>27 minutes</t>
  </si>
  <si>
    <t>31 minutes</t>
  </si>
  <si>
    <t>66 minutes</t>
  </si>
  <si>
    <t>69 minutes</t>
  </si>
  <si>
    <t>Metering load control - needs rename</t>
  </si>
  <si>
    <t>43 minutes</t>
  </si>
  <si>
    <t>136 minutes</t>
  </si>
  <si>
    <t>Meter reading</t>
  </si>
  <si>
    <t>5 minutes</t>
  </si>
  <si>
    <t>Temporary de-energisation and re-energisation of supply to allow customer or contractor to work close - the service may be physically dismantled or disconnected (e.g. overhead service dropped). This services includes switching if required.</t>
  </si>
  <si>
    <t>Retailer requested de-energisation of the customer's premises where the de-energisation can be performed at the premises ie by a method other than main switch seal (eg pole, pillar, transformer or meter isolation link)</t>
  </si>
  <si>
    <t>Retailer or third party requested remote de-energisation via the meter for non payment (PoC Exempt locations only)</t>
  </si>
  <si>
    <t>Travel (Y/N)</t>
  </si>
  <si>
    <t>Traffic control (Y/N)</t>
  </si>
  <si>
    <t>Travel time</t>
  </si>
  <si>
    <t>Travel time (Y/N)</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</si>
  <si>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</si>
  <si>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</si>
  <si>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0 minutes</t>
  </si>
  <si>
    <t>120 minutes</t>
  </si>
  <si>
    <t>180 minutes</t>
  </si>
  <si>
    <t>Temporary connection</t>
  </si>
  <si>
    <t>Supply abolishment</t>
  </si>
  <si>
    <t>Escalated by estimated CPI</t>
  </si>
  <si>
    <t>Figures as of 8 June 2018 supplied by Procurement, escalated using CPI</t>
  </si>
  <si>
    <t>Average</t>
  </si>
  <si>
    <t>Consumables only</t>
  </si>
  <si>
    <t>Reseal</t>
  </si>
  <si>
    <t>Reseal and inspection of meter after customer initated work</t>
  </si>
  <si>
    <t>This page contains the lists to be used in the Service Assumptions worksheets</t>
  </si>
  <si>
    <t xml:space="preserve">Times </t>
  </si>
  <si>
    <t>Load control time switch</t>
  </si>
  <si>
    <t>Time (Hours)</t>
  </si>
  <si>
    <t>Contractor costs</t>
  </si>
  <si>
    <t xml:space="preserve">Cost ($) </t>
  </si>
  <si>
    <t>Do not incur labour on-costs as contractors pay their own superannuations</t>
  </si>
  <si>
    <t>Overheads</t>
  </si>
  <si>
    <t xml:space="preserve">Cost  - incl OH
($) </t>
  </si>
  <si>
    <t>Material costs - incl OC &amp; OH
($)</t>
  </si>
  <si>
    <t>Faults/Emergency response</t>
  </si>
  <si>
    <t>Attending loss of Supply - customer fault</t>
  </si>
  <si>
    <t>Tariff class grouping</t>
  </si>
  <si>
    <t>Attendance at customer premises to perform a statutory right where access is prevented</t>
  </si>
  <si>
    <t>150 minutes</t>
  </si>
  <si>
    <t>Employee 3</t>
  </si>
  <si>
    <t xml:space="preserve">METER ONLY (Per Meter) - BUSINESS HOURS - CT </t>
  </si>
  <si>
    <t xml:space="preserve">METER ONLY (Per Meter) - BUSINESS HOURS - NO CT </t>
  </si>
  <si>
    <t xml:space="preserve">METER ONLY (Per Meter) - AFTER HOURS- CT </t>
  </si>
  <si>
    <t>METER ONLY (Per Meter) - AFTER HOURS - NO CT</t>
  </si>
  <si>
    <t>Supply enhancement</t>
  </si>
  <si>
    <t xml:space="preserve">BUSINESS HOURS - SINGLE TO MULTI PHASE </t>
  </si>
  <si>
    <t xml:space="preserve">BUSINESS HOURS - MULTIPHASE INCREASE CAPACITY </t>
  </si>
  <si>
    <t xml:space="preserve">AFTER HOURS - SINGLE TO MULTI PHASE </t>
  </si>
  <si>
    <t>AFTER HOURS - MULTIPHASE INCREASE CAPACITY</t>
  </si>
  <si>
    <t xml:space="preserve">Tariff class </t>
  </si>
  <si>
    <t>Point of attachment relocation</t>
  </si>
  <si>
    <t>BUSINESS HOURS - SINGLE PHASE</t>
  </si>
  <si>
    <t xml:space="preserve">AFTER HOURS - SINGLE PHASE  </t>
  </si>
  <si>
    <t>ANYTIME - SINGLE PHASE</t>
  </si>
  <si>
    <t>BUSINESS HOURS - MULTI PHASE</t>
  </si>
  <si>
    <t xml:space="preserve">AFTER HOURS - MULTIPHASE  </t>
  </si>
  <si>
    <t>ANYTIME - MULTIPHASE</t>
  </si>
  <si>
    <t>Re-arrange connection assets at customer's request</t>
  </si>
  <si>
    <t>Request for Temporary Connection for short term supply</t>
  </si>
  <si>
    <t>SERVICE ONLY - BUSINESS HOURS - CT (Complex)</t>
  </si>
  <si>
    <t>SERVICE ONLY - BUSINESS HOURS - NO CT (Simple)</t>
  </si>
  <si>
    <t>SERVICE ONLY - AFTER HOURS - CT (Complex)</t>
  </si>
  <si>
    <t>SERVICE ONLY- AFTER HOURS - NO CT (Simple)</t>
  </si>
  <si>
    <t>BUSINESS HOURS - SINGLE PHASE - Traffic Control</t>
  </si>
  <si>
    <t>AFTER HOURS - SINGLE PHASE  - Traffic Control</t>
  </si>
  <si>
    <t>ANYTIME - SINGLE PHASE - Traffic Control</t>
  </si>
  <si>
    <t>BUSINESS HOURS - MULTI PHASE -Traffic Control</t>
  </si>
  <si>
    <t>AFTER HOURS - MULTIPHASE - Traffic Control</t>
  </si>
  <si>
    <t>ANYTIME - MULTIPHASE -Traffic Control</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</si>
  <si>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</si>
  <si>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</si>
  <si>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</si>
  <si>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ENERGEX</t>
  </si>
  <si>
    <t>ERGON ENERGY</t>
  </si>
  <si>
    <t>Average (to be used for Base Year 2020-21)</t>
  </si>
  <si>
    <t>BH</t>
  </si>
  <si>
    <t>AH</t>
  </si>
  <si>
    <t>A/T</t>
  </si>
  <si>
    <t>No CT - BH</t>
  </si>
  <si>
    <t>No CT - AH</t>
  </si>
  <si>
    <t>No CT - A/T</t>
  </si>
  <si>
    <t>CT - BH</t>
  </si>
  <si>
    <t xml:space="preserve">CT - AH </t>
  </si>
  <si>
    <t>CT - A/T</t>
  </si>
  <si>
    <t>Non payment - No CT</t>
  </si>
  <si>
    <t>Non payment - CT</t>
  </si>
  <si>
    <t>No CT</t>
  </si>
  <si>
    <t>No dismantling - BH</t>
  </si>
  <si>
    <t>No dismantling - AH</t>
  </si>
  <si>
    <t>No dismantling - A/T</t>
  </si>
  <si>
    <t>Dismantling - BH</t>
  </si>
  <si>
    <t>Dismantling - BH with traffic control</t>
  </si>
  <si>
    <t>Dismantling - AH</t>
  </si>
  <si>
    <t>Dismantling - AH with traffic control</t>
  </si>
  <si>
    <t>Dismantling - A/T</t>
  </si>
  <si>
    <t>Dismantling - A/T with traffic control</t>
  </si>
  <si>
    <t>Service only.  CT (complex). BH</t>
  </si>
  <si>
    <t>Service only.  No CT (simple). BH</t>
  </si>
  <si>
    <t>Service only.  CT (complex). AH</t>
  </si>
  <si>
    <t>Service only.  CT (complex). A/T</t>
  </si>
  <si>
    <t>Service only.  No CT (simple). A/T</t>
  </si>
  <si>
    <t>Meter only. CT. BH</t>
  </si>
  <si>
    <t>Meter only. No CT. BH</t>
  </si>
  <si>
    <t>Meter only. CT. AH</t>
  </si>
  <si>
    <t>Meter only. No CT. AH</t>
  </si>
  <si>
    <t>Meter only. CT. A/T</t>
  </si>
  <si>
    <t>Meter only. No CT. A/T</t>
  </si>
  <si>
    <t>Single to Multi-ph. BH</t>
  </si>
  <si>
    <t>Multi-ph increase capacity. BH</t>
  </si>
  <si>
    <t>Single to Multi-ph. AH</t>
  </si>
  <si>
    <t>Multi-ph increase capacity. AH</t>
  </si>
  <si>
    <t>Single to Multi-ph. A/T</t>
  </si>
  <si>
    <t>Multi-ph increase capacity. A/T</t>
  </si>
  <si>
    <t>Single ph. BH</t>
  </si>
  <si>
    <t>Single ph. AH</t>
  </si>
  <si>
    <t>Single ph. A/T</t>
  </si>
  <si>
    <t>Multi ph. AH</t>
  </si>
  <si>
    <t>Multi ph. A/T</t>
  </si>
  <si>
    <t>Single ph. BH with traffic control</t>
  </si>
  <si>
    <t>Single ph.  AH with traffic control</t>
  </si>
  <si>
    <t>Single ph. A/T with traffic control</t>
  </si>
  <si>
    <t>Multi ph. BH</t>
  </si>
  <si>
    <t>Multi ph. BH with traffic control</t>
  </si>
  <si>
    <t>Multi ph. AH with traffic control</t>
  </si>
  <si>
    <t>Multi ph. A/T with traffic control</t>
  </si>
  <si>
    <t>Abbr</t>
  </si>
  <si>
    <t>Feeder: U/SR</t>
  </si>
  <si>
    <t>Feeder: LR/I</t>
  </si>
  <si>
    <t>Auxiliary metering services</t>
  </si>
  <si>
    <t xml:space="preserve">Install new meter (CT) </t>
  </si>
  <si>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</si>
  <si>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</si>
  <si>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</si>
  <si>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</si>
  <si>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</si>
  <si>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Call out fee</t>
  </si>
  <si>
    <t>Development of Traffic  Management Plan</t>
  </si>
  <si>
    <t>Item 24-Admin Fee for requests associated with obtaining Traffic Permits</t>
  </si>
  <si>
    <t>Rate 1:</t>
  </si>
  <si>
    <t>Monday - Friday; 6am-6pm</t>
  </si>
  <si>
    <t>Rate 2:</t>
  </si>
  <si>
    <t>Monday - Friday; 6pm-6am</t>
  </si>
  <si>
    <t>Rate 3:</t>
  </si>
  <si>
    <t>Saturday</t>
  </si>
  <si>
    <t xml:space="preserve">Rate 4: </t>
  </si>
  <si>
    <t>Sunday</t>
  </si>
  <si>
    <t>TC Officer incl transp &amp; equip - Rate 1</t>
  </si>
  <si>
    <t>Rate 5:</t>
  </si>
  <si>
    <t>Public Holidays</t>
  </si>
  <si>
    <t>TC Officer incl transp &amp; equip - Rate 4</t>
  </si>
  <si>
    <t>TC Officer incl transp &amp; equip-Rate 2</t>
  </si>
  <si>
    <t>TC Officer incl transp &amp; equip-Rate 3</t>
  </si>
  <si>
    <t>TC Officer incl transp &amp; equip-Rate 1</t>
  </si>
  <si>
    <t>TC Officer incl transp &amp; equip-Rate 4</t>
  </si>
  <si>
    <t>Contractual arrangements of 4 hours minimum</t>
  </si>
  <si>
    <t>With vehicle and equip</t>
  </si>
  <si>
    <t>Without vehicle and equip</t>
  </si>
  <si>
    <t>TC Officer excl transp &amp; equip - Rate 1</t>
  </si>
  <si>
    <t>TC Officer excl transp &amp; equip - Rate 2</t>
  </si>
  <si>
    <t>TC Officer excl transp &amp; equip - Rate 3</t>
  </si>
  <si>
    <t>TC Officer excl transp &amp; equip - Rate 4</t>
  </si>
  <si>
    <t>TC with Vehicle Fee (Avg)</t>
  </si>
  <si>
    <t>TC without Vehicle Fee (Avg)</t>
  </si>
  <si>
    <t>1 Traffic contoller with vehicle + 1 traffic controller without vehicle</t>
  </si>
  <si>
    <t>1 Traffic control with vehicle only</t>
  </si>
  <si>
    <t>Number of controllers</t>
  </si>
  <si>
    <t>Permit costs</t>
  </si>
  <si>
    <t>70% of instances with 2 controllers (1 with vehicle + 1 without) and 30% of instances with 1 controller with vehicle</t>
  </si>
  <si>
    <t>Split over all jobs</t>
  </si>
  <si>
    <t>Admin costs (1 for council and 1 for police)</t>
  </si>
  <si>
    <t>Summary of Traffic Control Charges</t>
  </si>
  <si>
    <t>Corporate costs, revenue on Non-network capital costs, MTC &amp; Call Centre costs (%)</t>
  </si>
  <si>
    <t>BUSINESS HOURS - SINGLE TO MULTI PHASE - Traffic control</t>
  </si>
  <si>
    <t>BUSINESS HOURS - MULTIPHASE INCREASE CAPACITY - Traffic control</t>
  </si>
  <si>
    <t>AFTER HOURS - SINGLE TO MULTI PHASE - Traffic control</t>
  </si>
  <si>
    <t>Multi-ph increase capacity. BH with traffic control</t>
  </si>
  <si>
    <t>Single to Multi-ph. BH with traffic control</t>
  </si>
  <si>
    <t>Single to Multi-ph. AH with traffic control</t>
  </si>
  <si>
    <t>AFTER HOURS - MULTIPHASE INCREASE CAPACITY - Traffic control</t>
  </si>
  <si>
    <t>Multi-ph increase capacity. AH with traffic control</t>
  </si>
  <si>
    <t>Single to Multi-ph. A/T with traffic control</t>
  </si>
  <si>
    <t>Multi-ph increase capacity. A/T with traffic control</t>
  </si>
  <si>
    <t>TC Officer incl transp &amp; equip - Rate 5</t>
  </si>
  <si>
    <t>Weighted average</t>
  </si>
  <si>
    <t>Permit fee (based on average spend for 2017-18)</t>
  </si>
  <si>
    <t>Permit costs  applied to all jobs on a postage stamp basis (1/3) - Permit costs and miscelleneous costs included</t>
  </si>
  <si>
    <t>PERMIT COSTS (ERGON ENERGY and ENERGEX)</t>
  </si>
  <si>
    <t xml:space="preserve">ENERGEX TRAFFIC CONTROLLER RATES </t>
  </si>
  <si>
    <t>ERGON ENERGY TRAFFIC CONTROLLER RATES</t>
  </si>
  <si>
    <t>Average of sample of Ergon Energy's contractors' rates</t>
  </si>
  <si>
    <t>TC with vehicle and equip</t>
  </si>
  <si>
    <t>TC without vehicle and equip</t>
  </si>
  <si>
    <t>TCO with vehicle and equip</t>
  </si>
  <si>
    <t>TCO without vehicle and equip</t>
  </si>
  <si>
    <t>Weighted average Rates</t>
  </si>
  <si>
    <t>Average charge @ 4 hrs minimum</t>
  </si>
  <si>
    <t>Total TC charge @ 4 hrs minimum</t>
  </si>
  <si>
    <t>Total permit costs</t>
  </si>
  <si>
    <t>This worksheet includes service assumptions and works out maximum prices for the base year (2020-21)</t>
  </si>
  <si>
    <t>Traffic control costs</t>
  </si>
  <si>
    <t>Derived using suppliers' rates</t>
  </si>
  <si>
    <t>Averaged as they decline over the 5-year period.  This ensures fairer application of overhead costs for 2020-21 as they incorporate the forecast decreases</t>
  </si>
  <si>
    <t>Duplication of meter installation and meter replacement in recognition of their accounting treatment: New meter installation are capitalised while Replacement/Additional meters are treated as opex.</t>
  </si>
  <si>
    <t>90 minutes</t>
  </si>
  <si>
    <t>Retailer or metering coordinator/provider requests a visual examination upon re-energisation (physical or remote) of the customer’s premises.</t>
  </si>
  <si>
    <t>Provision of load profile data where available – Retailer requested</t>
  </si>
  <si>
    <t>Traffic control</t>
  </si>
  <si>
    <t>Weights</t>
  </si>
  <si>
    <t>For fee based services X factors = Labour escalation rates approved by the AER (until 2020) and based on EE and EX Draft Plans 2020-25</t>
  </si>
  <si>
    <t xml:space="preserve">Ergon Energy assumes that travel time to service customers on long rural/isolated feeders is on average 2 hours while the time to service customers on short/urban feeders will take 20 minutes. </t>
  </si>
  <si>
    <t>Energex's fee-based services are not differentiated on the basis of their feeder type and assume a travel time of 30 minutes, to reflect increasing traffic congestion in the South East</t>
  </si>
  <si>
    <t>Single ph. AH with traffic control</t>
  </si>
  <si>
    <t>Retailer requests a re-energisation of the customer's premises where the customer has not paid their electricity account. No visual required</t>
  </si>
  <si>
    <t>Retailer requests a re-energisation for the customer's premises following a main switch seal (no visual required)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</si>
  <si>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</si>
  <si>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Customer requested temporary connection (short term) and recovery of the temporary builders supply. Note:  this service is only available for non-grid connected areas of our network (isolated feeders and the Mount Isa-Cloncurry supply network)</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</si>
  <si>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</si>
  <si>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SERVICE ONLY - AFTER HOURS - CT (Complex) - Traffic control</t>
  </si>
  <si>
    <t>SERVICE ONLY- AFTER HOURS - NO CT (Simple) - Traffic control</t>
  </si>
  <si>
    <t>SERVICE ONLY - BUSINESS HOURS - NO CT (Simple) - Traffic control</t>
  </si>
  <si>
    <t>SERVICE ONLY - BUSINESS HOURS - CT (Complex) - Traffic control</t>
  </si>
  <si>
    <t>Service only.  CT (complex). BH with traffic control</t>
  </si>
  <si>
    <t>Service only.  No CT (simple). BH with traffic control</t>
  </si>
  <si>
    <t>Service only.  No CT (simple). AH with traffic control</t>
  </si>
  <si>
    <t>Service only.  CT (complex). AH with traffic control</t>
  </si>
  <si>
    <t>Service only.  No CT (simple)</t>
  </si>
  <si>
    <t>Service only.  CT (complex). A/T with traffic control</t>
  </si>
  <si>
    <t>Service only.  No CT (simple). A/T with traffic control</t>
  </si>
  <si>
    <t>Dismantling - BUSINESS HOURS - Traffic Control</t>
  </si>
  <si>
    <t>Dismantling - AFTER HOURS - Traffic Control</t>
  </si>
  <si>
    <t>Dismantling - ANYTIME - Traffic Control</t>
  </si>
  <si>
    <t>BUSINESS HOURS - MULTI PHASE - Traffic Control</t>
  </si>
  <si>
    <t>AFTER HOURS - SINGLE PHASE - Traffic control</t>
  </si>
  <si>
    <t>AFTER HOURS - SINGLE PHASE - Traffic Control</t>
  </si>
  <si>
    <t>SERVICE ONLY - ANYTIME - CT (Complex)</t>
  </si>
  <si>
    <t>SERVICE ONLY - ANYTIME - CT (Complex) - Traffic control</t>
  </si>
  <si>
    <t>SERVICE ONLY - ANYTIME - NO CT (Simple)</t>
  </si>
  <si>
    <t>SERVICE ONLY - ANYTIME - NO CT (Simple) - Traffic control</t>
  </si>
  <si>
    <t xml:space="preserve">ANYTIME - SINGLE TO MULTI PHASE </t>
  </si>
  <si>
    <t>ANYTIME - SINGLE TO MULTI PHASE - Traffic control</t>
  </si>
  <si>
    <t>ANYTIME - MULTIPHASE INCREASE CAPACITY</t>
  </si>
  <si>
    <t>ANYTIME - MULTIPHASE INCREASE CAPACITY - Traffic control</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</si>
  <si>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</si>
  <si>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</si>
  <si>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</si>
  <si>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</si>
  <si>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</si>
  <si>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</si>
  <si>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ANYTIME</t>
  </si>
  <si>
    <t>Dismantling - MULTIPHASE - ANYTIME</t>
  </si>
  <si>
    <t>Dismantling - SINGLE PHASE -ANYTIME - Traffic Control</t>
  </si>
  <si>
    <t>Dismantling - MULTIPHASE ANYTIME - Traffic Control</t>
  </si>
  <si>
    <t>Dismantling - SINGLE PHASE - AFTER HOURS - Traffic Control</t>
  </si>
  <si>
    <t>Dismantling - MULTIPHASE - AFTER HOURS - Traffic Control</t>
  </si>
  <si>
    <t>Dismantling - Single ph - BH</t>
  </si>
  <si>
    <t>Dismantling - Multiph - BH</t>
  </si>
  <si>
    <t>Dismantling - Single ph - BH with traffic control</t>
  </si>
  <si>
    <t>Dismantling - Multiph - BH with traffic control</t>
  </si>
  <si>
    <t>Dismantling - Single ph - AH</t>
  </si>
  <si>
    <t>Dismantling - Multiph - AH</t>
  </si>
  <si>
    <t>Dismantling - Single ph - AH with traffic control</t>
  </si>
  <si>
    <t>Dismantling - Multiph - AH with traffic control</t>
  </si>
  <si>
    <t>Dismantling - Single ph - A/T</t>
  </si>
  <si>
    <t>Dismantling - Multiph - A/T</t>
  </si>
  <si>
    <t>Dismantling - Single ph - A/T with traffic control</t>
  </si>
  <si>
    <t>Dismantling - Multiph - A/T with traffic control</t>
  </si>
  <si>
    <t xml:space="preserve">METER ONLY (Per Meter) - ANYTIME - CT </t>
  </si>
  <si>
    <t xml:space="preserve">METER ONLY (Per Meter) - ANYTIME - NO CT </t>
  </si>
  <si>
    <t>BUSINESS HOURS - 2 crews</t>
  </si>
  <si>
    <t>AFTER HOURS - 2 crews</t>
  </si>
  <si>
    <t>ANYTIME - 2 crews</t>
  </si>
  <si>
    <t>BUSINESS HOURS - 1 crew</t>
  </si>
  <si>
    <t>AFTER HOURS - 1 crew</t>
  </si>
  <si>
    <t>ANYTIME - 1 crew</t>
  </si>
  <si>
    <t>BH - 1 crew</t>
  </si>
  <si>
    <t>AH - 1 crew</t>
  </si>
  <si>
    <t>A/T - 1 crew</t>
  </si>
  <si>
    <t>BH - 2 crews</t>
  </si>
  <si>
    <t>AH - 2 crews</t>
  </si>
  <si>
    <t>A/T - 2 crews</t>
  </si>
  <si>
    <t>Work on metering equipment for temporary connection, not in permanent position - single phase or multi phase metered.
Note:  this service is only available for non-grid connected areas of our network (isolated feeders and the Mount Isa-Cloncurry supply network).</t>
  </si>
  <si>
    <t xml:space="preserve">Actual </t>
  </si>
  <si>
    <t>Same as CPI</t>
  </si>
  <si>
    <t>Increased time from 26 min to 30 min as a result of increased traffic congestion in South East Qld</t>
  </si>
  <si>
    <t>Estimated travel time</t>
  </si>
  <si>
    <t>The worksheets in this section set out the ACS fee-based services (inclusive of oncosts and overheads) for Ergon Energy and Energex from 2020-21 to 2024-25</t>
  </si>
  <si>
    <t>There are generally no materials used in the provision of fee based services.  The exception to this are services related to the installation and provision of new or replacement Type 5 and 6 meters in the Power of Choice exempt areas on the Ergon Energy network.  The materials (internal stores) on-cost rate and overheads are applied to the cost of 'stock' items (i.e. costs directly incurred in the provision of the service).</t>
  </si>
  <si>
    <t>Quoted services formula</t>
  </si>
  <si>
    <t>Formula</t>
  </si>
  <si>
    <t>The standard labour rate (base with on-costs and overheads) for each employee position is multiplied by their total time on job.  These unit costs are then totalled to derive an overall labour cost for the service.  Where any part of the travel time and/or time on the job occurs after business hours, the relevant overtime labour rates (base with on-costs and overheads) will apply to that portion. Where travel is required, a fleet on-cost (inclusive of overheads) is also applied. This rate is charged hourly.</t>
  </si>
  <si>
    <t>Reflects all costs associated with the use of external labour in the provision of the service (inclusive of overheads), and any direct costs incurred as part of performing the service (inclusive of overheads).</t>
  </si>
  <si>
    <t>Reflects the cost of materials directly incurred in the provision of the service. Materials comprise of 'stock' and 'purchases'.  The materials (internal stores) on-cost rate and overheads are applied to 'stock' materials. Whereas, only the overhead rate is applied to the 'purchases' materials.</t>
  </si>
  <si>
    <t>Feasibility and concept scoping, including planning and design, for major customer connections</t>
  </si>
  <si>
    <t>Detailed design and advice for major customer connections for the selected (preferred) connection option. This includes shared network planning and design works incurred during the feasibility and concept scoping phases (i.e. before the connection offer has been accepted) (where applicable).</t>
  </si>
  <si>
    <t>This worsheet demonstrates with the quoted services formula by using an example for illustrative purposes only.</t>
  </si>
  <si>
    <t>Employee 4</t>
  </si>
  <si>
    <t>It also provides an example of a quoted service to demonstrate compliance with the quoted service formula.</t>
  </si>
  <si>
    <t>This model includes the following worksheets:</t>
  </si>
  <si>
    <t>Inputs</t>
  </si>
  <si>
    <t xml:space="preserve">Section </t>
  </si>
  <si>
    <t>Worsheets</t>
  </si>
  <si>
    <t>Escalators &amp; overheads</t>
  </si>
  <si>
    <t>Labour rates</t>
  </si>
  <si>
    <t xml:space="preserve">Material costs </t>
  </si>
  <si>
    <t>Traffic control fees</t>
  </si>
  <si>
    <t>Travel time inputs</t>
  </si>
  <si>
    <t>Fee based calculation</t>
  </si>
  <si>
    <t>Ergon Energy fee-based service assumptions</t>
  </si>
  <si>
    <t>Energex fee-based service assumptions</t>
  </si>
  <si>
    <t>Price path</t>
  </si>
  <si>
    <t>Ergon Energy fee-based prices (inclusive of oncosts and overheads) for 2020-25</t>
  </si>
  <si>
    <t>Energex fee-based prices (inclusive of oncosts and overheads) for 2020-25</t>
  </si>
  <si>
    <t>Illustrative example</t>
  </si>
  <si>
    <t>This model has been developed to calculate ACS fee-based services for Ergon Energy and Energex for the 2020-25 regulatory control period.</t>
  </si>
  <si>
    <t>Figures in $18/19 (inclusive of $5 for consumables)</t>
  </si>
  <si>
    <t>Service - 2020-21</t>
  </si>
  <si>
    <t>Service - 2021-22</t>
  </si>
  <si>
    <t>Service - 2022-23</t>
  </si>
  <si>
    <t>Service - 2023-24</t>
  </si>
  <si>
    <t>Service - 2024-25</t>
  </si>
  <si>
    <t>Note: in accordance with F&amp;A, only labour costs are subject to a price path and hence only labour costs are updated in this year</t>
  </si>
  <si>
    <t>Issue type</t>
  </si>
  <si>
    <t>Cell/ cell range</t>
  </si>
  <si>
    <t>Worksheet Name</t>
  </si>
  <si>
    <t>Proposed amendment</t>
  </si>
  <si>
    <t>Reasons</t>
  </si>
  <si>
    <t>Impact</t>
  </si>
  <si>
    <t>Corporate costs ($m)</t>
  </si>
  <si>
    <t>Corporate costs &amp; Non-Network Capital Costs</t>
  </si>
  <si>
    <t xml:space="preserve">MTC </t>
  </si>
  <si>
    <t>Call centre</t>
  </si>
  <si>
    <t xml:space="preserve">Figures in $17/18 from Forecast 5a2 escalated to base year 2020-21 </t>
  </si>
  <si>
    <t xml:space="preserve">Business </t>
  </si>
  <si>
    <t>ACS Ancillary revenue ($m)</t>
  </si>
  <si>
    <t>These revenue forecast are used to apportion the corporate costs and non-network capital costs to fee-based services</t>
  </si>
  <si>
    <t>Forecast quoted and fee-based</t>
  </si>
  <si>
    <t>Forecast revenue from quoted and fee based services de-escalated to 2020-21 as per the figures submitted as part of the RESET RIN (response to Sched 1 - ref 17.001)</t>
  </si>
  <si>
    <t>R69:S106</t>
  </si>
  <si>
    <t>Changed formula to apply Energex specific overhead rates</t>
  </si>
  <si>
    <t>Cells applied Ergon overhead rates</t>
  </si>
  <si>
    <t>Copy paste value</t>
  </si>
  <si>
    <t>ERG Service assumptions</t>
  </si>
  <si>
    <t>EGX Service assumption</t>
  </si>
  <si>
    <t>V341:AA342</t>
  </si>
  <si>
    <t>Copy paste values instead of formula</t>
  </si>
  <si>
    <t>Included formulae</t>
  </si>
  <si>
    <t>Prices of impacted services have gone down</t>
  </si>
  <si>
    <t>Allocation of Non-network capital costs</t>
  </si>
  <si>
    <t>Column AT</t>
  </si>
  <si>
    <t>Removed</t>
  </si>
  <si>
    <t>Costs allocated to direct costs as part of the overheads to more accurately demonstrate compliance with the fee-based formula in the F&amp;A</t>
  </si>
  <si>
    <t>No impact</t>
  </si>
  <si>
    <t>Non-network capital costs</t>
  </si>
  <si>
    <t>A40:J42</t>
  </si>
  <si>
    <t>Updated forecast revenue for ACS (quoted and fee-based)</t>
  </si>
  <si>
    <t>Alignment with RESET RIN figures (response to Sched 1 - ref 17.001)</t>
  </si>
  <si>
    <t>Percentages applied to fee-based services are more accurate</t>
  </si>
  <si>
    <t>Travel cost - Direct Cost 
(S)</t>
  </si>
  <si>
    <t>Cost to conduct job - Direct Cost
($)</t>
  </si>
  <si>
    <t>Travel cost - 
Direct Cost
(S)</t>
  </si>
  <si>
    <t>Travel cost - 
Direct cost
(S)</t>
  </si>
  <si>
    <t>Material costs - incl material - Direct cost
($)</t>
  </si>
  <si>
    <t>Reference error</t>
  </si>
  <si>
    <t>Material costs</t>
  </si>
  <si>
    <t>B1:I1</t>
  </si>
  <si>
    <t>Added -1 to the "Column" formula</t>
  </si>
  <si>
    <t>Lower material cost</t>
  </si>
  <si>
    <t>Traffic control Direct Cost
($)</t>
  </si>
  <si>
    <t>Traffic control Incl OH
($)</t>
  </si>
  <si>
    <t>Total Prices - Direct Costs 
($)</t>
  </si>
  <si>
    <t>Total Prices incl OC and OH  ($)</t>
  </si>
  <si>
    <t>Travel cost - 
Direct Cost 
(S)</t>
  </si>
  <si>
    <t>Travel cost - 
Direct Cost  
(S)</t>
  </si>
  <si>
    <t xml:space="preserve">Contract costs - Direct costs ($) </t>
  </si>
  <si>
    <t xml:space="preserve">Contractor Cost  - incl OH
($) </t>
  </si>
  <si>
    <t xml:space="preserve">Contractor cost - Direct cost ($) </t>
  </si>
  <si>
    <t xml:space="preserve">Contractor cost  - incl OH
($) </t>
  </si>
  <si>
    <t>Material costs - Direct cost
($)</t>
  </si>
  <si>
    <t>Resulted in the material costs for 2021-22 being selected in column AP of worksheets "ERG Service assumptions" and "EGX Service assumptions"</t>
  </si>
  <si>
    <t>Traffic control - Direct cost 
($)</t>
  </si>
  <si>
    <t>Traffic control - incl OH
($)</t>
  </si>
  <si>
    <t>Total Prices incl OC and OH ($)</t>
  </si>
  <si>
    <t>Total Prices - Direct cost ($)</t>
  </si>
  <si>
    <r>
      <t xml:space="preserve">This worksheet works out the price path for each fee-based service </t>
    </r>
    <r>
      <rPr>
        <b/>
        <sz val="11"/>
        <color theme="1"/>
        <rFont val="Calibri"/>
        <family val="2"/>
        <scheme val="minor"/>
      </rPr>
      <t>(inclusive of on-costs and overheads)</t>
    </r>
  </si>
  <si>
    <t>Quoted Service calc</t>
  </si>
  <si>
    <t>Changed formula to remove reference to Capital Allowance</t>
  </si>
  <si>
    <t>Alignment with the formula in Ergon Energy and Energex Framework and Approach</t>
  </si>
  <si>
    <t>Price = Labour + Contractor Services + Materials</t>
  </si>
  <si>
    <t>Travel cost - Direct cost 
(S)</t>
  </si>
  <si>
    <t>Selected examples</t>
  </si>
  <si>
    <t xml:space="preserve">Quoted services </t>
  </si>
  <si>
    <t>Travel cost - 
Direct cost  
(S)</t>
  </si>
  <si>
    <t>Cost to conduct job - Direct cost
($)</t>
  </si>
  <si>
    <t>Cost to conduct job - Direct cost 
($)</t>
  </si>
  <si>
    <t>Cost to conduct job -Direct cost 
($)</t>
  </si>
  <si>
    <t>Contractor</t>
  </si>
  <si>
    <t>Traffic control - incl OH 
($)</t>
  </si>
  <si>
    <t>This quoted service is presented here for illustrative purposes only and is using Ergon Energy's rates</t>
  </si>
  <si>
    <t>Total price incl. oncosts and overheads
($)</t>
  </si>
  <si>
    <t xml:space="preserve">Contractor -  Direct cost ($) </t>
  </si>
  <si>
    <t>2017-18</t>
  </si>
  <si>
    <t>Actual</t>
  </si>
  <si>
    <t>Schedule 8 under the Electricity Regulation 2006 (Qld)</t>
  </si>
  <si>
    <t>ERG Service assumptions and EGX Service assumptions</t>
  </si>
  <si>
    <t>Column AV</t>
  </si>
  <si>
    <t>Identifies services which might be subject to Schedule 8 -  please note that the Electricity Regulation 2006 (Qld) is currently under review by the Qld Govt and this initial assessment is indicative only and does not pre-empt the Qld Govt decisions</t>
  </si>
  <si>
    <t xml:space="preserve">Response to question 2a of AER's query IR014 </t>
  </si>
  <si>
    <t>Contractor/Internal resources</t>
  </si>
  <si>
    <t>Contractor/Internal labour split</t>
  </si>
  <si>
    <t>Internal resource 
(%)</t>
  </si>
  <si>
    <t>Contractor
 (%)</t>
  </si>
  <si>
    <t>Internal/Contractor costs - Direct costs ($)</t>
  </si>
  <si>
    <t>Internal/Contractor costs - incl OH ($)</t>
  </si>
  <si>
    <t>Traffic Control</t>
  </si>
  <si>
    <t>Columns AT:AW</t>
  </si>
  <si>
    <t>Applied weighted averages to the contractor costs and internal labour costs to represent the split in the use of these resources</t>
  </si>
  <si>
    <t xml:space="preserve">Response to question 4a of AER's query IR014 </t>
  </si>
  <si>
    <t>Lower prices</t>
  </si>
  <si>
    <t>Sched 8 prices</t>
  </si>
  <si>
    <t>D5</t>
  </si>
  <si>
    <t>Update CPI figure for 2019-20 from forecast to actual</t>
  </si>
  <si>
    <t>Update of CPI figure post submission of the regulatory proposal post 31 January 2019</t>
  </si>
  <si>
    <t>Lower CPI figure</t>
  </si>
  <si>
    <t xml:space="preserve">Response to question 2b of AER's query IR014 </t>
  </si>
  <si>
    <t>Provides Schedule 8 prices for the 2015-20 regulatory control period</t>
  </si>
  <si>
    <t>Formatting</t>
  </si>
  <si>
    <t>Better identify the cells with hardcoded data and those with formulae</t>
  </si>
  <si>
    <t>Changed hourly rate for "A request to make a change from one tariff to another tariff - No CT (after hours)" to recognise the service was conducted after hours</t>
  </si>
  <si>
    <t xml:space="preserve">ERG Service assumptions </t>
  </si>
  <si>
    <t xml:space="preserve">Cells AL419 and AL420 </t>
  </si>
  <si>
    <t>EGX Service assumptions</t>
  </si>
  <si>
    <t>Cell A173</t>
  </si>
  <si>
    <t>Changed contractor's hourly rate for "A request to make a change from one tariff to another tariff (Controlled Load)" to recognise the service was conducted after hours</t>
  </si>
  <si>
    <t>Increase in price</t>
  </si>
  <si>
    <t>Cell A177</t>
  </si>
  <si>
    <t>Rectify an inconsistency in the use of wrong contractor rate</t>
  </si>
  <si>
    <t>Omission of metering service permutations</t>
  </si>
  <si>
    <t>Added "A request to make a change from one tariff to another tariff (Controlled Load) - No CT (after hours)"</t>
  </si>
  <si>
    <t>Rectify omission</t>
  </si>
  <si>
    <t>A415:AZ416</t>
  </si>
  <si>
    <t>A419:AZ420</t>
  </si>
  <si>
    <t>Added "A request to make a change from one tariff to another tariff (Controlled Load) - CT Metering (after hours)"</t>
  </si>
  <si>
    <t>Call out fees</t>
  </si>
  <si>
    <t>Clarify that the charge only includes travel time</t>
  </si>
  <si>
    <t>F454:F460</t>
  </si>
  <si>
    <t xml:space="preserve">EGX Service assumptions </t>
  </si>
  <si>
    <t>F205:F210</t>
  </si>
  <si>
    <t>Reduce number of permutations</t>
  </si>
  <si>
    <t xml:space="preserve"> Remove customer at fault/third party fault distinction to  Crews attend site at the customers request and is unable to perform job due to customers fault/fault of a third party.  TECHNICAL. Wasted travel time and wasted time at customer's premises." and " Crews attend site at the customers request and is unable to perform job due to customers fault/fault of a third party.  NON TECHNICAL. Wasted travel time and wasted time at customer's premises."</t>
  </si>
  <si>
    <t>F343:F361</t>
  </si>
  <si>
    <t>F190:F198</t>
  </si>
  <si>
    <t>Column AX</t>
  </si>
  <si>
    <t>Removed the duplication of the corporate costs, revenue on Non-network capital costs, MTC &amp; Call Centre costs from the total price.</t>
  </si>
  <si>
    <t>Quoted services (total price)</t>
  </si>
  <si>
    <t>Labour (base rates)</t>
  </si>
  <si>
    <t>B32</t>
  </si>
  <si>
    <t>Response to question 9 of AER's query IR026</t>
  </si>
  <si>
    <t xml:space="preserve">Corrected table heading </t>
  </si>
  <si>
    <r>
      <t xml:space="preserve">Where Ergon Energy or Energex attends a premises to perform a service and is unable to do so due to no fault of our own, the labour costs will only incorporate the travel time and fleet on-cost.  In these instances, the labour component will be calculated by multiplying the standard labour rate (base with labour on-costs and overheads) for each employee position by their travel time.  These unit costs will then be totalled to derive an overall labour cost for the service. Where any part of the travel time occurs after business hours, the relevant overtime labour rates (base with labour on-costs and overheads) will apply to that portion.  The fleet on-cost is then applied.
Separate potential 'Call out fee - no service undertaken' prices have </t>
    </r>
    <r>
      <rPr>
        <u/>
        <sz val="10"/>
        <color theme="1"/>
        <rFont val="Arial"/>
        <family val="2"/>
      </rPr>
      <t>not</t>
    </r>
    <r>
      <rPr>
        <sz val="10"/>
        <color theme="1"/>
        <rFont val="Arial"/>
        <family val="2"/>
      </rPr>
      <t xml:space="preserve"> been calculated for each quoted service and will not be included in our external Price List. Customers will be informed as part of the quotation process that a call out fee (comprising the travel time labour costs (incl. fleet on-cost) may apply if we attend a premises and are unable to perform the service due to the customer's or retailer's fault.</t>
    </r>
  </si>
  <si>
    <t>ERG prices from EE_429</t>
  </si>
  <si>
    <t>Column AT and AU</t>
  </si>
  <si>
    <t>Reviewed and corrected the contractor/labour split based on the information in column AJ</t>
  </si>
  <si>
    <t>Response to question 8 of AER's query IR026 and correction of error</t>
  </si>
  <si>
    <t>Response to question 12 of AER's query IR026 and correction of error</t>
  </si>
  <si>
    <t>None for fee-based services</t>
  </si>
  <si>
    <t>Corrected formula reference error</t>
  </si>
  <si>
    <t>C15:Q15; C44:Q44; C57:Q57</t>
  </si>
  <si>
    <t>Changed EGX's and ERG's calculation of the Tech/PW/Admin labour rate</t>
  </si>
  <si>
    <t>Column G</t>
  </si>
  <si>
    <t>EGX_1</t>
  </si>
  <si>
    <t>EGX_2</t>
  </si>
  <si>
    <t>EGX_4</t>
  </si>
  <si>
    <t>EGX_5</t>
  </si>
  <si>
    <t>EGX_7</t>
  </si>
  <si>
    <t>EGX_8</t>
  </si>
  <si>
    <t>EGX_9</t>
  </si>
  <si>
    <t>EGX_10</t>
  </si>
  <si>
    <t>EGX_13</t>
  </si>
  <si>
    <t>EGX_15</t>
  </si>
  <si>
    <t>EGX_16</t>
  </si>
  <si>
    <t>EGX_17</t>
  </si>
  <si>
    <t>EGX_18</t>
  </si>
  <si>
    <t>EGX_19</t>
  </si>
  <si>
    <t>EGX_20</t>
  </si>
  <si>
    <t>EGX_21</t>
  </si>
  <si>
    <t>EGX_22</t>
  </si>
  <si>
    <t>EGX_23</t>
  </si>
  <si>
    <t>EGX_24</t>
  </si>
  <si>
    <t>EGX_25</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</si>
  <si>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</si>
  <si>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</si>
  <si>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</si>
  <si>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</si>
  <si>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</si>
  <si>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</si>
  <si>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</si>
  <si>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</si>
  <si>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</si>
  <si>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</si>
  <si>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</si>
  <si>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</si>
  <si>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</si>
  <si>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</si>
  <si>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</si>
  <si>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</si>
  <si>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</si>
  <si>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</si>
  <si>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EGX_46</t>
  </si>
  <si>
    <t>EGX_47</t>
  </si>
  <si>
    <t>EGX_48</t>
  </si>
  <si>
    <t>EGX_49</t>
  </si>
  <si>
    <t>EGX_50</t>
  </si>
  <si>
    <t>EGX_51</t>
  </si>
  <si>
    <t>EGX_52</t>
  </si>
  <si>
    <t>EGX_53</t>
  </si>
  <si>
    <t>EGX_58</t>
  </si>
  <si>
    <t>EGX_59</t>
  </si>
  <si>
    <t>EGX_61</t>
  </si>
  <si>
    <t>EGX_62</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</si>
  <si>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</si>
  <si>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</si>
  <si>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</si>
  <si>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</si>
  <si>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</si>
  <si>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</si>
  <si>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</si>
  <si>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</si>
  <si>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</si>
  <si>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</si>
  <si>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</si>
  <si>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</si>
  <si>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</si>
  <si>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</si>
  <si>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</si>
  <si>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</si>
  <si>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</si>
  <si>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</si>
  <si>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EGX_102</t>
  </si>
  <si>
    <t>EGX_103</t>
  </si>
  <si>
    <t>EGX_104</t>
  </si>
  <si>
    <t>EGX_105</t>
  </si>
  <si>
    <t>EGX_106</t>
  </si>
  <si>
    <t>EGX_107</t>
  </si>
  <si>
    <t>EGX_108</t>
  </si>
  <si>
    <t>EGX_109</t>
  </si>
  <si>
    <t>EGX_114</t>
  </si>
  <si>
    <t>EGX_115</t>
  </si>
  <si>
    <t>EGX_116</t>
  </si>
  <si>
    <t>EGX_117</t>
  </si>
  <si>
    <t>EGX_118</t>
  </si>
  <si>
    <t>EGX_119</t>
  </si>
  <si>
    <t>EGX_120</t>
  </si>
  <si>
    <t>EGX_121</t>
  </si>
  <si>
    <t>EGX_126</t>
  </si>
  <si>
    <t>EGX_127</t>
  </si>
  <si>
    <t>EGX_128</t>
  </si>
  <si>
    <t>EGX_129</t>
  </si>
  <si>
    <t>EGX_132</t>
  </si>
  <si>
    <t>EGX_133</t>
  </si>
  <si>
    <t>EGX_134</t>
  </si>
  <si>
    <t>EGX_135</t>
  </si>
  <si>
    <t>EGX_138</t>
  </si>
  <si>
    <t>EGX_139</t>
  </si>
  <si>
    <t>EGX_140</t>
  </si>
  <si>
    <t>EGX_141</t>
  </si>
  <si>
    <t>EGX_144</t>
  </si>
  <si>
    <t>EGX_145</t>
  </si>
  <si>
    <t>EGX_146</t>
  </si>
  <si>
    <t>EGX_147</t>
  </si>
  <si>
    <t>EGX_150</t>
  </si>
  <si>
    <t>EGX_151</t>
  </si>
  <si>
    <t>EGX_153</t>
  </si>
  <si>
    <t>EGX_154</t>
  </si>
  <si>
    <t>EGX_155</t>
  </si>
  <si>
    <t>EGX_156</t>
  </si>
  <si>
    <t>EGX_157</t>
  </si>
  <si>
    <t>EGX_158</t>
  </si>
  <si>
    <t>EGX_159</t>
  </si>
  <si>
    <t>EGX_160</t>
  </si>
  <si>
    <t>EGX_161</t>
  </si>
  <si>
    <t>EGX_162</t>
  </si>
  <si>
    <t>EGX_163</t>
  </si>
  <si>
    <t>EGX_164</t>
  </si>
  <si>
    <t>EGX_165</t>
  </si>
  <si>
    <t>EGX_166</t>
  </si>
  <si>
    <t>EGX_167</t>
  </si>
  <si>
    <t>EGX_168</t>
  </si>
  <si>
    <t>EGX_169</t>
  </si>
  <si>
    <t>EGX_170</t>
  </si>
  <si>
    <t>EGX_171</t>
  </si>
  <si>
    <t>EGX_172</t>
  </si>
  <si>
    <t>EGX_173</t>
  </si>
  <si>
    <t>EGX_174</t>
  </si>
  <si>
    <t>EGX_175</t>
  </si>
  <si>
    <t>EGX_176</t>
  </si>
  <si>
    <t>EGX_177</t>
  </si>
  <si>
    <t>EGX_178</t>
  </si>
  <si>
    <t>EGX_179</t>
  </si>
  <si>
    <t>EGX_180</t>
  </si>
  <si>
    <t>EGX_181</t>
  </si>
  <si>
    <t>EGX_182</t>
  </si>
  <si>
    <t>EGX_183</t>
  </si>
  <si>
    <t>EGX_184</t>
  </si>
  <si>
    <t>EGX_185</t>
  </si>
  <si>
    <t>EGX_186</t>
  </si>
  <si>
    <t>EGX_187</t>
  </si>
  <si>
    <t>EGX_188</t>
  </si>
  <si>
    <t>EGX_191</t>
  </si>
  <si>
    <t>EGX_192</t>
  </si>
  <si>
    <t>Supply abolishment service assumptions</t>
  </si>
  <si>
    <t>Travel time is not required to be added to this service as the service is always performed in addition to another services which already includes travel costs</t>
  </si>
  <si>
    <t>Remove the travel time/cost from the "Meter only" supply abolishment permutation</t>
  </si>
  <si>
    <t>Minor change in service description</t>
  </si>
  <si>
    <t>Column F</t>
  </si>
  <si>
    <t xml:space="preserve">Simplification in service permutations to improve alignment with regulatory requirements </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</si>
  <si>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</si>
  <si>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</si>
  <si>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</si>
  <si>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</si>
  <si>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</si>
  <si>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</si>
  <si>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Supply abolishment 'Meter Only'  services permutation changed from 'per meter' to 'per NMI' and 'underground' and 'overhead' service permutation combined</t>
  </si>
  <si>
    <t>Clarify the service permutation and reduce duplication</t>
  </si>
  <si>
    <t>Updated Service ref</t>
  </si>
  <si>
    <t>EE_1</t>
  </si>
  <si>
    <t>EE_2</t>
  </si>
  <si>
    <t>EE_3</t>
  </si>
  <si>
    <t>EE_4</t>
  </si>
  <si>
    <t>EE_7</t>
  </si>
  <si>
    <t>EE_8</t>
  </si>
  <si>
    <t>EE_9</t>
  </si>
  <si>
    <t>EE_10</t>
  </si>
  <si>
    <t>EE_13</t>
  </si>
  <si>
    <t>EE_14</t>
  </si>
  <si>
    <t>EE_15</t>
  </si>
  <si>
    <t>EE_16</t>
  </si>
  <si>
    <t>EE_17</t>
  </si>
  <si>
    <t>EE_18</t>
  </si>
  <si>
    <t>EE_19</t>
  </si>
  <si>
    <t>EE_20</t>
  </si>
  <si>
    <t>EE_25</t>
  </si>
  <si>
    <t>EE_26</t>
  </si>
  <si>
    <t>EE_29</t>
  </si>
  <si>
    <t>EE_30</t>
  </si>
  <si>
    <t>EE_31</t>
  </si>
  <si>
    <t>EE_32</t>
  </si>
  <si>
    <t>EE_33</t>
  </si>
  <si>
    <t>EE_34</t>
  </si>
  <si>
    <t>EE_36</t>
  </si>
  <si>
    <t>EE_37</t>
  </si>
  <si>
    <t>EE_39</t>
  </si>
  <si>
    <t>EE_40</t>
  </si>
  <si>
    <t>EE_41</t>
  </si>
  <si>
    <t>EE_42</t>
  </si>
  <si>
    <t>EE_43</t>
  </si>
  <si>
    <t>EE_44</t>
  </si>
  <si>
    <t>EE_45</t>
  </si>
  <si>
    <t>EE_47</t>
  </si>
  <si>
    <t>EE_48</t>
  </si>
  <si>
    <t>EE_49</t>
  </si>
  <si>
    <t>EE_51</t>
  </si>
  <si>
    <t>EE_52</t>
  </si>
  <si>
    <t>EE_53</t>
  </si>
  <si>
    <t>EE_54</t>
  </si>
  <si>
    <t>EE_55</t>
  </si>
  <si>
    <t>EE_57</t>
  </si>
  <si>
    <t>EE_58</t>
  </si>
  <si>
    <t>EE_59</t>
  </si>
  <si>
    <t>EE_60</t>
  </si>
  <si>
    <t>EE_61</t>
  </si>
  <si>
    <t>EE_63</t>
  </si>
  <si>
    <t>EE_64</t>
  </si>
  <si>
    <t>EE_65</t>
  </si>
  <si>
    <t>EE_66</t>
  </si>
  <si>
    <t>EE_67</t>
  </si>
  <si>
    <t>EE_68</t>
  </si>
  <si>
    <t>EE_69</t>
  </si>
  <si>
    <t>EE_70</t>
  </si>
  <si>
    <t>EE_71</t>
  </si>
  <si>
    <t>EE_72</t>
  </si>
  <si>
    <t>EE_73</t>
  </si>
  <si>
    <t>EE_74</t>
  </si>
  <si>
    <t>EE_75</t>
  </si>
  <si>
    <t>EE_77</t>
  </si>
  <si>
    <t>EE_79</t>
  </si>
  <si>
    <t>EE_80</t>
  </si>
  <si>
    <t>EE_81</t>
  </si>
  <si>
    <t>EE_82</t>
  </si>
  <si>
    <t>EE_83</t>
  </si>
  <si>
    <t>EE_85</t>
  </si>
  <si>
    <t>EE_86</t>
  </si>
  <si>
    <t>EE_87</t>
  </si>
  <si>
    <t>EE_88</t>
  </si>
  <si>
    <t>EE_89</t>
  </si>
  <si>
    <t>EE_91</t>
  </si>
  <si>
    <t>EE_92</t>
  </si>
  <si>
    <t>EE_93</t>
  </si>
  <si>
    <t>EE_94</t>
  </si>
  <si>
    <t>EE_95</t>
  </si>
  <si>
    <t>EE_96</t>
  </si>
  <si>
    <t>EE_97</t>
  </si>
  <si>
    <t>EE_98</t>
  </si>
  <si>
    <t>EE_99</t>
  </si>
  <si>
    <t>EE_100</t>
  </si>
  <si>
    <t>EE_103</t>
  </si>
  <si>
    <t>EE_104</t>
  </si>
  <si>
    <t>EE_105</t>
  </si>
  <si>
    <t>EE_106</t>
  </si>
  <si>
    <t>EE_107</t>
  </si>
  <si>
    <t>EE_108</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</si>
  <si>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</si>
  <si>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</si>
  <si>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</si>
  <si>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</si>
  <si>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</si>
  <si>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</si>
  <si>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</si>
  <si>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</si>
  <si>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</si>
  <si>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</si>
  <si>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</si>
  <si>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</si>
  <si>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</si>
  <si>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</si>
  <si>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</si>
  <si>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</si>
  <si>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</si>
  <si>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</si>
  <si>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</si>
  <si>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</si>
  <si>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</si>
  <si>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</si>
  <si>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</si>
  <si>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EE_134</t>
  </si>
  <si>
    <t>EE_135</t>
  </si>
  <si>
    <t>EE_136</t>
  </si>
  <si>
    <t>EE_137</t>
  </si>
  <si>
    <t>EE_140</t>
  </si>
  <si>
    <t>EE_141</t>
  </si>
  <si>
    <t>EE_142</t>
  </si>
  <si>
    <t>EE_143</t>
  </si>
  <si>
    <t>EE_144</t>
  </si>
  <si>
    <t>EE_145</t>
  </si>
  <si>
    <t>EE_146</t>
  </si>
  <si>
    <t>EE_147</t>
  </si>
  <si>
    <t>EE_148</t>
  </si>
  <si>
    <t>EE_149</t>
  </si>
  <si>
    <t>EE_150</t>
  </si>
  <si>
    <t>EE_151</t>
  </si>
  <si>
    <t>EE_152</t>
  </si>
  <si>
    <t>EE_153</t>
  </si>
  <si>
    <t>EE_154</t>
  </si>
  <si>
    <t>EE_155</t>
  </si>
  <si>
    <t>EE_156</t>
  </si>
  <si>
    <t>EE_158</t>
  </si>
  <si>
    <t>EE_160</t>
  </si>
  <si>
    <t>EE_162</t>
  </si>
  <si>
    <t>EE_164</t>
  </si>
  <si>
    <t>EE_165</t>
  </si>
  <si>
    <t>EE_166</t>
  </si>
  <si>
    <t>EE_167</t>
  </si>
  <si>
    <t>EE_168</t>
  </si>
  <si>
    <t>EE_169</t>
  </si>
  <si>
    <t>EE_170</t>
  </si>
  <si>
    <t>EE_171</t>
  </si>
  <si>
    <t>EE_172</t>
  </si>
  <si>
    <t>EE_174</t>
  </si>
  <si>
    <t>EE_212</t>
  </si>
  <si>
    <t>EE_213</t>
  </si>
  <si>
    <t>EE_214</t>
  </si>
  <si>
    <t>EE_215</t>
  </si>
  <si>
    <t>EE_216</t>
  </si>
  <si>
    <t>EE_217</t>
  </si>
  <si>
    <t>EE_218</t>
  </si>
  <si>
    <t>EE_219</t>
  </si>
  <si>
    <t>EE_220</t>
  </si>
  <si>
    <t>EE_221</t>
  </si>
  <si>
    <t>EE_222</t>
  </si>
  <si>
    <t>EE_223</t>
  </si>
  <si>
    <t>EE_224</t>
  </si>
  <si>
    <t>EE_225</t>
  </si>
  <si>
    <t>EE_226</t>
  </si>
  <si>
    <t>EE_227</t>
  </si>
  <si>
    <t>EE_236</t>
  </si>
  <si>
    <t>EE_237</t>
  </si>
  <si>
    <t>EE_238</t>
  </si>
  <si>
    <t>EE_239</t>
  </si>
  <si>
    <t>EE_240</t>
  </si>
  <si>
    <t>EE_241</t>
  </si>
  <si>
    <t>EE_242</t>
  </si>
  <si>
    <t>EE_243</t>
  </si>
  <si>
    <t>EE_244</t>
  </si>
  <si>
    <t>EE_245</t>
  </si>
  <si>
    <t>EE_246</t>
  </si>
  <si>
    <t>EE_247</t>
  </si>
  <si>
    <t>EE_248</t>
  </si>
  <si>
    <t>EE_249</t>
  </si>
  <si>
    <t>EE_250</t>
  </si>
  <si>
    <t>EE_251</t>
  </si>
  <si>
    <t>EE_260</t>
  </si>
  <si>
    <t>EE_261</t>
  </si>
  <si>
    <t>EE_262</t>
  </si>
  <si>
    <t>EE_263</t>
  </si>
  <si>
    <t>EE_264</t>
  </si>
  <si>
    <t>EE_265</t>
  </si>
  <si>
    <t>EE_266</t>
  </si>
  <si>
    <t>EE_267</t>
  </si>
  <si>
    <t>EE_272</t>
  </si>
  <si>
    <t>EE_273</t>
  </si>
  <si>
    <t>EE_274</t>
  </si>
  <si>
    <t>EE_275</t>
  </si>
  <si>
    <t>EE_276</t>
  </si>
  <si>
    <t>EE_277</t>
  </si>
  <si>
    <t>EE_278</t>
  </si>
  <si>
    <t>EE_279</t>
  </si>
  <si>
    <t>EE_284</t>
  </si>
  <si>
    <t>EE_285</t>
  </si>
  <si>
    <t>EE_286</t>
  </si>
  <si>
    <t>EE_287</t>
  </si>
  <si>
    <t>EE_288</t>
  </si>
  <si>
    <t>EE_289</t>
  </si>
  <si>
    <t>EE_290</t>
  </si>
  <si>
    <t>EE_291</t>
  </si>
  <si>
    <t>EE_296</t>
  </si>
  <si>
    <t>EE_297</t>
  </si>
  <si>
    <t>EE_298</t>
  </si>
  <si>
    <t>EE_299</t>
  </si>
  <si>
    <t>EE_300</t>
  </si>
  <si>
    <t>EE_301</t>
  </si>
  <si>
    <t>EE_302</t>
  </si>
  <si>
    <t>EE_303</t>
  </si>
  <si>
    <t>EE_308</t>
  </si>
  <si>
    <t>EE_309</t>
  </si>
  <si>
    <t>EE_310</t>
  </si>
  <si>
    <t>EE_311</t>
  </si>
  <si>
    <t>EE_312</t>
  </si>
  <si>
    <t>EE_313</t>
  </si>
  <si>
    <t>EE_314</t>
  </si>
  <si>
    <t>EE_315</t>
  </si>
  <si>
    <t>EE_316</t>
  </si>
  <si>
    <t>EE_317</t>
  </si>
  <si>
    <t>EE_318</t>
  </si>
  <si>
    <t>EE_319</t>
  </si>
  <si>
    <t>EE_320</t>
  </si>
  <si>
    <t>EE_321</t>
  </si>
  <si>
    <t>EE_322</t>
  </si>
  <si>
    <t>EE_323</t>
  </si>
  <si>
    <t>EE_332</t>
  </si>
  <si>
    <t>EE_333</t>
  </si>
  <si>
    <t>EE_334</t>
  </si>
  <si>
    <t>EE_335</t>
  </si>
  <si>
    <t>EE_338</t>
  </si>
  <si>
    <t>EE_339</t>
  </si>
  <si>
    <t>EE_340</t>
  </si>
  <si>
    <t>EE_341</t>
  </si>
  <si>
    <t>EE_342</t>
  </si>
  <si>
    <t>EE_343</t>
  </si>
  <si>
    <t>EE_344</t>
  </si>
  <si>
    <t>EE_345</t>
  </si>
  <si>
    <t>EE_351</t>
  </si>
  <si>
    <t>EE_352</t>
  </si>
  <si>
    <t>EE_353</t>
  </si>
  <si>
    <t>EE_354</t>
  </si>
  <si>
    <t>EE_357</t>
  </si>
  <si>
    <t>EE_358</t>
  </si>
  <si>
    <t>EE_359</t>
  </si>
  <si>
    <t>EE_360</t>
  </si>
  <si>
    <t>EE_361</t>
  </si>
  <si>
    <t>EE_362</t>
  </si>
  <si>
    <t>EE_363</t>
  </si>
  <si>
    <t>EE_364</t>
  </si>
  <si>
    <t>EE_365</t>
  </si>
  <si>
    <t>EE_366</t>
  </si>
  <si>
    <t>EE_367</t>
  </si>
  <si>
    <t>EE_368</t>
  </si>
  <si>
    <t>EE_369</t>
  </si>
  <si>
    <t>EE_370</t>
  </si>
  <si>
    <t>EE_371</t>
  </si>
  <si>
    <t>EE_372</t>
  </si>
  <si>
    <t>EE_373</t>
  </si>
  <si>
    <t>EE_374</t>
  </si>
  <si>
    <t>EE_375</t>
  </si>
  <si>
    <t>EE_376</t>
  </si>
  <si>
    <t>EE_377</t>
  </si>
  <si>
    <t>EE_378</t>
  </si>
  <si>
    <t>EE_379</t>
  </si>
  <si>
    <t>EE_380</t>
  </si>
  <si>
    <t>EE_385</t>
  </si>
  <si>
    <t>EE_386</t>
  </si>
  <si>
    <t>EE_387</t>
  </si>
  <si>
    <t>EE_388</t>
  </si>
  <si>
    <t>EE_389</t>
  </si>
  <si>
    <t>EE_390</t>
  </si>
  <si>
    <t>EE_391</t>
  </si>
  <si>
    <t>EE_392</t>
  </si>
  <si>
    <t>EE_393</t>
  </si>
  <si>
    <t>EE_394</t>
  </si>
  <si>
    <t>EE_395</t>
  </si>
  <si>
    <t>EE_396</t>
  </si>
  <si>
    <t>EE_401</t>
  </si>
  <si>
    <t>EE_402</t>
  </si>
  <si>
    <t>EE_403</t>
  </si>
  <si>
    <t>EE_404</t>
  </si>
  <si>
    <t>EE_409</t>
  </si>
  <si>
    <t>EE_410</t>
  </si>
  <si>
    <t>EE_411</t>
  </si>
  <si>
    <t>EE_412</t>
  </si>
  <si>
    <t>EE_413</t>
  </si>
  <si>
    <t>EE_414</t>
  </si>
  <si>
    <t>EE_415</t>
  </si>
  <si>
    <t>EE_416</t>
  </si>
  <si>
    <t>EE_421</t>
  </si>
  <si>
    <t>EE_422</t>
  </si>
  <si>
    <t>EE_423</t>
  </si>
  <si>
    <t>EE_424</t>
  </si>
  <si>
    <t>EE_429</t>
  </si>
  <si>
    <t>EE_430</t>
  </si>
  <si>
    <t>EE_431</t>
  </si>
  <si>
    <t>EE_432</t>
  </si>
  <si>
    <t>EE_433</t>
  </si>
  <si>
    <t>EE_434</t>
  </si>
  <si>
    <t>EE_435</t>
  </si>
  <si>
    <t>EE_436</t>
  </si>
  <si>
    <t>EE_437</t>
  </si>
  <si>
    <t>EE_438</t>
  </si>
  <si>
    <t>EE_439</t>
  </si>
  <si>
    <t>EE_440</t>
  </si>
  <si>
    <t>EE_441</t>
  </si>
  <si>
    <t>EE_442</t>
  </si>
  <si>
    <t>EE_443</t>
  </si>
  <si>
    <t>EE_444</t>
  </si>
  <si>
    <t>EGX Service assumptions &amp; ERG Service assumptions</t>
  </si>
  <si>
    <t>Corrected error</t>
  </si>
  <si>
    <t>Changed the 'tine on job' for Supply enhancement Underground services from 2hours to 1hour</t>
  </si>
  <si>
    <t>Removal of 'anytime' option for some services</t>
  </si>
  <si>
    <t>Minor correction of assumptions (time on job)</t>
  </si>
  <si>
    <t>Column N and V</t>
  </si>
  <si>
    <t xml:space="preserve">Removal of 'anytime' option for supply abolishment for long rural feeders </t>
  </si>
  <si>
    <t>All columns relating to the affected service</t>
  </si>
  <si>
    <t xml:space="preserve">Labour rates for Non-technical call out fees </t>
  </si>
  <si>
    <t>Reflect the fact that the non technical call out option mainly relates to the meter reading service which is mainly undertaken by contractors</t>
  </si>
  <si>
    <t>Range for Ergon: AT245:AW246;
Range for Energex AT146:AW146</t>
  </si>
  <si>
    <t xml:space="preserve">Changes to the following call out fee: "Crews attend site at the customers request and is unable to perform job due to customers fault/fault of a third party.  NON TECHNICAL. Wasted travel time and wasted time at customer's premises (Business Hours)".  Change labour classification from Technical Service Person to Contractor   </t>
  </si>
  <si>
    <t>Removal of After Hours call out service</t>
  </si>
  <si>
    <t>Ergon: Rows 247 and 248</t>
  </si>
  <si>
    <t>The contractor costs for the after hours call out options for "Crews attend site at the customers request and is unable to perform job due to customers fault/fault of a third party.  NON TECHNICAL. Wasted travel time and wasted time at customer's premises" is estimated by adding a 30% premium</t>
  </si>
  <si>
    <t>Recognises that contractor costs are higher after hours</t>
  </si>
  <si>
    <t>Minor change in Meter reading contractor rates</t>
  </si>
  <si>
    <t xml:space="preserve">Ergon: Row 319 and 302;
Energex: Row 139 </t>
  </si>
  <si>
    <t>Reflect the fact the meter reading contractor costs are the same for both retailer initiated and customer initiated service</t>
  </si>
  <si>
    <t>NEW</t>
  </si>
  <si>
    <t>Addition of a new meter reading service</t>
  </si>
  <si>
    <t>Addition of a new meter reading service permutation 'Special meter reading including final read, transfer read and estimated read. Retailer or customer requested'</t>
  </si>
  <si>
    <t>To ensure all meter reading service permutations are captured</t>
  </si>
  <si>
    <t>Ergon: Row 321 and 322
Energex: Row 140</t>
  </si>
  <si>
    <t>Changes made for the Revised TSS submission in December 2019</t>
  </si>
  <si>
    <t>Clarify that the charge includes travel time and time on job when the crew spends more than 15 minutes on the site trying to find a solution</t>
  </si>
  <si>
    <t>Lower charges</t>
  </si>
  <si>
    <t>Incremental</t>
  </si>
  <si>
    <t>No change in charges</t>
  </si>
  <si>
    <t>F110:F111</t>
  </si>
  <si>
    <t xml:space="preserve">It is proposed that the full after hour labour costs (not just the incremental costs) be included in the charge.  We no longer propose to  the removal costs from through the Metering Services Charge.  </t>
  </si>
  <si>
    <t xml:space="preserve">It is proposed that the full after hour labour costs (not just the incremental costs) be included in the charge.  We no longer propose to  recover the removal costs through the Metering Services Charge. This is in line with Ergon Energy </t>
  </si>
  <si>
    <t>F265:F268</t>
  </si>
  <si>
    <t>EGX_110</t>
  </si>
  <si>
    <t>EGX_111</t>
  </si>
  <si>
    <t>EGX_112</t>
  </si>
  <si>
    <t>EGX_113</t>
  </si>
  <si>
    <t>EGX_122</t>
  </si>
  <si>
    <t>EGX_123</t>
  </si>
  <si>
    <t>EGX_124</t>
  </si>
  <si>
    <t>EGX_125</t>
  </si>
  <si>
    <t>EGX_130</t>
  </si>
  <si>
    <t>EGX_131</t>
  </si>
  <si>
    <t>EGX_136</t>
  </si>
  <si>
    <t>EGX_137</t>
  </si>
  <si>
    <t>EGX_142</t>
  </si>
  <si>
    <t>EGX_143</t>
  </si>
  <si>
    <t>EGX_3</t>
  </si>
  <si>
    <t>EGX_6</t>
  </si>
  <si>
    <t>EGX_11</t>
  </si>
  <si>
    <t>EGX_14</t>
  </si>
  <si>
    <t>EGX_45</t>
  </si>
  <si>
    <t>EGX_54</t>
  </si>
  <si>
    <t>EGX_55</t>
  </si>
  <si>
    <t>EGX_56</t>
  </si>
  <si>
    <t>EGX_57</t>
  </si>
  <si>
    <t>EGX_60</t>
  </si>
  <si>
    <t>EGX_63</t>
  </si>
  <si>
    <t>EGX_82</t>
  </si>
  <si>
    <t>EGX_83</t>
  </si>
  <si>
    <t>EGX_84</t>
  </si>
  <si>
    <t>EGX_85</t>
  </si>
  <si>
    <t>EGX_86</t>
  </si>
  <si>
    <t>EGX_87</t>
  </si>
  <si>
    <t>EGX_88</t>
  </si>
  <si>
    <t>EGX_89</t>
  </si>
  <si>
    <t>EGX_90</t>
  </si>
  <si>
    <t>EGX_91</t>
  </si>
  <si>
    <t>EGX_92</t>
  </si>
  <si>
    <t>EGX_93</t>
  </si>
  <si>
    <t>EGX_94</t>
  </si>
  <si>
    <t>EGX_95</t>
  </si>
  <si>
    <t>EGX_96</t>
  </si>
  <si>
    <t>EGX_97</t>
  </si>
  <si>
    <t>EGX_98</t>
  </si>
  <si>
    <t>EGX_99</t>
  </si>
  <si>
    <t>EGX_100</t>
  </si>
  <si>
    <t>EGX_101</t>
  </si>
  <si>
    <t>EGX_105a</t>
  </si>
  <si>
    <t>EGX_106a</t>
  </si>
  <si>
    <t>EE_5</t>
  </si>
  <si>
    <t>EE_6</t>
  </si>
  <si>
    <t>EE_11</t>
  </si>
  <si>
    <t>EE_12</t>
  </si>
  <si>
    <t>EE_21</t>
  </si>
  <si>
    <t>EE_22</t>
  </si>
  <si>
    <t>EE_27</t>
  </si>
  <si>
    <t>EE_28</t>
  </si>
  <si>
    <t>EE_35</t>
  </si>
  <si>
    <t>EE_38</t>
  </si>
  <si>
    <t>EE_50</t>
  </si>
  <si>
    <t>EE_56</t>
  </si>
  <si>
    <t>EE_62</t>
  </si>
  <si>
    <t>EE_76</t>
  </si>
  <si>
    <t>EE_78</t>
  </si>
  <si>
    <t>EE_90</t>
  </si>
  <si>
    <t>EE_132</t>
  </si>
  <si>
    <t>EE_133</t>
  </si>
  <si>
    <t>EE_138</t>
  </si>
  <si>
    <t>EE_139</t>
  </si>
  <si>
    <t>EE_157</t>
  </si>
  <si>
    <t>EE_159</t>
  </si>
  <si>
    <t>EE_161</t>
  </si>
  <si>
    <t>EE_163</t>
  </si>
  <si>
    <t>EE_173</t>
  </si>
  <si>
    <t>EE_175</t>
  </si>
  <si>
    <t>EE_176</t>
  </si>
  <si>
    <t>EE_177</t>
  </si>
  <si>
    <t>EE_178</t>
  </si>
  <si>
    <t>EE_179</t>
  </si>
  <si>
    <t>EE_180</t>
  </si>
  <si>
    <t>EE_181</t>
  </si>
  <si>
    <t>EE_182</t>
  </si>
  <si>
    <t>EE_183</t>
  </si>
  <si>
    <t>EE_184</t>
  </si>
  <si>
    <t>EE_185</t>
  </si>
  <si>
    <t>EE_186</t>
  </si>
  <si>
    <t>EE_187</t>
  </si>
  <si>
    <t>EE_188</t>
  </si>
  <si>
    <t>EE_189</t>
  </si>
  <si>
    <t>EE_190</t>
  </si>
  <si>
    <t>EE_191</t>
  </si>
  <si>
    <t>EE_192</t>
  </si>
  <si>
    <t>EE_193</t>
  </si>
  <si>
    <t>EE_194</t>
  </si>
  <si>
    <t>EE_195</t>
  </si>
  <si>
    <t>EE_196</t>
  </si>
  <si>
    <t>EE_197</t>
  </si>
  <si>
    <t>EE_198</t>
  </si>
  <si>
    <t>EE_199</t>
  </si>
  <si>
    <t>EE_200</t>
  </si>
  <si>
    <t>EE_201</t>
  </si>
  <si>
    <t>EE_202</t>
  </si>
  <si>
    <t>EE_203</t>
  </si>
  <si>
    <t>EE_204</t>
  </si>
  <si>
    <t>EE_205</t>
  </si>
  <si>
    <t>EE_206</t>
  </si>
  <si>
    <t>EE_207</t>
  </si>
  <si>
    <t>EE_208</t>
  </si>
  <si>
    <t>EE_209</t>
  </si>
  <si>
    <t>EE_210</t>
  </si>
  <si>
    <t>EE_211</t>
  </si>
  <si>
    <t>EE_228</t>
  </si>
  <si>
    <t>EE_229</t>
  </si>
  <si>
    <t>EE_230</t>
  </si>
  <si>
    <t>EE_231</t>
  </si>
  <si>
    <t>EE_232</t>
  </si>
  <si>
    <t>EE_233</t>
  </si>
  <si>
    <t>EE_234</t>
  </si>
  <si>
    <t>EE_235</t>
  </si>
  <si>
    <t>EE_252</t>
  </si>
  <si>
    <t>EE_253</t>
  </si>
  <si>
    <t>EE_254</t>
  </si>
  <si>
    <t>EE_255</t>
  </si>
  <si>
    <t>EE_256</t>
  </si>
  <si>
    <t>EE_257</t>
  </si>
  <si>
    <t>EE_258</t>
  </si>
  <si>
    <t>EE_259</t>
  </si>
  <si>
    <t>EE_268</t>
  </si>
  <si>
    <t>EE_269</t>
  </si>
  <si>
    <t>EE_270</t>
  </si>
  <si>
    <t>EE_271</t>
  </si>
  <si>
    <t>EE_280</t>
  </si>
  <si>
    <t>EE_281</t>
  </si>
  <si>
    <t>EE_282</t>
  </si>
  <si>
    <t>EE_283</t>
  </si>
  <si>
    <t>EE_292</t>
  </si>
  <si>
    <t>EE_293</t>
  </si>
  <si>
    <t>EE_294</t>
  </si>
  <si>
    <t>EE_295</t>
  </si>
  <si>
    <t>EE_304</t>
  </si>
  <si>
    <t>EE_305</t>
  </si>
  <si>
    <t>EE_306</t>
  </si>
  <si>
    <t>EE_307</t>
  </si>
  <si>
    <t>Removal of Meter</t>
  </si>
  <si>
    <t>EE_260a</t>
  </si>
  <si>
    <t>EE_261a</t>
  </si>
  <si>
    <t>EE_262a</t>
  </si>
  <si>
    <t>EE_263a</t>
  </si>
  <si>
    <t>Changed the service description to remove reference to the "incremental labour cost" (difference between Business Hours and After Hours being included in the charge)</t>
  </si>
  <si>
    <t>Service Reference</t>
  </si>
  <si>
    <t>Date</t>
  </si>
  <si>
    <t>Inconsistency addressed where time on site time was included in the service assumptions</t>
  </si>
  <si>
    <t>Material costs - incl OC &amp; OH 
($)</t>
  </si>
  <si>
    <t>N151:N154</t>
  </si>
  <si>
    <t>EGX_144 to EGX_147</t>
  </si>
  <si>
    <t>EGX_105a and EGX_106a</t>
  </si>
  <si>
    <t>EE260a; EE261a; EE262a; EE263a</t>
  </si>
  <si>
    <t>Added permutation to include meter removal during business hours</t>
  </si>
  <si>
    <t>Service cost no longer included in the Metering Services Charge</t>
  </si>
  <si>
    <t>N/A</t>
  </si>
  <si>
    <t>EGX105; EGX_106</t>
  </si>
  <si>
    <t>Row 111:112</t>
  </si>
  <si>
    <t>Row: 269:272</t>
  </si>
  <si>
    <t>EE260 to EE263</t>
  </si>
  <si>
    <t xml:space="preserve">Removal of non-network overheads from material costs
</t>
  </si>
  <si>
    <t>Colum AQ</t>
  </si>
  <si>
    <t>Correcting an inconsistency in the application of non-network overhead costs</t>
  </si>
  <si>
    <t>Correcting inconsistency</t>
  </si>
  <si>
    <t xml:space="preserve"> </t>
  </si>
  <si>
    <t xml:space="preserve">Energex </t>
  </si>
  <si>
    <t>Material costs (stock) - incl of on-costs</t>
  </si>
  <si>
    <t xml:space="preserve">Application of material cost escalators </t>
  </si>
  <si>
    <t>Maybe lower due lower forecast material escalation rates</t>
  </si>
  <si>
    <t>D3:I7; D25:I29</t>
  </si>
  <si>
    <t>Application of contractor cost escalators</t>
  </si>
  <si>
    <t>Escalation rates applied to materials in 'material costs' tabs do not correctly link to actual inflation for 2019-20, and forecast inflation for 2020-21</t>
  </si>
  <si>
    <t xml:space="preserve">Escalation rates specific to Energex and Ergon Energy  need to be applied to contractors </t>
  </si>
  <si>
    <t>No change given that the escalation rates are the same for Energex and Ergon Energy</t>
  </si>
  <si>
    <t>B5:E10; B16:E21</t>
  </si>
  <si>
    <t>Correcting inconsistency noted by the AER</t>
  </si>
  <si>
    <t>Service type</t>
  </si>
  <si>
    <t>Permutation</t>
  </si>
  <si>
    <t>Workings based on procurement figures</t>
  </si>
  <si>
    <t>Labour (incl on-cost and overheads)</t>
  </si>
  <si>
    <t>CPI (AER)</t>
  </si>
  <si>
    <t>Actual CPI for 2018-19 and estimated AER approved CPI figures thereafter</t>
  </si>
  <si>
    <t>These costs are allocated to each individual fee-based service (approved by AER)</t>
  </si>
  <si>
    <t>Number of crews</t>
  </si>
  <si>
    <t>Reduce from 2 crews to 1 crew</t>
  </si>
  <si>
    <t>Reduction in price</t>
  </si>
  <si>
    <t>EGX_41, EGX_42</t>
  </si>
  <si>
    <t>T46:V46; T48:V48</t>
  </si>
  <si>
    <t>T96:V96; T97:V97; T100:V100; T101:V101</t>
  </si>
  <si>
    <t>Added extra crew to be consistent with EGX</t>
  </si>
  <si>
    <t>EE_91; EE_92; EE_95; EE_96</t>
  </si>
  <si>
    <t>Removed Anytime permutations</t>
  </si>
  <si>
    <t>Consistency with other services</t>
  </si>
  <si>
    <t>EE_101; EE_102; EE_103; EE_104; EE_105; EE_106; EE_107; EE_108</t>
  </si>
  <si>
    <t>Rows 106 to 113</t>
  </si>
  <si>
    <t>T51:V51</t>
  </si>
  <si>
    <t>Added extra crew to be consistent with other similar service permutations</t>
  </si>
  <si>
    <t>Consistency</t>
  </si>
  <si>
    <t xml:space="preserve">Removal of Anytime permutation
</t>
  </si>
  <si>
    <t>Disconnected for debt.  at the S/B Pole, Pillar (2 man crew)</t>
  </si>
  <si>
    <t>Disconnected for debt.  Main switch seal (2 man crew)</t>
  </si>
  <si>
    <t>Disconnect premises (1 man crew)</t>
  </si>
  <si>
    <t>Disconnect for safety reasons (1 man crew)</t>
  </si>
  <si>
    <t>45 mins for a CT de-en for 2 crew members in the southeast is required (1 as safety observer).</t>
  </si>
  <si>
    <t>Safety requirement</t>
  </si>
  <si>
    <t>Disconnect . Main switch  (1 man crew) -BUSINESS HOURS</t>
  </si>
  <si>
    <t>Reconnect as S/B, main switch seal - BUSINESS HOURS</t>
  </si>
  <si>
    <t>No visual (1 man crew) - BUSINESS HOURS</t>
  </si>
  <si>
    <t xml:space="preserve">No visual (1 man crew) -AFTER HOURS </t>
  </si>
  <si>
    <t>Reconnect for debt.  No visual (2 man crew)</t>
  </si>
  <si>
    <t>Increase in price (offset by a rebalancing of internal/External resources)</t>
  </si>
  <si>
    <t>Reconnect following change of tenance. Visual required - BUSINESS HOURS</t>
  </si>
  <si>
    <t>EGX_3, EGX_4, EGX_6, EGX_28, EGX_30, EGX_32, EGX_36, EGX_37, EGX_38</t>
  </si>
  <si>
    <t>T8:V8; T9:V9; T11:V11; T33:V33; T35:V35; T37:V37, T41:V41, T42:V42; T43:V43</t>
  </si>
  <si>
    <t>Temporary de-energisation and re-energisation of supply to allow customer or contractor to work close - the supply will be disconnected</t>
  </si>
  <si>
    <r>
      <t xml:space="preserve"> Crews attend site at the customers request and is unable to perform job due to customers fault/fault of a third party.  </t>
    </r>
    <r>
      <rPr>
        <sz val="11"/>
        <color rgb="FFFF0000"/>
        <rFont val="Calibri"/>
        <family val="2"/>
        <scheme val="minor"/>
      </rPr>
      <t>NON TECHNICAL.</t>
    </r>
    <r>
      <rPr>
        <b/>
        <sz val="11"/>
        <rFont val="Calibri"/>
        <family val="2"/>
        <scheme val="minor"/>
      </rPr>
      <t xml:space="preserve"> Wasted travel time.</t>
    </r>
  </si>
  <si>
    <t>Change load control equipment (inc. time switch and relay install, modify and removal)</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</si>
  <si>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</si>
  <si>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</si>
  <si>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Special meter reading including final read. Retailer or customer requested</t>
  </si>
  <si>
    <t>Clarification of service descriptions</t>
  </si>
  <si>
    <t>Clarification and correction of inconsistency</t>
  </si>
  <si>
    <t>ERG_79 to EGR_84</t>
  </si>
  <si>
    <t xml:space="preserve">Amended the service description to "Temporary de-energisation and re-energisation of supply to allow customer or contractor to work close - the supply will be disconnected" </t>
  </si>
  <si>
    <t>All Supply Enhancement services</t>
  </si>
  <si>
    <t>Removed contradicting text and clarified if service applies to underground or overhead</t>
  </si>
  <si>
    <t>Reduced time on site for Technical call out fees</t>
  </si>
  <si>
    <t>Correction of inconsistency</t>
  </si>
  <si>
    <t>Reduce time on site to 10 mins</t>
  </si>
  <si>
    <t>ERG_323 to ERG_329</t>
  </si>
  <si>
    <t>F:229 to F:236</t>
  </si>
  <si>
    <t>Clarification of load switch service description</t>
  </si>
  <si>
    <t>Broadening of meter reading service description</t>
  </si>
  <si>
    <t>Removed "Other recoverable services Call out fees"</t>
  </si>
  <si>
    <t>Clarification of service description</t>
  </si>
  <si>
    <t>Removed "other recoverable works" "Call out fees" (Travel time to perform a service requested by a retailer,  customer or third party, and the service is unable to be performed customer/retailer fault due to customers fault/fault of a third party. Wasted travel time only)</t>
  </si>
  <si>
    <t>ERG_322 to ERG_329</t>
  </si>
  <si>
    <t>Amended the service description "Change time switch -No CT" to "Change load control equipment (inc. time switch and realy install, modify and removal)</t>
  </si>
  <si>
    <t>ERG_300 to ERG_303</t>
  </si>
  <si>
    <t>Broadened the service description to "Customer requests a check read, transfer read or validation of an estimated read on the meter, may be due to reported error in the meter reading. This is only used to check the accuracy of the meter reading"</t>
  </si>
  <si>
    <t>ERG_312 to EGR-315</t>
  </si>
  <si>
    <t>F312 to F:315</t>
  </si>
  <si>
    <t>F:301 toF:304</t>
  </si>
  <si>
    <t>F:323 to F:330</t>
  </si>
  <si>
    <t>F:145 to F:176</t>
  </si>
  <si>
    <t>Temporary de-energisation and re-energisation service</t>
  </si>
  <si>
    <t>F:44 to F:53</t>
  </si>
  <si>
    <t>F:76 to F:91</t>
  </si>
  <si>
    <t>F:151 to F:154</t>
  </si>
  <si>
    <t>EGX:144 to EGX_147</t>
  </si>
  <si>
    <t>EGX:138 to EGX:141</t>
  </si>
  <si>
    <t>F:145 to F:148</t>
  </si>
  <si>
    <t>F:140</t>
  </si>
  <si>
    <t>Clarification of load control switch service description</t>
  </si>
  <si>
    <t>EGX:127, EGX:128</t>
  </si>
  <si>
    <t>F:134, F:135</t>
  </si>
  <si>
    <t>Consumables for overhead service upgrades</t>
  </si>
  <si>
    <t>Material costs added for overhead supply upgrade services</t>
  </si>
  <si>
    <t>EGX_71 to EGX_79</t>
  </si>
  <si>
    <t>AP:76 to AP:73</t>
  </si>
  <si>
    <t>Correction of omission</t>
  </si>
  <si>
    <t xml:space="preserve">Highlighted in yellow the cells which contain hardcoded data, leaving the cells with formulae unformatted </t>
  </si>
  <si>
    <t xml:space="preserve">Changed the illustrative examples to better reflect the application of the AER approved quoted services formula </t>
  </si>
  <si>
    <r>
      <t xml:space="preserve">Changed definitions to "Travel time to perform a service requested by a retailer or customer, and the service is unable to be performed due to customer/retailer fault. </t>
    </r>
    <r>
      <rPr>
        <b/>
        <sz val="11"/>
        <color theme="1"/>
        <rFont val="Calibri"/>
        <family val="2"/>
        <scheme val="minor"/>
      </rPr>
      <t>Wasted travel time only</t>
    </r>
    <r>
      <rPr>
        <sz val="11"/>
        <color theme="1"/>
        <rFont val="Calibri"/>
        <family val="2"/>
        <scheme val="minor"/>
      </rPr>
      <t>"</t>
    </r>
  </si>
  <si>
    <r>
      <t xml:space="preserve">Changed definitions from "Attendance at customer premises to perform a statutory right where access is prevented" to "call out fee" with service description "Travel time to perform a service requested by a retailer or customer, and the service is unable to be performed due to customer/retailer fault. </t>
    </r>
    <r>
      <rPr>
        <b/>
        <sz val="11"/>
        <color theme="1"/>
        <rFont val="Calibri"/>
        <family val="2"/>
        <scheme val="minor"/>
      </rPr>
      <t>Wasted travel time and time at customer's premises</t>
    </r>
    <r>
      <rPr>
        <sz val="11"/>
        <color theme="1"/>
        <rFont val="Calibri"/>
        <family val="2"/>
        <scheme val="minor"/>
      </rPr>
      <t>"</t>
    </r>
  </si>
  <si>
    <t>Anytime option removed for all  services except re-energisation and supply abolishment</t>
  </si>
  <si>
    <t xml:space="preserve">Removed 'anytime' service permutation from supply abolishment  and re-energisation for 'Long rural' feeder type </t>
  </si>
  <si>
    <t>Reviewed and change contractor rates for retailer requested meter read to align with rates for customer requested meter reads</t>
  </si>
  <si>
    <t>Clarification of service description and broadening to cover transfer read and validation of an estimated read</t>
  </si>
  <si>
    <t>Service is not required, this service is already provided as a "Non-technical call our fee" which is for wasted travel time only</t>
  </si>
  <si>
    <t>Addition of material costs for overhead supply upgrade services (costs include fuse bracket, fuse base/s, service cable)</t>
  </si>
  <si>
    <t>Connection application and management services</t>
  </si>
  <si>
    <t>Network Ancillary services</t>
  </si>
  <si>
    <t>BUSINESS HOURS - TRAFFIC CONTROL</t>
  </si>
  <si>
    <t>AFTER HOURS - TRAFFIC CONTROL</t>
  </si>
  <si>
    <t>Request to de-energise an unmetered supply point.</t>
  </si>
  <si>
    <t>Reconnect following change of tenance. Visual required - AFTER HOURS</t>
  </si>
  <si>
    <t>NEW1</t>
  </si>
  <si>
    <t>NEW2</t>
  </si>
  <si>
    <t>NEW3</t>
  </si>
  <si>
    <t>NEW4</t>
  </si>
  <si>
    <t>NEW5</t>
  </si>
  <si>
    <t>NEW6</t>
  </si>
  <si>
    <t>NEW7</t>
  </si>
  <si>
    <t>NEW8</t>
  </si>
  <si>
    <t>Disconnect . Main switch  (1 man crew) -AFTER HOURS</t>
  </si>
  <si>
    <t>Meter inspection and investigation on request - BUSINESS HOURS - NO CT</t>
  </si>
  <si>
    <t>Meter reading - BUSINESS HOURS</t>
  </si>
  <si>
    <t>Metering alteration - BUSINESS HOURS - NO CT</t>
  </si>
  <si>
    <t>Meter reconfiguration - BUSINESS HOURS - NO CT</t>
  </si>
  <si>
    <t>Meter reconfiguration - AFTER HOURS - NO CT</t>
  </si>
  <si>
    <t>Call out fee - AFTER HOURS</t>
  </si>
  <si>
    <t>Call out fee - BUSINESS HOURS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</si>
  <si>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</si>
  <si>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Customer requested temporary connection (short term) and the recovery of the temporary builders supply. Excludes work on metering equipment.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</si>
  <si>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</si>
  <si>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make a change from one tariff to another tariff</t>
  </si>
  <si>
    <t>Escalation rate (nominal)</t>
  </si>
  <si>
    <t>Meter alteration – meter is being relocated or meter wiring altered and requires DNSP to visit site to verify the integrity of the metering equipment</t>
  </si>
  <si>
    <t>Forecast labour escalation rates</t>
  </si>
  <si>
    <t>Metering alteration - AFTER HOURS - NO CT</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</si>
  <si>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t>
  </si>
  <si>
    <t>Service upgrade. For example, an upgrade from single phase to multi phase and/or increase capacity. Excludes work on metering equipment (if required). Overhead</t>
  </si>
  <si>
    <t>Service upgrade. For example, an upgrade from single phase to multi phase and/or increase capacity. Excludes work on metering equipment (if required). Underground</t>
  </si>
  <si>
    <t xml:space="preserve"> Crews attend site at the customers request and is unable to perform job due to customers fault/fault of a third party.  TECHNICAL. Wasted travel time and wasted time at customer's premises.</t>
  </si>
  <si>
    <t xml:space="preserve"> Crews attend site at the customers request and is unable to perform job due to customers fault/fault of a third party.  NON TECHNICAL. Wasted travel time.</t>
  </si>
  <si>
    <t xml:space="preserve">Install new meter (Type 5 and 6) – Single phase </t>
  </si>
  <si>
    <t xml:space="preserve">Install new meter (Type 5 and 6) – Dual element </t>
  </si>
  <si>
    <t>Install new meter (Type 5 and 6) – Polyphase</t>
  </si>
  <si>
    <t>Meter inspection and investigation on request - AFTER HOURS - NO CT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</si>
  <si>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</si>
  <si>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Type 6 non standard metering data services</t>
  </si>
  <si>
    <t>Unsmoothed revenue from PTRM output.  Real values used</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</si>
  <si>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</si>
  <si>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</si>
  <si>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</si>
  <si>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t>
  </si>
  <si>
    <t>NON PAYMENT</t>
  </si>
  <si>
    <t xml:space="preserve">Forecast labour escalation rates </t>
  </si>
  <si>
    <t>For 2020-25 forecast labour escalation rates from Opex Model - ACS (Metering and Public Lighting)</t>
  </si>
  <si>
    <t>INPUTS - ESCALATORS AND OVERHEADS</t>
  </si>
  <si>
    <t>INPUTS - MATERIAL COSTS</t>
  </si>
  <si>
    <t>INPUTS - TRAFFIC CONTROL FEES</t>
  </si>
  <si>
    <t>CONFIDENTIAL - CONTRACTOR RATES</t>
  </si>
  <si>
    <t>Hours</t>
  </si>
  <si>
    <t>Meter inspection and investigation on request - Inspection required to check reported or suspected fault and no fault in meter is found. (no physical meter test) - BUSINESS HOURS - NO CT</t>
  </si>
  <si>
    <t>Meter inspection and investigation on request - Inspection required to check reported or suspected fault and no fault in meter is found. (no physical meter test) - AFTER HOURS - NO CT</t>
  </si>
  <si>
    <t>Meter reconfiguration - A request to make a change from one tariff to another tariff (Controlled Load) - BUSINESS HOURS - NO CT</t>
  </si>
  <si>
    <t>Meter reconfiguration - A request to make a change from one tariff to another tariff (Controlled Load) - AFTER HOURS - NO CT</t>
  </si>
  <si>
    <t>Meter reconfiguration - A request to make a change from one tariff to another tariff - BUSINESS HOURS - NO CT</t>
  </si>
  <si>
    <t>Meter reconfiguration - A request to make a change from one tariff to another tariff - AFTER HOURS - NO CT</t>
  </si>
  <si>
    <t>Metering alteration - Meter alteration – meter is being relocated or meter wiring altered and requires DNSP to visit site to verify the integrity of the metering equipment - BUSINESS HOURS - NO CT</t>
  </si>
  <si>
    <t>Metering alteration - Meter alteration – meter is being relocated or meter wiring altered and requires DNSP to visit site to verify the integrity of the metering equipment - AFTER HOURS - NO CT</t>
  </si>
  <si>
    <t>Meter reading - Customer requests a check read, transfer read or validation of an estimated read on the meter, may be due to reported error in the meter reading. This is only used to check the accuracy of the meter reading - BUSINESS HOURS</t>
  </si>
  <si>
    <t>Meter reading - Site remains active and reading undertaken upon customer move in. Retail requested - BUSINESS HOURS</t>
  </si>
  <si>
    <t>Meter reading - Special meter reading including final read. Retailer or customer requested - BUSINESS HOURS</t>
  </si>
  <si>
    <t>Call out fee -  Crews attend site at the customers request and is unable to perform job due to customers fault/fault of a third party.  NON TECHNICAL. Wasted travel time. - BUSINESS HOURS</t>
  </si>
  <si>
    <t>Call out fee -  Crews attend site at the customers request and is unable to perform job due to customers fault/fault of a third party.  NON TECHNICAL. Wasted travel time. - AFTER HOURS</t>
  </si>
  <si>
    <t>De-energisation - Retailer requested de-energisation of the customer's premises where the de-energisation can be performed at the premises ie by a method other than main switch seal (eg pole, pillar, transformer or meter isolation link) - BUSINESS HOURS - NO CT</t>
  </si>
  <si>
    <t>De-energisation - Retailer requested de-energisation of the customer's premises where the de-energisation can be performed at the premises ie by a method other than main switch seal (eg pole, pillar, transformer or meter isolation link) - AFTER HOURS - NO CT</t>
  </si>
  <si>
    <t>De-energisation - Retailer requested de-energisation of the customer's premises where the de-energisation can be performed at the premises ie by a method other than main switch seal (eg pole, pillar, transformer or meter isolation link) - NON PAYMENT - NO CT</t>
  </si>
  <si>
    <t>De-energisation - Retailer requested de-energisation (MSS) - BUSINESS HOURS</t>
  </si>
  <si>
    <t>De-energisation - Retailer requested de-energisation (MSS) - AFTER HOURS</t>
  </si>
  <si>
    <t>De-energisation - Retailer requested de-energisation (MSS) - NON PAYMENT</t>
  </si>
  <si>
    <t>Re-energisation - Retailer requests a re-energisation of the customer's premises where the customer has not paid their electricity account. No visual required - BUSINESS HOURS - NO CT</t>
  </si>
  <si>
    <t>Re-energisation - Retailer requests a re-energisation of the customer's premises where the customer has not paid their electricity account. No visual required - AFTER HOURS - NO CT</t>
  </si>
  <si>
    <t>Re-energisation - Retailer requests a re-energisation of the customer's premises where the customer has not paid their electricity account. No visual required - BUSINESS HOURS - CT</t>
  </si>
  <si>
    <t>Re-energisation - Retailer requests a re-energisation of the customer's premises where the customer has not paid their electricity account. No visual required - AFTER HOURS - CT</t>
  </si>
  <si>
    <t>Re-energisation - Retailer requests a re-energisation of the customer's premises where the customer has not paid their electricity account. No visual required - ANYTIME - NO CT</t>
  </si>
  <si>
    <t>Re-energisation - Retailer requests a re-energisation of the customer's premises where the customer has not paid their electricity account. No visual required - ANYTIME - CT</t>
  </si>
  <si>
    <t>Re-energisation - Retailer requests a re-energisation for the customer's premises following a main switch seal (no visual required) - BUSINESS HOURS</t>
  </si>
  <si>
    <t>Re-energisation - Retailer requests a re-energisation for the customer's premises following a main switch seal (no visual required) - AFTER HOURS</t>
  </si>
  <si>
    <t>Re-energisation - Retailer requests a re-energisation for the customer's premises following a main switch seal (no visual required) - ANYTIME</t>
  </si>
  <si>
    <t>Re-energisation - Retailer requests a re-energisation for the customer's premises following a main switch seal (no visual required) - NON PAYMENT</t>
  </si>
  <si>
    <t>Re-energisation - Retailer or metering coordinator/provider requests a visual examination upon re-energisation (physical or remote) of the customer’s premises. - BUSINESS HOURS - NO CT</t>
  </si>
  <si>
    <t>Re-energisation - Retailer or metering coordinator/provider requests a visual examination upon re-energisation (physical or remote) of the customer’s premises. - BUSINESS HOURS - CT</t>
  </si>
  <si>
    <t>Re-energisation - Retailer or metering coordinator/provider requests a visual examination upon re-energisation (physical or remote) of the customer’s premises. - AFTER HOURS - NO CT</t>
  </si>
  <si>
    <t>Re-energisation - Retailer or metering coordinator/provider requests a visual examination upon re-energisation (physical or remote) of the customer’s premises. - AFTER HOURS - CT</t>
  </si>
  <si>
    <t>Re-energisation - Retailer or metering coordinator/provider requests a visual examination upon re-energisation (physical or remote) of the customer’s premises. - ANYTIME - NO CT</t>
  </si>
  <si>
    <t>Re-energisation - Retailer or metering coordinator/provider requests a visual examination upon re-energisation (physical or remote) of the customer’s premises. - ANYTIME - CT</t>
  </si>
  <si>
    <t>Re-energisation - Retailer or metering coordinator/provider requests a visual examination upon re-energisation (physical) of the customer’s premises where the customer has not paid their electricity account. NMI de-energised &gt; 30 days. - BUSINESS HOURS - NO CT</t>
  </si>
  <si>
    <t>Re-energisation - Retailer or metering coordinator/provider requests a visual examination upon re-energisation (physical) of the customer’s premises where the customer has not paid their electricity account. NMI de-energised &gt; 30 days. - AFTER HOURS - NO CT</t>
  </si>
  <si>
    <t>Re-energisation - Retailer or metering coordinator/provider requests a visual examination upon re-energisation (physical) of the customer’s premises where the customer has not paid their electricity account. NMI de-energised &gt; 30 days. - ANYTIME - NO CT</t>
  </si>
  <si>
    <t>Re-energisation - Retailer or metering coordinator/provider requests a visual examination upon re-energisation (physical) of the customer’s premises where the customer has not paid their electricity account. NMI de-energised &gt; 30 days. - BUSINESS HOURS - CT</t>
  </si>
  <si>
    <t>Re-energisation - Retailer or metering coordinator/provider requests a visual examination upon re-energisation (physical) of the customer’s premises where the customer has not paid their electricity account. NMI de-energised &gt; 30 days. - AFTER HOURS - CT</t>
  </si>
  <si>
    <t>Re-energisation - Retailer or metering coordinator/provider requests a visual examination upon re-energisation (physical) of the customer’s premises where the customer has not paid their electricity account. NMI de-energised &gt; 30 days. - ANYTIME - CT</t>
  </si>
  <si>
    <t>Reseal - Reseal and inspection of meter after customer initated work - BUSINESS HOURS</t>
  </si>
  <si>
    <t>Removal of a meter (Type 5 &amp; 6)
 - Removal of Meter - BUSINESS HOURS - NO CT</t>
  </si>
  <si>
    <t>Removal of a meter (Type 5 &amp; 6)
 - Removal of Meter - BUSINESS HOURS - CT</t>
  </si>
  <si>
    <t>Removal of a meter (Type 5 &amp; 6)
 - Removal of Meter - AFTER HOURS - NO CT</t>
  </si>
  <si>
    <t>Removal of a meter (Type 5 &amp; 6)
 - Removal of Meter - AFTER HOURS - CT</t>
  </si>
  <si>
    <t xml:space="preserve"> -  - </t>
  </si>
  <si>
    <t>De-energisation -  - Disconnected for debt.  at the S/B Pole, Pillar (2 man crew)</t>
  </si>
  <si>
    <t>De-energisation -  - Disconnected for debt.  Main switch seal (2 man crew)</t>
  </si>
  <si>
    <t>De-energisation -  - Disconnect premises (1 man crew)</t>
  </si>
  <si>
    <t>De-energisation -  - Disconnect . Main switch  (1 man crew) -BUSINESS HOURS</t>
  </si>
  <si>
    <t>De-energisation -  - Disconnect . Main switch  (1 man crew) -AFTER HOURS</t>
  </si>
  <si>
    <t>De-energisation -  - Disconnect for safety reasons (1 man crew)</t>
  </si>
  <si>
    <t>Re-energisation -  - No visual (1 man crew) - BUSINESS HOURS</t>
  </si>
  <si>
    <t xml:space="preserve">Re-energisation -  - No visual (1 man crew) -AFTER HOURS </t>
  </si>
  <si>
    <t>Re-energisation -  - Reconnect for debt.  No visual (2 man crew)</t>
  </si>
  <si>
    <t>Re-energisation -  - Reconnect following change of tenance. Visual required - BUSINESS HOURS</t>
  </si>
  <si>
    <t>Re-energisation -  - Reconnect following change of tenance. Visual required - AFTER HOURS</t>
  </si>
  <si>
    <t>Re-energisation -  - Reconnect as S/B, main switch seal - BUSINESS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</si>
</sst>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2]* #,##0.00_-;\-[$€-2]* #,##0.00_-;_-[$€-2]* &quot;-&quot;??_-"/>
    <numFmt numFmtId="170" formatCode="0.000%"/>
    <numFmt numFmtId="171" formatCode="_([$€-2]* #,##0.00_);_([$€-2]* \(#,##0.00\);_([$€-2]* &quot;-&quot;??_)"/>
    <numFmt numFmtId="172" formatCode="_(* #,##0.0_);_(* \(#,##0.0\);_(* &quot;-&quot;?_);_(@_)"/>
    <numFmt numFmtId="173" formatCode="&quot;$&quot;#,##0.000;[Red]\-&quot;$&quot;#,##0.000"/>
    <numFmt numFmtId="174" formatCode="0.0%"/>
    <numFmt numFmtId="175" formatCode="_(* #,##0_);_(* \(#,##0\);_(* &quot;-&quot;?_);_(@_)"/>
    <numFmt numFmtId="176" formatCode="&quot;$&quot;#,##0.0;\-&quot;$&quot;#,##0.0"/>
    <numFmt numFmtId="177" formatCode="#,##0;\(#,##0\);\-"/>
    <numFmt numFmtId="178" formatCode="#,##0_);[Red]\(#,##0\);\-"/>
    <numFmt numFmtId="179" formatCode="&quot;$&quot;#,##0.0;[Red]\-&quot;$&quot;#,##0.0"/>
    <numFmt numFmtId="180" formatCode="#,##0;\(#,##0\)"/>
    <numFmt numFmtId="181" formatCode="#,##0_ ;\(#,##0\);\-\ "/>
    <numFmt numFmtId="182" formatCode="[$-F800]dddd\,\ mmmm\ dd\,\ yyyy"/>
    <numFmt numFmtId="183" formatCode="[$-C09]dd\-mmm\-yy;@"/>
    <numFmt numFmtId="184" formatCode="_-* #,##0_-;[Red]\(* #,##0\)_-;_-*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
    <numFmt numFmtId="195" formatCode="0.00_ ;[Red]\(0\)"/>
    <numFmt numFmtId="196" formatCode="0.00_)"/>
    <numFmt numFmtId="197" formatCode="_-* ###0_-;\-* ###0_-;_-* &quot;-&quot;_-;_-@_-"/>
    <numFmt numFmtId="198" formatCode="0.00;[Red]0.00"/>
    <numFmt numFmtId="199" formatCode="0_ ;[Red]\(0\)"/>
    <numFmt numFmtId="200" formatCode="#,##0_);\(#,##0\);\-;@"/>
    <numFmt numFmtId="201" formatCode="&quot;$&quot;#,##0"/>
    <numFmt numFmtId="202" formatCode="0.0"/>
    <numFmt numFmtId="203" formatCode="_(###0_);\(###0\);_(###0_)"/>
    <numFmt numFmtId="204" formatCode="_(#,##0.0_);\(#,##0.0\);_(&quot;-&quot;_)"/>
    <numFmt numFmtId="205" formatCode="_(#,##0.0\x_);\(#,##0.0\x\);_(&quot;-&quot;_)"/>
    <numFmt numFmtId="206" formatCode="_(#,##0.0%_);\(#,##0.0%\);_(&quot;-&quot;_)"/>
    <numFmt numFmtId="207" formatCode="_(&quot;$&quot;#,##0.00_);\(&quot;$&quot;#,##0.00\);_(&quot;-&quot;_)"/>
    <numFmt numFmtId="208" formatCode="_)d\-mmm\-yy_)"/>
    <numFmt numFmtId="209" formatCode="_(&quot;$&quot;#,##0.0_);\(&quot;$&quot;#,##0.0\);_(&quot;-&quot;_)"/>
    <numFmt numFmtId="210" formatCode="0.000"/>
    <numFmt numFmtId="211" formatCode="#,##0_ ;\-#,##0\ "/>
    <numFmt numFmtId="212" formatCode="_-* #,##0.00_-;[Red]\(#,##0.00\)_-;_-* &quot;-&quot;??_-;_-@_-"/>
    <numFmt numFmtId="213" formatCode="mm/dd/yy"/>
    <numFmt numFmtId="214" formatCode="0_);[Red]\(0\)"/>
    <numFmt numFmtId="215" formatCode="#,##0.0_);\(#,##0.0\)"/>
    <numFmt numFmtId="216" formatCode="#,##0;[Red]\(#,##0.0\)"/>
    <numFmt numFmtId="217" formatCode="#,##0_ ;[Red]\(#,##0\)\ "/>
    <numFmt numFmtId="218" formatCode="#,##0.00;\(#,##0.00\)"/>
    <numFmt numFmtId="219" formatCode="#,##0.0000_);[Red]\(#,##0.0000\)"/>
    <numFmt numFmtId="220" formatCode="#,##0.000_ ;[Red]\-#,##0.000\ "/>
    <numFmt numFmtId="221" formatCode="&quot;$&quot;#,##0.00"/>
  </numFmts>
  <fonts count="200">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sz val="10"/>
      <name val="Arial"/>
      <family val="2"/>
    </font>
    <font>
      <sz val="10"/>
      <name val="Helv"/>
      <family val="2"/>
    </font>
    <font>
      <sz val="10"/>
      <name val="Helv"/>
      <charset val="204"/>
    </font>
    <font>
      <sz val="14"/>
      <name val="System"/>
      <family val="2"/>
    </font>
    <font>
      <sz val="11"/>
      <color rgb="FFFF0000"/>
      <name val="Calibri"/>
      <family val="2"/>
      <scheme val="minor"/>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8"/>
      <color theme="1"/>
      <name val="Calibri"/>
      <family val="2"/>
      <scheme val="minor"/>
    </font>
    <font>
      <sz val="24"/>
      <color theme="1"/>
      <name val="Calibri"/>
      <family val="2"/>
      <scheme val="minor"/>
    </font>
    <font>
      <b/>
      <sz val="24"/>
      <color theme="1"/>
      <name val="Arial"/>
      <family val="2"/>
    </font>
    <font>
      <b/>
      <sz val="18"/>
      <color theme="1"/>
      <name val="Calibri"/>
      <family val="2"/>
      <scheme val="minor"/>
    </font>
    <font>
      <sz val="11"/>
      <name val="Calibri"/>
      <family val="2"/>
      <scheme val="minor"/>
    </font>
    <font>
      <b/>
      <sz val="10"/>
      <color theme="1"/>
      <name val="Calibri"/>
      <family val="2"/>
      <scheme val="minor"/>
    </font>
    <font>
      <sz val="8"/>
      <name val="Arial"/>
      <family val="2"/>
    </font>
    <font>
      <b/>
      <sz val="8"/>
      <name val="Arial"/>
      <family val="2"/>
    </font>
    <font>
      <sz val="8"/>
      <color theme="1"/>
      <name val="Arial"/>
      <family val="2"/>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b/>
      <sz val="16"/>
      <color theme="1"/>
      <name val="Arial"/>
      <family val="2"/>
    </font>
    <font>
      <b/>
      <sz val="12"/>
      <color theme="1"/>
      <name val="Arial"/>
      <family val="2"/>
    </font>
    <font>
      <u/>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sz val="11"/>
      <color rgb="FF002060"/>
      <name val="Calibri"/>
      <family val="2"/>
      <scheme val="minor"/>
    </font>
    <font>
      <u/>
      <sz val="11"/>
      <color theme="10"/>
      <name val="Calibri"/>
      <family val="2"/>
      <scheme val="minor"/>
    </font>
    <font>
      <sz val="10"/>
      <name val="Arial"/>
      <family val="2"/>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b/>
      <sz val="26"/>
      <color rgb="FFFF0000"/>
      <name val="Calibri"/>
      <family val="2"/>
      <scheme val="minor"/>
    </font>
    <font>
      <u/>
      <sz val="11"/>
      <color rgb="FF0000FF"/>
      <name val="Calibri"/>
      <family val="2"/>
      <scheme val="minor"/>
    </font>
    <font>
      <sz val="10"/>
      <color rgb="FF000000"/>
      <name val="Arial"/>
      <family val="2"/>
    </font>
    <font>
      <i/>
      <sz val="11"/>
      <color theme="1"/>
      <name val="Calibri"/>
      <family val="2"/>
      <scheme val="minor"/>
    </font>
    <font>
      <b/>
      <sz val="9"/>
      <color rgb="FF000000"/>
      <name val="Tahoma"/>
      <family val="2"/>
    </font>
    <font>
      <sz val="9"/>
      <color rgb="FF000000"/>
      <name val="Tahoma"/>
      <family val="2"/>
    </font>
    <font>
      <sz val="12"/>
      <color rgb="FF222222"/>
      <name val="Helvetica"/>
      <family val="2"/>
    </font>
    <font>
      <b/>
      <sz val="12"/>
      <color rgb="FFFFFFFF"/>
      <name val="Helvetica"/>
      <family val="2"/>
    </font>
    <font>
      <sz val="10"/>
      <color rgb="FF222222"/>
      <name val="Arial"/>
      <family val="2"/>
    </font>
    <font>
      <i/>
      <sz val="10"/>
      <color rgb="FF222222"/>
      <name val="Arial"/>
      <family val="2"/>
    </font>
    <font>
      <sz val="11"/>
      <color theme="9" tint="0.59999389629810485"/>
      <name val="Calibri"/>
      <family val="2"/>
      <scheme val="minor"/>
    </font>
  </fonts>
  <fills count="118">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B1C3"/>
        <bgColor indexed="64"/>
      </patternFill>
    </fill>
    <fill>
      <patternFill patternType="solid">
        <fgColor rgb="FFFFFFCC"/>
      </patternFill>
    </fill>
    <fill>
      <patternFill patternType="solid">
        <fgColor theme="4" tint="0.59999389629810485"/>
        <bgColor indexed="65"/>
      </patternFill>
    </fill>
    <fill>
      <patternFill patternType="solid">
        <fgColor theme="0" tint="-0.499984740745262"/>
        <bgColor indexed="64"/>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0070C0"/>
        <bgColor indexed="64"/>
      </patternFill>
    </fill>
    <fill>
      <patternFill patternType="solid">
        <fgColor rgb="FF000000"/>
        <bgColor indexed="64"/>
      </patternFill>
    </fill>
  </fills>
  <borders count="8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rgb="FF2C5697"/>
      </left>
      <right/>
      <top style="thin">
        <color rgb="FF2C5697"/>
      </top>
      <bottom style="thin">
        <color rgb="FF2C5697"/>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double">
        <color auto="1"/>
      </left>
      <right/>
      <top/>
      <bottom/>
      <diagonal/>
    </border>
    <border>
      <left style="thin">
        <color indexed="64"/>
      </left>
      <right/>
      <top style="thin">
        <color indexed="64"/>
      </top>
      <bottom style="thin">
        <color indexed="64"/>
      </bottom>
      <diagonal/>
    </border>
    <border>
      <left/>
      <right/>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s>
  <cellStyleXfs count="36133">
    <xf numFmtId="0" fontId="0" fillId="0" borderId="0"/>
    <xf numFmtId="9" fontId="1" fillId="0" borderId="0" applyFont="0" applyFill="0" applyBorder="0" applyAlignment="0" applyProtection="0"/>
    <xf numFmtId="0" fontId="2" fillId="0" borderId="0" applyNumberFormat="0" applyFill="0" applyBorder="0" applyAlignment="0" applyProtection="0"/>
    <xf numFmtId="169" fontId="6" fillId="0" borderId="0"/>
    <xf numFmtId="0" fontId="5" fillId="0" borderId="0"/>
    <xf numFmtId="0" fontId="5" fillId="0" borderId="0"/>
    <xf numFmtId="0" fontId="5" fillId="0" borderId="0"/>
    <xf numFmtId="171" fontId="5" fillId="0" borderId="0"/>
    <xf numFmtId="171" fontId="5" fillId="0" borderId="0"/>
    <xf numFmtId="0" fontId="7" fillId="0" borderId="0"/>
    <xf numFmtId="0" fontId="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5" fillId="3" borderId="0" applyFont="0" applyBorder="0">
      <alignment horizontal="right"/>
    </xf>
    <xf numFmtId="166" fontId="5" fillId="2" borderId="0" applyFont="0" applyBorder="0" applyAlignment="0">
      <alignment horizontal="right"/>
      <protection locked="0"/>
    </xf>
    <xf numFmtId="0" fontId="10" fillId="0" borderId="0"/>
    <xf numFmtId="9" fontId="10" fillId="0" borderId="0" applyFont="0" applyFill="0" applyBorder="0" applyAlignment="0" applyProtection="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0" fontId="15" fillId="23" borderId="2" applyNumberFormat="0" applyAlignment="0" applyProtection="0"/>
    <xf numFmtId="0" fontId="16" fillId="24" borderId="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5" fillId="0" borderId="0"/>
    <xf numFmtId="0" fontId="5" fillId="26" borderId="8" applyNumberFormat="0" applyFont="0" applyAlignment="0" applyProtection="0"/>
    <xf numFmtId="0" fontId="25" fillId="23" borderId="9"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29" fillId="4" borderId="0"/>
    <xf numFmtId="10" fontId="5" fillId="4" borderId="1">
      <alignment horizontal="center" vertical="top"/>
    </xf>
    <xf numFmtId="0" fontId="15" fillId="23" borderId="17" applyNumberFormat="0" applyAlignment="0" applyProtection="0"/>
    <xf numFmtId="0" fontId="30" fillId="0" borderId="0" applyNumberFormat="0" applyFill="0" applyBorder="0" applyAlignment="0" applyProtection="0"/>
    <xf numFmtId="0" fontId="22" fillId="10" borderId="17" applyNumberFormat="0" applyAlignment="0" applyProtection="0"/>
    <xf numFmtId="0" fontId="5" fillId="26" borderId="18" applyNumberFormat="0" applyFont="0" applyAlignment="0" applyProtection="0"/>
    <xf numFmtId="0" fontId="25" fillId="23" borderId="19" applyNumberFormat="0" applyAlignment="0" applyProtection="0"/>
    <xf numFmtId="0" fontId="27" fillId="0" borderId="20" applyNumberFormat="0" applyFill="0" applyAlignment="0" applyProtection="0"/>
    <xf numFmtId="44" fontId="10" fillId="0" borderId="0" applyFont="0" applyFill="0" applyBorder="0" applyAlignment="0" applyProtection="0"/>
    <xf numFmtId="0" fontId="31" fillId="0" borderId="22" applyNumberFormat="0">
      <alignment horizontal="left" vertical="center" wrapText="1"/>
    </xf>
    <xf numFmtId="0" fontId="5" fillId="0" borderId="0"/>
    <xf numFmtId="0" fontId="1" fillId="0" borderId="0"/>
    <xf numFmtId="0" fontId="10" fillId="0" borderId="0"/>
    <xf numFmtId="0" fontId="32" fillId="0" borderId="16" applyAlignment="0">
      <alignment horizontal="center" vertical="center"/>
    </xf>
    <xf numFmtId="10" fontId="11" fillId="0" borderId="1"/>
    <xf numFmtId="0" fontId="1" fillId="0" borderId="0"/>
    <xf numFmtId="0" fontId="5" fillId="0" borderId="0"/>
    <xf numFmtId="0" fontId="1" fillId="0" borderId="0"/>
    <xf numFmtId="0" fontId="32" fillId="4" borderId="16" applyAlignment="0">
      <alignment horizontal="center" vertical="center"/>
    </xf>
    <xf numFmtId="0" fontId="1" fillId="0" borderId="0"/>
    <xf numFmtId="44" fontId="1" fillId="0" borderId="0" applyFont="0" applyFill="0" applyBorder="0" applyAlignment="0" applyProtection="0"/>
    <xf numFmtId="0" fontId="5" fillId="0" borderId="0"/>
    <xf numFmtId="0" fontId="12" fillId="31"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2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2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2" fillId="0" borderId="0"/>
    <xf numFmtId="0" fontId="13" fillId="33"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5" fillId="34" borderId="0" applyNumberFormat="0" applyFont="0" applyBorder="0" applyAlignment="0">
      <alignment horizontal="right"/>
    </xf>
    <xf numFmtId="166" fontId="5" fillId="34" borderId="0" applyNumberFormat="0" applyFont="0" applyBorder="0" applyAlignment="0">
      <alignment horizontal="right"/>
    </xf>
    <xf numFmtId="0" fontId="15" fillId="32" borderId="17" applyNumberFormat="0" applyAlignment="0" applyProtection="0"/>
    <xf numFmtId="0" fontId="16" fillId="24" borderId="3" applyNumberFormat="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12"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47" fillId="0" borderId="33" applyNumberFormat="0" applyFill="0" applyAlignment="0" applyProtection="0"/>
    <xf numFmtId="0" fontId="48" fillId="0" borderId="34" applyNumberFormat="0" applyFill="0" applyAlignment="0" applyProtection="0"/>
    <xf numFmtId="0" fontId="49" fillId="0" borderId="35" applyNumberFormat="0" applyFill="0" applyAlignment="0" applyProtection="0"/>
    <xf numFmtId="0" fontId="49" fillId="0" borderId="0" applyNumberFormat="0" applyFill="0" applyBorder="0" applyAlignment="0" applyProtection="0"/>
    <xf numFmtId="0" fontId="22" fillId="10" borderId="17" applyNumberFormat="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75" fontId="5" fillId="37" borderId="0" applyFont="0" applyBorder="0">
      <alignment horizontal="right"/>
      <protection locked="0"/>
    </xf>
    <xf numFmtId="166" fontId="5" fillId="3" borderId="0" applyFont="0" applyBorder="0">
      <alignment horizontal="right"/>
      <protection locked="0"/>
    </xf>
    <xf numFmtId="0" fontId="23" fillId="0" borderId="7" applyNumberFormat="0" applyFill="0" applyAlignment="0" applyProtection="0"/>
    <xf numFmtId="0" fontId="24" fillId="25" borderId="0" applyNumberFormat="0" applyBorder="0" applyAlignment="0" applyProtection="0"/>
    <xf numFmtId="0" fontId="5" fillId="0" borderId="0"/>
    <xf numFmtId="0" fontId="5" fillId="0" borderId="0" applyFill="0"/>
    <xf numFmtId="0" fontId="5" fillId="0" borderId="0"/>
    <xf numFmtId="0" fontId="1" fillId="0" borderId="0"/>
    <xf numFmtId="0" fontId="5" fillId="0" borderId="0"/>
    <xf numFmtId="0" fontId="1" fillId="0" borderId="0"/>
    <xf numFmtId="0" fontId="15" fillId="23" borderId="44" applyNumberFormat="0" applyAlignment="0" applyProtection="0"/>
    <xf numFmtId="0" fontId="1" fillId="0" borderId="0"/>
    <xf numFmtId="0" fontId="5" fillId="0" borderId="0"/>
    <xf numFmtId="0" fontId="1" fillId="0" borderId="0"/>
    <xf numFmtId="0" fontId="5" fillId="0" borderId="0"/>
    <xf numFmtId="0" fontId="5" fillId="0" borderId="0"/>
    <xf numFmtId="0" fontId="5" fillId="26" borderId="18" applyNumberFormat="0" applyFont="0" applyAlignment="0" applyProtection="0"/>
    <xf numFmtId="0" fontId="25" fillId="32" borderId="19" applyNumberFormat="0" applyAlignment="0" applyProtection="0"/>
    <xf numFmtId="0" fontId="5" fillId="0" borderId="0" applyBorder="0"/>
    <xf numFmtId="4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51" fillId="38" borderId="0"/>
    <xf numFmtId="0" fontId="5" fillId="0" borderId="0"/>
    <xf numFmtId="0" fontId="5" fillId="0" borderId="0"/>
    <xf numFmtId="0" fontId="5" fillId="0" borderId="0"/>
    <xf numFmtId="0" fontId="5" fillId="0" borderId="0"/>
    <xf numFmtId="0" fontId="51" fillId="30" borderId="0">
      <alignment horizontal="left" vertical="center"/>
      <protection locked="0"/>
    </xf>
    <xf numFmtId="0" fontId="52" fillId="39" borderId="0">
      <alignment vertical="center"/>
      <protection locked="0"/>
    </xf>
    <xf numFmtId="0" fontId="10" fillId="0" borderId="0"/>
    <xf numFmtId="0" fontId="53" fillId="0" borderId="0" applyNumberFormat="0" applyFill="0" applyBorder="0" applyAlignment="0" applyProtection="0"/>
    <xf numFmtId="0" fontId="27" fillId="0" borderId="36" applyNumberFormat="0" applyFill="0" applyAlignment="0" applyProtection="0"/>
    <xf numFmtId="0" fontId="28" fillId="0" borderId="0" applyNumberFormat="0" applyFill="0" applyBorder="0" applyAlignment="0" applyProtection="0"/>
    <xf numFmtId="0" fontId="5" fillId="0" borderId="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41" fillId="40" borderId="26">
      <alignment horizontal="right"/>
    </xf>
    <xf numFmtId="176" fontId="54" fillId="40" borderId="26">
      <alignment horizontal="right" vertical="top"/>
    </xf>
    <xf numFmtId="174" fontId="54" fillId="40" borderId="26">
      <alignment horizontal="right" vertical="top"/>
    </xf>
    <xf numFmtId="177" fontId="54" fillId="40" borderId="26">
      <alignment horizontal="right" vertical="top"/>
    </xf>
    <xf numFmtId="178" fontId="43" fillId="0" borderId="0" applyBorder="0">
      <alignment vertical="center"/>
    </xf>
    <xf numFmtId="178" fontId="44" fillId="0" borderId="0" applyFill="0" applyBorder="0">
      <alignment vertical="center"/>
    </xf>
    <xf numFmtId="0" fontId="55" fillId="41" borderId="0">
      <alignment horizontal="right" vertical="top"/>
    </xf>
    <xf numFmtId="179" fontId="54" fillId="41" borderId="0">
      <alignment horizontal="right" vertical="top"/>
    </xf>
    <xf numFmtId="174" fontId="55" fillId="41" borderId="0">
      <alignment horizontal="right" vertical="top"/>
    </xf>
    <xf numFmtId="177" fontId="54" fillId="41" borderId="0">
      <alignment horizontal="right" vertical="top"/>
    </xf>
    <xf numFmtId="0" fontId="15" fillId="23" borderId="17" applyNumberFormat="0" applyAlignment="0" applyProtection="0"/>
    <xf numFmtId="0" fontId="41" fillId="42" borderId="26">
      <alignment horizontal="center"/>
    </xf>
    <xf numFmtId="166"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5" fillId="0" borderId="0" applyFont="0" applyFill="0" applyBorder="0" applyAlignment="0" applyProtection="0"/>
    <xf numFmtId="15" fontId="56" fillId="0" borderId="0">
      <alignment horizontal="right" vertical="top"/>
    </xf>
    <xf numFmtId="17" fontId="56" fillId="0" borderId="0">
      <alignment horizontal="right" vertical="top"/>
    </xf>
    <xf numFmtId="0" fontId="57" fillId="0" borderId="0">
      <alignment horizontal="left" vertical="top" indent="1"/>
    </xf>
    <xf numFmtId="0" fontId="41" fillId="43" borderId="26">
      <alignment horizontal="right"/>
    </xf>
    <xf numFmtId="176" fontId="54" fillId="43" borderId="26">
      <alignment horizontal="right" vertical="top"/>
    </xf>
    <xf numFmtId="174" fontId="54" fillId="43" borderId="26">
      <alignment horizontal="right" vertical="top"/>
    </xf>
    <xf numFmtId="177" fontId="54" fillId="43" borderId="26">
      <alignment horizontal="right" vertical="top"/>
    </xf>
    <xf numFmtId="0" fontId="54" fillId="0" borderId="0">
      <alignment horizontal="right" vertical="top"/>
    </xf>
    <xf numFmtId="176" fontId="55" fillId="0" borderId="0">
      <alignment vertical="top"/>
    </xf>
    <xf numFmtId="174" fontId="55" fillId="0" borderId="0">
      <alignment horizontal="right" vertical="top"/>
    </xf>
    <xf numFmtId="177" fontId="54" fillId="0" borderId="0">
      <alignment horizontal="right" vertical="top"/>
    </xf>
    <xf numFmtId="0" fontId="58" fillId="44" borderId="0" applyNumberFormat="0">
      <alignment horizontal="center" vertical="center"/>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59" fillId="0" borderId="0">
      <alignment horizontal="left" vertical="top"/>
    </xf>
    <xf numFmtId="0" fontId="60" fillId="0" borderId="0">
      <alignment horizontal="left" vertical="top"/>
    </xf>
    <xf numFmtId="0" fontId="61" fillId="0" borderId="0">
      <alignment horizontal="left" vertical="top"/>
    </xf>
    <xf numFmtId="178" fontId="46" fillId="0" borderId="37">
      <alignment vertical="center"/>
    </xf>
    <xf numFmtId="38" fontId="62" fillId="0" borderId="38">
      <alignment vertical="center"/>
      <protection locked="0"/>
    </xf>
    <xf numFmtId="178" fontId="43" fillId="45" borderId="16">
      <alignment vertical="center"/>
      <protection locked="0"/>
    </xf>
    <xf numFmtId="178" fontId="63" fillId="0" borderId="39">
      <alignment vertical="center"/>
      <protection locked="0"/>
    </xf>
    <xf numFmtId="0" fontId="64" fillId="0" borderId="0" applyNumberFormat="0">
      <alignment horizontal="left" vertical="top"/>
    </xf>
    <xf numFmtId="0" fontId="65" fillId="36" borderId="40" applyNumberFormat="0" applyFill="0" applyAlignment="0" applyProtection="0">
      <alignment vertical="center"/>
      <protection locked="0"/>
    </xf>
    <xf numFmtId="0" fontId="5" fillId="0" borderId="0"/>
    <xf numFmtId="0" fontId="1" fillId="0" borderId="0"/>
    <xf numFmtId="0" fontId="1" fillId="0" borderId="0"/>
    <xf numFmtId="0" fontId="1" fillId="0" borderId="0"/>
    <xf numFmtId="0" fontId="1" fillId="0" borderId="0"/>
    <xf numFmtId="0" fontId="25" fillId="23" borderId="19" applyNumberFormat="0" applyAlignment="0" applyProtection="0"/>
    <xf numFmtId="0" fontId="66" fillId="0" borderId="41">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67" fillId="0" borderId="0">
      <alignment horizontal="left"/>
    </xf>
    <xf numFmtId="0" fontId="68" fillId="0" borderId="41">
      <alignment horizontal="left"/>
    </xf>
    <xf numFmtId="181" fontId="45" fillId="46" borderId="0" applyNumberFormat="0" applyBorder="0">
      <alignment wrapText="1"/>
    </xf>
    <xf numFmtId="181" fontId="69" fillId="47" borderId="0" applyNumberFormat="0">
      <alignment vertical="center"/>
    </xf>
    <xf numFmtId="0" fontId="26" fillId="0" borderId="0" applyNumberFormat="0" applyFill="0" applyBorder="0" applyAlignment="0" applyProtection="0"/>
    <xf numFmtId="178" fontId="44" fillId="0" borderId="42">
      <alignment vertical="center"/>
    </xf>
    <xf numFmtId="178" fontId="44" fillId="0" borderId="43">
      <alignment vertical="center"/>
    </xf>
    <xf numFmtId="178" fontId="44" fillId="0" borderId="13">
      <alignment vertical="center"/>
    </xf>
    <xf numFmtId="0" fontId="27" fillId="0" borderId="20" applyNumberFormat="0" applyFill="0" applyAlignment="0" applyProtection="0"/>
    <xf numFmtId="0" fontId="70" fillId="0" borderId="0">
      <alignment horizontal="center"/>
    </xf>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28" borderId="32"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2" fillId="10" borderId="44" applyNumberFormat="0" applyAlignment="0" applyProtection="0"/>
    <xf numFmtId="0" fontId="5" fillId="26" borderId="45" applyNumberFormat="0" applyFont="0" applyAlignment="0" applyProtection="0"/>
    <xf numFmtId="0" fontId="25" fillId="23" borderId="46" applyNumberFormat="0" applyAlignment="0" applyProtection="0"/>
    <xf numFmtId="44" fontId="5" fillId="0" borderId="0" applyFont="0" applyFill="0" applyBorder="0" applyAlignment="0" applyProtection="0"/>
    <xf numFmtId="0" fontId="27" fillId="0" borderId="47" applyNumberFormat="0" applyFill="0" applyAlignment="0" applyProtection="0"/>
    <xf numFmtId="0" fontId="1" fillId="0" borderId="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89" fillId="0" borderId="0"/>
    <xf numFmtId="183" fontId="89" fillId="0" borderId="0"/>
    <xf numFmtId="169" fontId="89" fillId="0" borderId="0"/>
    <xf numFmtId="0" fontId="89" fillId="0" borderId="0"/>
    <xf numFmtId="183" fontId="89" fillId="0" borderId="0"/>
    <xf numFmtId="183" fontId="89" fillId="0" borderId="0"/>
    <xf numFmtId="169" fontId="89" fillId="0" borderId="0"/>
    <xf numFmtId="182" fontId="89" fillId="0" borderId="0"/>
    <xf numFmtId="183" fontId="89" fillId="0" borderId="0"/>
    <xf numFmtId="169" fontId="89" fillId="0" borderId="0"/>
    <xf numFmtId="183" fontId="89" fillId="0" borderId="0"/>
    <xf numFmtId="169" fontId="89" fillId="0" borderId="0"/>
    <xf numFmtId="169" fontId="89" fillId="0" borderId="0"/>
    <xf numFmtId="182" fontId="89"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0" fontId="89" fillId="0" borderId="0"/>
    <xf numFmtId="183" fontId="89" fillId="0" borderId="0"/>
    <xf numFmtId="0" fontId="89" fillId="0" borderId="0"/>
    <xf numFmtId="183" fontId="89" fillId="0" borderId="0"/>
    <xf numFmtId="169" fontId="6" fillId="0" borderId="0"/>
    <xf numFmtId="0" fontId="89" fillId="0" borderId="0"/>
    <xf numFmtId="183" fontId="89" fillId="0" borderId="0"/>
    <xf numFmtId="169"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9" fontId="6" fillId="0" borderId="0"/>
    <xf numFmtId="0" fontId="89" fillId="0" borderId="0"/>
    <xf numFmtId="183" fontId="89" fillId="0" borderId="0"/>
    <xf numFmtId="0" fontId="89" fillId="0" borderId="0"/>
    <xf numFmtId="183" fontId="89"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3" fontId="5"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69"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0" fontId="5" fillId="0" borderId="0"/>
    <xf numFmtId="169" fontId="6"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69" fontId="5" fillId="0" borderId="0"/>
    <xf numFmtId="182" fontId="5" fillId="0" borderId="0"/>
    <xf numFmtId="182"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2" fontId="5" fillId="0" borderId="0"/>
    <xf numFmtId="183"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0" fontId="5" fillId="0" borderId="0"/>
    <xf numFmtId="169" fontId="6" fillId="0" borderId="0"/>
    <xf numFmtId="0" fontId="6" fillId="0" borderId="0"/>
    <xf numFmtId="183" fontId="6" fillId="0" borderId="0"/>
    <xf numFmtId="0" fontId="6" fillId="0" borderId="0"/>
    <xf numFmtId="183" fontId="6" fillId="0" borderId="0"/>
    <xf numFmtId="0" fontId="6" fillId="0" borderId="0"/>
    <xf numFmtId="183" fontId="6" fillId="0" borderId="0"/>
    <xf numFmtId="0" fontId="5" fillId="0" borderId="0"/>
    <xf numFmtId="183" fontId="5" fillId="0" borderId="0"/>
    <xf numFmtId="0" fontId="5" fillId="0" borderId="0"/>
    <xf numFmtId="183" fontId="5" fillId="0" borderId="0"/>
    <xf numFmtId="0" fontId="6" fillId="0" borderId="0"/>
    <xf numFmtId="183" fontId="6" fillId="0" borderId="0"/>
    <xf numFmtId="0" fontId="5" fillId="0" borderId="0"/>
    <xf numFmtId="183" fontId="5" fillId="0" borderId="0"/>
    <xf numFmtId="0" fontId="5" fillId="0" borderId="0"/>
    <xf numFmtId="183" fontId="5"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0" fontId="5" fillId="0" borderId="0"/>
    <xf numFmtId="183" fontId="5" fillId="0" borderId="0"/>
    <xf numFmtId="0" fontId="5" fillId="0" borderId="0"/>
    <xf numFmtId="182" fontId="5" fillId="0" borderId="0"/>
    <xf numFmtId="182" fontId="5" fillId="0" borderId="0"/>
    <xf numFmtId="169" fontId="5" fillId="0" borderId="0"/>
    <xf numFmtId="0" fontId="5" fillId="0" borderId="0"/>
    <xf numFmtId="182" fontId="5" fillId="0" borderId="0"/>
    <xf numFmtId="183" fontId="5" fillId="0" borderId="0"/>
    <xf numFmtId="0" fontId="5" fillId="0" borderId="0"/>
    <xf numFmtId="0" fontId="5" fillId="0" borderId="0"/>
    <xf numFmtId="0" fontId="5" fillId="0" borderId="0"/>
    <xf numFmtId="183" fontId="5" fillId="0" borderId="0"/>
    <xf numFmtId="183" fontId="5" fillId="0" borderId="0"/>
    <xf numFmtId="182" fontId="5" fillId="0" borderId="0"/>
    <xf numFmtId="183" fontId="5" fillId="0" borderId="0"/>
    <xf numFmtId="182" fontId="5" fillId="0" borderId="0"/>
    <xf numFmtId="0" fontId="5" fillId="0" borderId="0"/>
    <xf numFmtId="0" fontId="5" fillId="0" borderId="0"/>
    <xf numFmtId="0" fontId="5" fillId="0" borderId="0"/>
    <xf numFmtId="0" fontId="5" fillId="0" borderId="0"/>
    <xf numFmtId="169" fontId="5" fillId="0" borderId="0"/>
    <xf numFmtId="169" fontId="5" fillId="0" borderId="0"/>
    <xf numFmtId="182" fontId="5" fillId="0" borderId="0"/>
    <xf numFmtId="182" fontId="5" fillId="0" borderId="0"/>
    <xf numFmtId="0" fontId="5" fillId="0" borderId="0"/>
    <xf numFmtId="0" fontId="5" fillId="0" borderId="0"/>
    <xf numFmtId="183" fontId="5" fillId="0" borderId="0"/>
    <xf numFmtId="0" fontId="5" fillId="0" borderId="0"/>
    <xf numFmtId="183" fontId="5" fillId="0" borderId="0"/>
    <xf numFmtId="0" fontId="5" fillId="0" borderId="0"/>
    <xf numFmtId="0" fontId="5" fillId="0" borderId="0"/>
    <xf numFmtId="169" fontId="6" fillId="0" borderId="0"/>
    <xf numFmtId="0" fontId="6" fillId="0" borderId="0"/>
    <xf numFmtId="0" fontId="6" fillId="0" borderId="0"/>
    <xf numFmtId="183" fontId="6" fillId="0" borderId="0"/>
    <xf numFmtId="169" fontId="6" fillId="0" borderId="0"/>
    <xf numFmtId="183" fontId="6" fillId="0" borderId="0"/>
    <xf numFmtId="0" fontId="6" fillId="0" borderId="0"/>
    <xf numFmtId="183" fontId="6" fillId="0" borderId="0"/>
    <xf numFmtId="0" fontId="6" fillId="0" borderId="0"/>
    <xf numFmtId="183" fontId="6" fillId="0" borderId="0"/>
    <xf numFmtId="169" fontId="6" fillId="0" borderId="0"/>
    <xf numFmtId="0" fontId="5" fillId="0" borderId="0"/>
    <xf numFmtId="183" fontId="5" fillId="0" borderId="0"/>
    <xf numFmtId="169" fontId="6" fillId="0" borderId="0"/>
    <xf numFmtId="169" fontId="89" fillId="0" borderId="0"/>
    <xf numFmtId="169" fontId="89" fillId="0" borderId="0"/>
    <xf numFmtId="169" fontId="6" fillId="0" borderId="0"/>
    <xf numFmtId="0" fontId="89" fillId="0" borderId="0"/>
    <xf numFmtId="183" fontId="89" fillId="0" borderId="0"/>
    <xf numFmtId="169" fontId="89" fillId="0" borderId="0"/>
    <xf numFmtId="0" fontId="89" fillId="0" borderId="0"/>
    <xf numFmtId="183" fontId="89" fillId="0" borderId="0"/>
    <xf numFmtId="182" fontId="89" fillId="0" borderId="0"/>
    <xf numFmtId="183" fontId="89" fillId="0" borderId="0"/>
    <xf numFmtId="182" fontId="89" fillId="0" borderId="0"/>
    <xf numFmtId="183" fontId="89" fillId="0" borderId="0"/>
    <xf numFmtId="169" fontId="6" fillId="0" borderId="0"/>
    <xf numFmtId="169" fontId="6" fillId="0" borderId="0"/>
    <xf numFmtId="0" fontId="89" fillId="0" borderId="0"/>
    <xf numFmtId="183" fontId="89" fillId="0" borderId="0"/>
    <xf numFmtId="0" fontId="89" fillId="0" borderId="0"/>
    <xf numFmtId="183" fontId="89" fillId="0" borderId="0"/>
    <xf numFmtId="169" fontId="89" fillId="0" borderId="0"/>
    <xf numFmtId="169" fontId="6" fillId="0" borderId="0"/>
    <xf numFmtId="169" fontId="6" fillId="0" borderId="0"/>
    <xf numFmtId="0" fontId="5" fillId="0" borderId="0"/>
    <xf numFmtId="0" fontId="5" fillId="0" borderId="0"/>
    <xf numFmtId="183" fontId="5" fillId="0" borderId="0"/>
    <xf numFmtId="183" fontId="5" fillId="0" borderId="0"/>
    <xf numFmtId="169" fontId="89" fillId="0" borderId="0"/>
    <xf numFmtId="169" fontId="6" fillId="0" borderId="0"/>
    <xf numFmtId="0"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 borderId="0" applyNumberFormat="0" applyBorder="0" applyAlignment="0" applyProtection="0"/>
    <xf numFmtId="169" fontId="12" fillId="5" borderId="0" applyNumberFormat="0" applyBorder="0" applyAlignment="0" applyProtection="0"/>
    <xf numFmtId="183" fontId="12" fillId="5" borderId="0" applyNumberFormat="0" applyBorder="0" applyAlignment="0" applyProtection="0"/>
    <xf numFmtId="0"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2" fontId="12" fillId="5" borderId="0" applyNumberFormat="0" applyBorder="0" applyAlignment="0" applyProtection="0"/>
    <xf numFmtId="182" fontId="12" fillId="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2"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83"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169" fontId="1" fillId="55" borderId="0" applyNumberFormat="0" applyBorder="0" applyAlignment="0" applyProtection="0"/>
    <xf numFmtId="0" fontId="12" fillId="5" borderId="0" applyNumberFormat="0" applyBorder="0" applyAlignment="0" applyProtection="0"/>
    <xf numFmtId="183" fontId="12" fillId="11" borderId="0" applyNumberFormat="0" applyBorder="0" applyAlignment="0" applyProtection="0"/>
    <xf numFmtId="182" fontId="12" fillId="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183" fontId="1" fillId="55" borderId="0" applyNumberFormat="0" applyBorder="0" applyAlignment="0" applyProtection="0"/>
    <xf numFmtId="0"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6" borderId="0" applyNumberFormat="0" applyBorder="0" applyAlignment="0" applyProtection="0"/>
    <xf numFmtId="169" fontId="12" fillId="6" borderId="0" applyNumberFormat="0" applyBorder="0" applyAlignment="0" applyProtection="0"/>
    <xf numFmtId="183" fontId="12" fillId="6" borderId="0" applyNumberFormat="0" applyBorder="0" applyAlignment="0" applyProtection="0"/>
    <xf numFmtId="0"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2" fontId="12" fillId="6" borderId="0" applyNumberFormat="0" applyBorder="0" applyAlignment="0" applyProtection="0"/>
    <xf numFmtId="182" fontId="12" fillId="6"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2"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83"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169" fontId="1" fillId="58" borderId="0" applyNumberFormat="0" applyBorder="0" applyAlignment="0" applyProtection="0"/>
    <xf numFmtId="0" fontId="12" fillId="6" borderId="0" applyNumberFormat="0" applyBorder="0" applyAlignment="0" applyProtection="0"/>
    <xf numFmtId="183" fontId="12" fillId="12" borderId="0" applyNumberFormat="0" applyBorder="0" applyAlignment="0" applyProtection="0"/>
    <xf numFmtId="182" fontId="12" fillId="6"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183"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7" borderId="0" applyNumberFormat="0" applyBorder="0" applyAlignment="0" applyProtection="0"/>
    <xf numFmtId="169" fontId="12" fillId="7" borderId="0" applyNumberFormat="0" applyBorder="0" applyAlignment="0" applyProtection="0"/>
    <xf numFmtId="183" fontId="12" fillId="7" borderId="0" applyNumberFormat="0" applyBorder="0" applyAlignment="0" applyProtection="0"/>
    <xf numFmtId="0"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2" fontId="12" fillId="7" borderId="0" applyNumberFormat="0" applyBorder="0" applyAlignment="0" applyProtection="0"/>
    <xf numFmtId="182" fontId="12" fillId="7"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7"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183"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2"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83"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169" fontId="1" fillId="62" borderId="0" applyNumberFormat="0" applyBorder="0" applyAlignment="0" applyProtection="0"/>
    <xf numFmtId="0"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2" fillId="26" borderId="0" applyNumberFormat="0" applyBorder="0" applyAlignment="0" applyProtection="0"/>
    <xf numFmtId="182" fontId="12" fillId="7"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183" fontId="1" fillId="62"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69"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10" borderId="0" applyNumberFormat="0" applyBorder="0" applyAlignment="0" applyProtection="0"/>
    <xf numFmtId="183" fontId="12" fillId="8"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2"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83"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169" fontId="1" fillId="66" borderId="0" applyNumberFormat="0" applyBorder="0" applyAlignment="0" applyProtection="0"/>
    <xf numFmtId="0" fontId="12" fillId="8" borderId="0" applyNumberFormat="0" applyBorder="0" applyAlignment="0" applyProtection="0"/>
    <xf numFmtId="183" fontId="12" fillId="10" borderId="0" applyNumberFormat="0" applyBorder="0" applyAlignment="0" applyProtection="0"/>
    <xf numFmtId="182" fontId="12" fillId="8"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183"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2" fillId="9"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2" fontId="12" fillId="9" borderId="0" applyNumberFormat="0" applyBorder="0" applyAlignment="0" applyProtection="0"/>
    <xf numFmtId="182"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2" fontId="12" fillId="9"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2" fontId="12" fillId="9"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69" fontId="1" fillId="70" borderId="0" applyNumberFormat="0" applyBorder="0" applyAlignment="0" applyProtection="0"/>
    <xf numFmtId="183"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2" fontId="12" fillId="9"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183" fontId="1" fillId="70" borderId="0" applyNumberFormat="0" applyBorder="0" applyAlignment="0" applyProtection="0"/>
    <xf numFmtId="0"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10" borderId="0" applyNumberFormat="0" applyBorder="0" applyAlignment="0" applyProtection="0"/>
    <xf numFmtId="169" fontId="12" fillId="10" borderId="0" applyNumberFormat="0" applyBorder="0" applyAlignment="0" applyProtection="0"/>
    <xf numFmtId="183" fontId="12" fillId="10" borderId="0" applyNumberFormat="0" applyBorder="0" applyAlignment="0" applyProtection="0"/>
    <xf numFmtId="0"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2" fontId="12" fillId="10" borderId="0" applyNumberFormat="0" applyBorder="0" applyAlignment="0" applyProtection="0"/>
    <xf numFmtId="182" fontId="12" fillId="10"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2"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83"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169" fontId="1" fillId="74" borderId="0" applyNumberFormat="0" applyBorder="0" applyAlignment="0" applyProtection="0"/>
    <xf numFmtId="0" fontId="12" fillId="10" borderId="0" applyNumberFormat="0" applyBorder="0" applyAlignment="0" applyProtection="0"/>
    <xf numFmtId="183" fontId="12" fillId="26" borderId="0" applyNumberFormat="0" applyBorder="0" applyAlignment="0" applyProtection="0"/>
    <xf numFmtId="182" fontId="12" fillId="10"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183" fontId="1" fillId="74"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169"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2"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83"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183" fontId="1" fillId="2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2" fillId="12"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2" fontId="12" fillId="12" borderId="0" applyNumberFormat="0" applyBorder="0" applyAlignment="0" applyProtection="0"/>
    <xf numFmtId="182"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2" fontId="12" fillId="12"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2" fontId="12" fillId="12"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69" fontId="1" fillId="59" borderId="0" applyNumberFormat="0" applyBorder="0" applyAlignment="0" applyProtection="0"/>
    <xf numFmtId="183"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2" fontId="12" fillId="12"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183" fontId="1" fillId="59" borderId="0" applyNumberFormat="0" applyBorder="0" applyAlignment="0" applyProtection="0"/>
    <xf numFmtId="0"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13" borderId="0" applyNumberFormat="0" applyBorder="0" applyAlignment="0" applyProtection="0"/>
    <xf numFmtId="169" fontId="12" fillId="13" borderId="0" applyNumberFormat="0" applyBorder="0" applyAlignment="0" applyProtection="0"/>
    <xf numFmtId="183" fontId="12" fillId="13" borderId="0" applyNumberFormat="0" applyBorder="0" applyAlignment="0" applyProtection="0"/>
    <xf numFmtId="0"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2" fontId="12" fillId="13" borderId="0" applyNumberFormat="0" applyBorder="0" applyAlignment="0" applyProtection="0"/>
    <xf numFmtId="182" fontId="12" fillId="1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2"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83"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169" fontId="1" fillId="63" borderId="0" applyNumberFormat="0" applyBorder="0" applyAlignment="0" applyProtection="0"/>
    <xf numFmtId="0" fontId="12" fillId="13" borderId="0" applyNumberFormat="0" applyBorder="0" applyAlignment="0" applyProtection="0"/>
    <xf numFmtId="183" fontId="12" fillId="25" borderId="0" applyNumberFormat="0" applyBorder="0" applyAlignment="0" applyProtection="0"/>
    <xf numFmtId="182" fontId="12" fillId="1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183" fontId="1" fillId="63"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69" fontId="12" fillId="8" borderId="0" applyNumberFormat="0" applyBorder="0" applyAlignment="0" applyProtection="0"/>
    <xf numFmtId="183" fontId="12" fillId="8"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82" fontId="12" fillId="8" borderId="0" applyNumberFormat="0" applyBorder="0" applyAlignment="0" applyProtection="0"/>
    <xf numFmtId="182" fontId="12" fillId="8" borderId="0" applyNumberFormat="0" applyBorder="0" applyAlignment="0" applyProtection="0"/>
    <xf numFmtId="183" fontId="12" fillId="6" borderId="0" applyNumberFormat="0" applyBorder="0" applyAlignment="0" applyProtection="0"/>
    <xf numFmtId="183" fontId="12" fillId="8"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2"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83"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169" fontId="1" fillId="67" borderId="0" applyNumberFormat="0" applyBorder="0" applyAlignment="0" applyProtection="0"/>
    <xf numFmtId="0" fontId="12" fillId="8" borderId="0" applyNumberFormat="0" applyBorder="0" applyAlignment="0" applyProtection="0"/>
    <xf numFmtId="183" fontId="12" fillId="6" borderId="0" applyNumberFormat="0" applyBorder="0" applyAlignment="0" applyProtection="0"/>
    <xf numFmtId="182" fontId="12" fillId="8"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183" fontId="1" fillId="6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69" fontId="12" fillId="11" borderId="0" applyNumberFormat="0" applyBorder="0" applyAlignment="0" applyProtection="0"/>
    <xf numFmtId="183" fontId="12" fillId="1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2" fontId="12" fillId="11" borderId="0" applyNumberFormat="0" applyBorder="0" applyAlignment="0" applyProtection="0"/>
    <xf numFmtId="182" fontId="12" fillId="11" borderId="0" applyNumberFormat="0" applyBorder="0" applyAlignment="0" applyProtection="0"/>
    <xf numFmtId="183" fontId="12" fillId="9" borderId="0" applyNumberFormat="0" applyBorder="0" applyAlignment="0" applyProtection="0"/>
    <xf numFmtId="183" fontId="12" fillId="1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2"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83"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169" fontId="1" fillId="71" borderId="0" applyNumberFormat="0" applyBorder="0" applyAlignment="0" applyProtection="0"/>
    <xf numFmtId="0" fontId="12" fillId="11" borderId="0" applyNumberFormat="0" applyBorder="0" applyAlignment="0" applyProtection="0"/>
    <xf numFmtId="183" fontId="12" fillId="9" borderId="0" applyNumberFormat="0" applyBorder="0" applyAlignment="0" applyProtection="0"/>
    <xf numFmtId="182" fontId="12" fillId="1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183" fontId="1" fillId="71" borderId="0" applyNumberFormat="0" applyBorder="0" applyAlignment="0" applyProtection="0"/>
    <xf numFmtId="0"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14" borderId="0" applyNumberFormat="0" applyBorder="0" applyAlignment="0" applyProtection="0"/>
    <xf numFmtId="169" fontId="12" fillId="14" borderId="0" applyNumberFormat="0" applyBorder="0" applyAlignment="0" applyProtection="0"/>
    <xf numFmtId="183" fontId="12" fillId="14" borderId="0" applyNumberFormat="0" applyBorder="0" applyAlignment="0" applyProtection="0"/>
    <xf numFmtId="0"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2" fontId="12" fillId="14" borderId="0" applyNumberFormat="0" applyBorder="0" applyAlignment="0" applyProtection="0"/>
    <xf numFmtId="182" fontId="12" fillId="14"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2"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83"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169" fontId="1" fillId="75" borderId="0" applyNumberFormat="0" applyBorder="0" applyAlignment="0" applyProtection="0"/>
    <xf numFmtId="0" fontId="12" fillId="14" borderId="0" applyNumberFormat="0" applyBorder="0" applyAlignment="0" applyProtection="0"/>
    <xf numFmtId="183" fontId="12" fillId="26" borderId="0" applyNumberFormat="0" applyBorder="0" applyAlignment="0" applyProtection="0"/>
    <xf numFmtId="182" fontId="12" fillId="14"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183" fontId="1" fillId="7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69" fontId="13" fillId="15" borderId="0" applyNumberFormat="0" applyBorder="0" applyAlignment="0" applyProtection="0"/>
    <xf numFmtId="183" fontId="13" fillId="15" borderId="0" applyNumberFormat="0" applyBorder="0" applyAlignment="0" applyProtection="0"/>
    <xf numFmtId="0" fontId="13" fillId="15" borderId="0" applyNumberFormat="0" applyBorder="0" applyAlignment="0" applyProtection="0"/>
    <xf numFmtId="0" fontId="36" fillId="56" borderId="0" applyNumberFormat="0" applyBorder="0" applyAlignment="0" applyProtection="0"/>
    <xf numFmtId="182"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2" fontId="13" fillId="15" borderId="0" applyNumberFormat="0" applyBorder="0" applyAlignment="0" applyProtection="0"/>
    <xf numFmtId="182" fontId="13" fillId="15" borderId="0" applyNumberFormat="0" applyBorder="0" applyAlignment="0" applyProtection="0"/>
    <xf numFmtId="183" fontId="13" fillId="9" borderId="0" applyNumberFormat="0" applyBorder="0" applyAlignment="0" applyProtection="0"/>
    <xf numFmtId="183"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3" fontId="13" fillId="15" borderId="0" applyNumberFormat="0" applyBorder="0" applyAlignment="0" applyProtection="0"/>
    <xf numFmtId="169" fontId="36" fillId="56"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15" borderId="0" applyNumberFormat="0" applyBorder="0" applyAlignment="0" applyProtection="0"/>
    <xf numFmtId="183" fontId="13" fillId="9" borderId="0" applyNumberFormat="0" applyBorder="0" applyAlignment="0" applyProtection="0"/>
    <xf numFmtId="182" fontId="13" fillId="15" borderId="0" applyNumberFormat="0" applyBorder="0" applyAlignment="0" applyProtection="0"/>
    <xf numFmtId="183" fontId="36" fillId="56"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69" fontId="13" fillId="12" borderId="0" applyNumberFormat="0" applyBorder="0" applyAlignment="0" applyProtection="0"/>
    <xf numFmtId="183" fontId="13" fillId="12" borderId="0" applyNumberFormat="0" applyBorder="0" applyAlignment="0" applyProtection="0"/>
    <xf numFmtId="0" fontId="13" fillId="12" borderId="0" applyNumberFormat="0" applyBorder="0" applyAlignment="0" applyProtection="0"/>
    <xf numFmtId="0" fontId="36" fillId="60" borderId="0" applyNumberFormat="0" applyBorder="0" applyAlignment="0" applyProtection="0"/>
    <xf numFmtId="182"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2" fontId="13" fillId="12" borderId="0" applyNumberFormat="0" applyBorder="0" applyAlignment="0" applyProtection="0"/>
    <xf numFmtId="182" fontId="13" fillId="12" borderId="0" applyNumberFormat="0" applyBorder="0" applyAlignment="0" applyProtection="0"/>
    <xf numFmtId="183" fontId="13" fillId="22" borderId="0" applyNumberFormat="0" applyBorder="0" applyAlignment="0" applyProtection="0"/>
    <xf numFmtId="183"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3" fontId="13" fillId="12" borderId="0" applyNumberFormat="0" applyBorder="0" applyAlignment="0" applyProtection="0"/>
    <xf numFmtId="169" fontId="36" fillId="60"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2" borderId="0" applyNumberFormat="0" applyBorder="0" applyAlignment="0" applyProtection="0"/>
    <xf numFmtId="183" fontId="13" fillId="22" borderId="0" applyNumberFormat="0" applyBorder="0" applyAlignment="0" applyProtection="0"/>
    <xf numFmtId="182" fontId="13" fillId="12" borderId="0" applyNumberFormat="0" applyBorder="0" applyAlignment="0" applyProtection="0"/>
    <xf numFmtId="183" fontId="36" fillId="60"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69" fontId="13" fillId="13" borderId="0" applyNumberFormat="0" applyBorder="0" applyAlignment="0" applyProtection="0"/>
    <xf numFmtId="183" fontId="13" fillId="13" borderId="0" applyNumberFormat="0" applyBorder="0" applyAlignment="0" applyProtection="0"/>
    <xf numFmtId="0" fontId="13" fillId="13" borderId="0" applyNumberFormat="0" applyBorder="0" applyAlignment="0" applyProtection="0"/>
    <xf numFmtId="0" fontId="36" fillId="64" borderId="0" applyNumberFormat="0" applyBorder="0" applyAlignment="0" applyProtection="0"/>
    <xf numFmtId="182"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2" fontId="13" fillId="13" borderId="0" applyNumberFormat="0" applyBorder="0" applyAlignment="0" applyProtection="0"/>
    <xf numFmtId="182" fontId="13" fillId="13" borderId="0" applyNumberFormat="0" applyBorder="0" applyAlignment="0" applyProtection="0"/>
    <xf numFmtId="183" fontId="13" fillId="14" borderId="0" applyNumberFormat="0" applyBorder="0" applyAlignment="0" applyProtection="0"/>
    <xf numFmtId="183"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3" fontId="13" fillId="13" borderId="0" applyNumberFormat="0" applyBorder="0" applyAlignment="0" applyProtection="0"/>
    <xf numFmtId="169" fontId="36" fillId="6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13" fillId="13" borderId="0" applyNumberFormat="0" applyBorder="0" applyAlignment="0" applyProtection="0"/>
    <xf numFmtId="183" fontId="13" fillId="14" borderId="0" applyNumberFormat="0" applyBorder="0" applyAlignment="0" applyProtection="0"/>
    <xf numFmtId="182" fontId="13" fillId="13" borderId="0" applyNumberFormat="0" applyBorder="0" applyAlignment="0" applyProtection="0"/>
    <xf numFmtId="183" fontId="36" fillId="64" borderId="0" applyNumberFormat="0" applyBorder="0" applyAlignment="0" applyProtection="0"/>
    <xf numFmtId="0" fontId="36" fillId="16" borderId="0" applyNumberFormat="0" applyBorder="0" applyAlignment="0" applyProtection="0"/>
    <xf numFmtId="0" fontId="13" fillId="16" borderId="0" applyNumberFormat="0" applyBorder="0" applyAlignment="0" applyProtection="0"/>
    <xf numFmtId="169"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8" borderId="0" applyNumberFormat="0" applyBorder="0" applyAlignment="0" applyProtection="0"/>
    <xf numFmtId="182" fontId="13"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182" fontId="13" fillId="16" borderId="0" applyNumberFormat="0" applyBorder="0" applyAlignment="0" applyProtection="0"/>
    <xf numFmtId="183" fontId="36" fillId="16" borderId="0" applyNumberFormat="0" applyBorder="0" applyAlignment="0" applyProtection="0"/>
    <xf numFmtId="0" fontId="36"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183" fontId="13" fillId="6" borderId="0" applyNumberFormat="0" applyBorder="0" applyAlignment="0" applyProtection="0"/>
    <xf numFmtId="183" fontId="13" fillId="16" borderId="0" applyNumberFormat="0" applyBorder="0" applyAlignment="0" applyProtection="0"/>
    <xf numFmtId="169" fontId="36" fillId="68" borderId="0" applyNumberFormat="0" applyBorder="0" applyAlignment="0" applyProtection="0"/>
    <xf numFmtId="182"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183" fontId="36" fillId="68" borderId="0" applyNumberFormat="0" applyBorder="0" applyAlignment="0" applyProtection="0"/>
    <xf numFmtId="183" fontId="13" fillId="6" borderId="0" applyNumberFormat="0" applyBorder="0" applyAlignment="0" applyProtection="0"/>
    <xf numFmtId="182" fontId="13" fillId="16" borderId="0" applyNumberFormat="0" applyBorder="0" applyAlignment="0" applyProtection="0"/>
    <xf numFmtId="183" fontId="36" fillId="68"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69" fontId="13" fillId="17" borderId="0" applyNumberFormat="0" applyBorder="0" applyAlignment="0" applyProtection="0"/>
    <xf numFmtId="183" fontId="13" fillId="17" borderId="0" applyNumberFormat="0" applyBorder="0" applyAlignment="0" applyProtection="0"/>
    <xf numFmtId="0" fontId="13" fillId="17" borderId="0" applyNumberFormat="0" applyBorder="0" applyAlignment="0" applyProtection="0"/>
    <xf numFmtId="0" fontId="36" fillId="72" borderId="0" applyNumberFormat="0" applyBorder="0" applyAlignment="0" applyProtection="0"/>
    <xf numFmtId="182"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9" borderId="0" applyNumberFormat="0" applyBorder="0" applyAlignment="0" applyProtection="0"/>
    <xf numFmtId="183"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69" fontId="36" fillId="72"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7" borderId="0" applyNumberFormat="0" applyBorder="0" applyAlignment="0" applyProtection="0"/>
    <xf numFmtId="183" fontId="13" fillId="9" borderId="0" applyNumberFormat="0" applyBorder="0" applyAlignment="0" applyProtection="0"/>
    <xf numFmtId="182" fontId="13" fillId="17" borderId="0" applyNumberFormat="0" applyBorder="0" applyAlignment="0" applyProtection="0"/>
    <xf numFmtId="183" fontId="36" fillId="72"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69" fontId="13" fillId="18" borderId="0" applyNumberFormat="0" applyBorder="0" applyAlignment="0" applyProtection="0"/>
    <xf numFmtId="183" fontId="13" fillId="18" borderId="0" applyNumberFormat="0" applyBorder="0" applyAlignment="0" applyProtection="0"/>
    <xf numFmtId="0" fontId="13" fillId="18" borderId="0" applyNumberFormat="0" applyBorder="0" applyAlignment="0" applyProtection="0"/>
    <xf numFmtId="0" fontId="36" fillId="76" borderId="0" applyNumberFormat="0" applyBorder="0" applyAlignment="0" applyProtection="0"/>
    <xf numFmtId="182"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2" fontId="13" fillId="18" borderId="0" applyNumberFormat="0" applyBorder="0" applyAlignment="0" applyProtection="0"/>
    <xf numFmtId="182" fontId="13" fillId="18" borderId="0" applyNumberFormat="0" applyBorder="0" applyAlignment="0" applyProtection="0"/>
    <xf numFmtId="183" fontId="13" fillId="12" borderId="0" applyNumberFormat="0" applyBorder="0" applyAlignment="0" applyProtection="0"/>
    <xf numFmtId="183"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3" fontId="13" fillId="18" borderId="0" applyNumberFormat="0" applyBorder="0" applyAlignment="0" applyProtection="0"/>
    <xf numFmtId="169" fontId="36" fillId="76"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18" borderId="0" applyNumberFormat="0" applyBorder="0" applyAlignment="0" applyProtection="0"/>
    <xf numFmtId="183" fontId="13" fillId="12" borderId="0" applyNumberFormat="0" applyBorder="0" applyAlignment="0" applyProtection="0"/>
    <xf numFmtId="182" fontId="13" fillId="18" borderId="0" applyNumberFormat="0" applyBorder="0" applyAlignment="0" applyProtection="0"/>
    <xf numFmtId="183" fontId="36" fillId="76"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69" fontId="13" fillId="19" borderId="0" applyNumberFormat="0" applyBorder="0" applyAlignment="0" applyProtection="0"/>
    <xf numFmtId="183" fontId="13" fillId="19" borderId="0" applyNumberFormat="0" applyBorder="0" applyAlignment="0" applyProtection="0"/>
    <xf numFmtId="0" fontId="13" fillId="19" borderId="0" applyNumberFormat="0" applyBorder="0" applyAlignment="0" applyProtection="0"/>
    <xf numFmtId="0" fontId="36" fillId="54" borderId="0" applyNumberFormat="0" applyBorder="0" applyAlignment="0" applyProtection="0"/>
    <xf numFmtId="182" fontId="13" fillId="19"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2" fontId="13" fillId="19" borderId="0" applyNumberFormat="0" applyBorder="0" applyAlignment="0" applyProtection="0"/>
    <xf numFmtId="182" fontId="13" fillId="19" borderId="0" applyNumberFormat="0" applyBorder="0" applyAlignment="0" applyProtection="0"/>
    <xf numFmtId="183" fontId="13" fillId="77" borderId="0" applyNumberFormat="0" applyBorder="0" applyAlignment="0" applyProtection="0"/>
    <xf numFmtId="183" fontId="13" fillId="19" borderId="0" applyNumberFormat="0" applyBorder="0" applyAlignment="0" applyProtection="0"/>
    <xf numFmtId="0" fontId="90" fillId="54"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3" fontId="13" fillId="19" borderId="0" applyNumberFormat="0" applyBorder="0" applyAlignment="0" applyProtection="0"/>
    <xf numFmtId="169" fontId="36"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19" borderId="0" applyNumberFormat="0" applyBorder="0" applyAlignment="0" applyProtection="0"/>
    <xf numFmtId="183" fontId="13" fillId="77" borderId="0" applyNumberFormat="0" applyBorder="0" applyAlignment="0" applyProtection="0"/>
    <xf numFmtId="0" fontId="91" fillId="54" borderId="0" applyNumberFormat="0" applyBorder="0" applyAlignment="0" applyProtection="0"/>
    <xf numFmtId="182" fontId="13" fillId="19" borderId="0" applyNumberFormat="0" applyBorder="0" applyAlignment="0" applyProtection="0"/>
    <xf numFmtId="183" fontId="36" fillId="54"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69" fontId="13" fillId="20" borderId="0" applyNumberFormat="0" applyBorder="0" applyAlignment="0" applyProtection="0"/>
    <xf numFmtId="183" fontId="13" fillId="20" borderId="0" applyNumberFormat="0" applyBorder="0" applyAlignment="0" applyProtection="0"/>
    <xf numFmtId="0" fontId="13" fillId="20" borderId="0" applyNumberFormat="0" applyBorder="0" applyAlignment="0" applyProtection="0"/>
    <xf numFmtId="0" fontId="36" fillId="57" borderId="0" applyNumberFormat="0" applyBorder="0" applyAlignment="0" applyProtection="0"/>
    <xf numFmtId="182"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2" fontId="13" fillId="20" borderId="0" applyNumberFormat="0" applyBorder="0" applyAlignment="0" applyProtection="0"/>
    <xf numFmtId="182" fontId="13" fillId="20" borderId="0" applyNumberFormat="0" applyBorder="0" applyAlignment="0" applyProtection="0"/>
    <xf numFmtId="183" fontId="13" fillId="22" borderId="0" applyNumberFormat="0" applyBorder="0" applyAlignment="0" applyProtection="0"/>
    <xf numFmtId="183"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3" fontId="13" fillId="20" borderId="0" applyNumberFormat="0" applyBorder="0" applyAlignment="0" applyProtection="0"/>
    <xf numFmtId="169" fontId="36"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20" borderId="0" applyNumberFormat="0" applyBorder="0" applyAlignment="0" applyProtection="0"/>
    <xf numFmtId="183" fontId="13" fillId="22" borderId="0" applyNumberFormat="0" applyBorder="0" applyAlignment="0" applyProtection="0"/>
    <xf numFmtId="0" fontId="91" fillId="57" borderId="0" applyNumberFormat="0" applyBorder="0" applyAlignment="0" applyProtection="0"/>
    <xf numFmtId="182" fontId="13" fillId="20" borderId="0" applyNumberFormat="0" applyBorder="0" applyAlignment="0" applyProtection="0"/>
    <xf numFmtId="183" fontId="36" fillId="57"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69" fontId="13" fillId="21" borderId="0" applyNumberFormat="0" applyBorder="0" applyAlignment="0" applyProtection="0"/>
    <xf numFmtId="183" fontId="13" fillId="21" borderId="0" applyNumberFormat="0" applyBorder="0" applyAlignment="0" applyProtection="0"/>
    <xf numFmtId="0" fontId="13" fillId="21" borderId="0" applyNumberFormat="0" applyBorder="0" applyAlignment="0" applyProtection="0"/>
    <xf numFmtId="0" fontId="36" fillId="61" borderId="0" applyNumberFormat="0" applyBorder="0" applyAlignment="0" applyProtection="0"/>
    <xf numFmtId="182"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2" fontId="13" fillId="21" borderId="0" applyNumberFormat="0" applyBorder="0" applyAlignment="0" applyProtection="0"/>
    <xf numFmtId="182" fontId="13" fillId="21" borderId="0" applyNumberFormat="0" applyBorder="0" applyAlignment="0" applyProtection="0"/>
    <xf numFmtId="183" fontId="13" fillId="14" borderId="0" applyNumberFormat="0" applyBorder="0" applyAlignment="0" applyProtection="0"/>
    <xf numFmtId="183"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3" fontId="13" fillId="21" borderId="0" applyNumberFormat="0" applyBorder="0" applyAlignment="0" applyProtection="0"/>
    <xf numFmtId="169" fontId="36" fillId="61"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21" borderId="0" applyNumberFormat="0" applyBorder="0" applyAlignment="0" applyProtection="0"/>
    <xf numFmtId="183" fontId="13" fillId="14" borderId="0" applyNumberFormat="0" applyBorder="0" applyAlignment="0" applyProtection="0"/>
    <xf numFmtId="182" fontId="13" fillId="21" borderId="0" applyNumberFormat="0" applyBorder="0" applyAlignment="0" applyProtection="0"/>
    <xf numFmtId="183" fontId="36" fillId="61"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69" fontId="13" fillId="16" borderId="0" applyNumberFormat="0" applyBorder="0" applyAlignment="0" applyProtection="0"/>
    <xf numFmtId="183" fontId="13" fillId="16" borderId="0" applyNumberFormat="0" applyBorder="0" applyAlignment="0" applyProtection="0"/>
    <xf numFmtId="0" fontId="13" fillId="16" borderId="0" applyNumberFormat="0" applyBorder="0" applyAlignment="0" applyProtection="0"/>
    <xf numFmtId="0" fontId="36" fillId="65" borderId="0" applyNumberFormat="0" applyBorder="0" applyAlignment="0" applyProtection="0"/>
    <xf numFmtId="182"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2" fontId="13" fillId="16" borderId="0" applyNumberFormat="0" applyBorder="0" applyAlignment="0" applyProtection="0"/>
    <xf numFmtId="182" fontId="13" fillId="16" borderId="0" applyNumberFormat="0" applyBorder="0" applyAlignment="0" applyProtection="0"/>
    <xf numFmtId="183" fontId="13" fillId="33" borderId="0" applyNumberFormat="0" applyBorder="0" applyAlignment="0" applyProtection="0"/>
    <xf numFmtId="183"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3" fontId="13" fillId="16" borderId="0" applyNumberFormat="0" applyBorder="0" applyAlignment="0" applyProtection="0"/>
    <xf numFmtId="169" fontId="36" fillId="65"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0" fontId="13" fillId="16" borderId="0" applyNumberFormat="0" applyBorder="0" applyAlignment="0" applyProtection="0"/>
    <xf numFmtId="183" fontId="13" fillId="33" borderId="0" applyNumberFormat="0" applyBorder="0" applyAlignment="0" applyProtection="0"/>
    <xf numFmtId="182" fontId="13" fillId="16" borderId="0" applyNumberFormat="0" applyBorder="0" applyAlignment="0" applyProtection="0"/>
    <xf numFmtId="183" fontId="36" fillId="65" borderId="0" applyNumberFormat="0" applyBorder="0" applyAlignment="0" applyProtection="0"/>
    <xf numFmtId="169" fontId="13" fillId="17" borderId="0" applyNumberFormat="0" applyBorder="0" applyAlignment="0" applyProtection="0"/>
    <xf numFmtId="0" fontId="13" fillId="17" borderId="0" applyNumberFormat="0" applyBorder="0" applyAlignment="0" applyProtection="0"/>
    <xf numFmtId="0" fontId="36" fillId="69"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2"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69" fontId="36" fillId="6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182" fontId="13" fillId="17" borderId="0" applyNumberFormat="0" applyBorder="0" applyAlignment="0" applyProtection="0"/>
    <xf numFmtId="183" fontId="36" fillId="6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69" fontId="13" fillId="22" borderId="0" applyNumberFormat="0" applyBorder="0" applyAlignment="0" applyProtection="0"/>
    <xf numFmtId="183" fontId="13" fillId="22" borderId="0" applyNumberFormat="0" applyBorder="0" applyAlignment="0" applyProtection="0"/>
    <xf numFmtId="0" fontId="13" fillId="22" borderId="0" applyNumberFormat="0" applyBorder="0" applyAlignment="0" applyProtection="0"/>
    <xf numFmtId="0" fontId="36" fillId="73" borderId="0" applyNumberFormat="0" applyBorder="0" applyAlignment="0" applyProtection="0"/>
    <xf numFmtId="182"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2" fontId="13" fillId="22" borderId="0" applyNumberFormat="0" applyBorder="0" applyAlignment="0" applyProtection="0"/>
    <xf numFmtId="182" fontId="13" fillId="22" borderId="0" applyNumberFormat="0" applyBorder="0" applyAlignment="0" applyProtection="0"/>
    <xf numFmtId="183" fontId="13" fillId="20" borderId="0" applyNumberFormat="0" applyBorder="0" applyAlignment="0" applyProtection="0"/>
    <xf numFmtId="183"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3" fontId="13" fillId="22" borderId="0" applyNumberFormat="0" applyBorder="0" applyAlignment="0" applyProtection="0"/>
    <xf numFmtId="169" fontId="36" fillId="73"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0" fontId="13" fillId="22" borderId="0" applyNumberFormat="0" applyBorder="0" applyAlignment="0" applyProtection="0"/>
    <xf numFmtId="183" fontId="13" fillId="20" borderId="0" applyNumberFormat="0" applyBorder="0" applyAlignment="0" applyProtection="0"/>
    <xf numFmtId="182" fontId="13" fillId="22" borderId="0" applyNumberFormat="0" applyBorder="0" applyAlignment="0" applyProtection="0"/>
    <xf numFmtId="183" fontId="36" fillId="73" borderId="0" applyNumberFormat="0" applyBorder="0" applyAlignment="0" applyProtection="0"/>
    <xf numFmtId="168" fontId="92" fillId="0" borderId="66">
      <alignment vertical="center" wrapText="1"/>
    </xf>
    <xf numFmtId="0" fontId="93" fillId="0" borderId="0"/>
    <xf numFmtId="169" fontId="93" fillId="0" borderId="0"/>
    <xf numFmtId="183" fontId="93" fillId="0" borderId="0"/>
    <xf numFmtId="0" fontId="93" fillId="0" borderId="0"/>
    <xf numFmtId="0" fontId="80" fillId="49" borderId="0" applyNumberFormat="0" applyBorder="0" applyAlignment="0" applyProtection="0"/>
    <xf numFmtId="0" fontId="14" fillId="6" borderId="0" applyNumberFormat="0" applyBorder="0" applyAlignment="0" applyProtection="0"/>
    <xf numFmtId="169"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0" fontId="80" fillId="49" borderId="0" applyNumberFormat="0" applyBorder="0" applyAlignment="0" applyProtection="0"/>
    <xf numFmtId="182" fontId="14" fillId="6"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0" fontId="94" fillId="4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183" fontId="14" fillId="8" borderId="0" applyNumberFormat="0" applyBorder="0" applyAlignment="0" applyProtection="0"/>
    <xf numFmtId="183" fontId="14" fillId="6" borderId="0" applyNumberFormat="0" applyBorder="0" applyAlignment="0" applyProtection="0"/>
    <xf numFmtId="169" fontId="80" fillId="49" borderId="0" applyNumberFormat="0" applyBorder="0" applyAlignment="0" applyProtection="0"/>
    <xf numFmtId="182" fontId="14" fillId="6" borderId="0" applyNumberFormat="0" applyBorder="0" applyAlignment="0" applyProtection="0"/>
    <xf numFmtId="183" fontId="14" fillId="6" borderId="0" applyNumberFormat="0" applyBorder="0" applyAlignment="0" applyProtection="0"/>
    <xf numFmtId="0" fontId="14" fillId="6" borderId="0" applyNumberFormat="0" applyBorder="0" applyAlignment="0" applyProtection="0"/>
    <xf numFmtId="183" fontId="80" fillId="49" borderId="0" applyNumberFormat="0" applyBorder="0" applyAlignment="0" applyProtection="0"/>
    <xf numFmtId="183" fontId="14" fillId="8" borderId="0" applyNumberFormat="0" applyBorder="0" applyAlignment="0" applyProtection="0"/>
    <xf numFmtId="0" fontId="94" fillId="49" borderId="0" applyNumberFormat="0" applyBorder="0" applyAlignment="0" applyProtection="0"/>
    <xf numFmtId="182" fontId="14" fillId="6" borderId="0" applyNumberFormat="0" applyBorder="0" applyAlignment="0" applyProtection="0"/>
    <xf numFmtId="183" fontId="80" fillId="49" borderId="0" applyNumberFormat="0" applyBorder="0" applyAlignment="0" applyProtection="0"/>
    <xf numFmtId="169" fontId="95" fillId="0" borderId="0" applyNumberFormat="0" applyFill="0" applyBorder="0" applyAlignment="0" applyProtection="0"/>
    <xf numFmtId="10"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164"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6" fontId="5" fillId="78" borderId="26">
      <alignment horizontal="right"/>
    </xf>
    <xf numFmtId="183" fontId="84" fillId="52" borderId="59" applyNumberFormat="0" applyAlignment="0" applyProtection="0"/>
    <xf numFmtId="0" fontId="84" fillId="52" borderId="59"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9"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69"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84" fillId="52" borderId="59"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69" fontId="84"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84"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97" fillId="52" borderId="59"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182" fontId="15" fillId="23" borderId="44" applyNumberFormat="0" applyAlignment="0" applyProtection="0"/>
    <xf numFmtId="0" fontId="35" fillId="53" borderId="62" applyNumberFormat="0" applyAlignment="0" applyProtection="0"/>
    <xf numFmtId="0" fontId="16" fillId="24" borderId="3" applyNumberFormat="0" applyAlignment="0" applyProtection="0"/>
    <xf numFmtId="169" fontId="16" fillId="24" borderId="3" applyNumberFormat="0" applyAlignment="0" applyProtection="0"/>
    <xf numFmtId="183" fontId="16" fillId="24" borderId="3" applyNumberFormat="0" applyAlignment="0" applyProtection="0"/>
    <xf numFmtId="0" fontId="16" fillId="24" borderId="3" applyNumberFormat="0" applyAlignment="0" applyProtection="0"/>
    <xf numFmtId="0" fontId="35" fillId="53" borderId="62" applyNumberFormat="0" applyAlignment="0" applyProtection="0"/>
    <xf numFmtId="182"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69" fontId="35" fillId="53" borderId="62" applyNumberFormat="0" applyAlignment="0" applyProtection="0"/>
    <xf numFmtId="183" fontId="16" fillId="24" borderId="3" applyNumberFormat="0" applyAlignment="0" applyProtection="0"/>
    <xf numFmtId="0" fontId="16" fillId="24" borderId="3" applyNumberFormat="0" applyAlignment="0" applyProtection="0"/>
    <xf numFmtId="183" fontId="16" fillId="24" borderId="3" applyNumberFormat="0" applyAlignment="0" applyProtection="0"/>
    <xf numFmtId="182" fontId="16" fillId="24" borderId="3" applyNumberFormat="0" applyAlignment="0" applyProtection="0"/>
    <xf numFmtId="182" fontId="16" fillId="24" borderId="3" applyNumberFormat="0" applyAlignment="0" applyProtection="0"/>
    <xf numFmtId="183" fontId="35" fillId="53" borderId="62" applyNumberFormat="0" applyAlignment="0" applyProtection="0"/>
    <xf numFmtId="183" fontId="35" fillId="53" borderId="62" applyNumberFormat="0" applyAlignment="0" applyProtection="0"/>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183"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4" fontId="5" fillId="0" borderId="0" applyFont="0" applyFill="0" applyBorder="0" applyAlignment="0" applyProtection="0"/>
    <xf numFmtId="184" fontId="5" fillId="0" borderId="0" applyFont="0" applyFill="0" applyBorder="0" applyAlignment="0" applyProtection="0"/>
    <xf numFmtId="168"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9"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43" fontId="12" fillId="0" borderId="0" applyFont="0" applyFill="0" applyBorder="0" applyAlignment="0" applyProtection="0"/>
    <xf numFmtId="168" fontId="99" fillId="0" borderId="0" applyFont="0" applyFill="0" applyBorder="0" applyAlignment="0" applyProtection="0"/>
    <xf numFmtId="43"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43" fontId="10"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100" fillId="0" borderId="0" applyFont="0" applyFill="0" applyBorder="0" applyAlignment="0" applyProtection="0"/>
    <xf numFmtId="167" fontId="5"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9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100" fillId="0" borderId="0" applyFont="0" applyFill="0" applyBorder="0" applyAlignment="0" applyProtection="0"/>
    <xf numFmtId="44" fontId="11" fillId="0" borderId="0" applyFont="0" applyFill="0" applyBorder="0" applyAlignment="0" applyProtection="0"/>
    <xf numFmtId="167" fontId="100"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00"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0"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85" fontId="5" fillId="0" borderId="0" applyFill="0" applyBorder="0"/>
    <xf numFmtId="185" fontId="5" fillId="0" borderId="0" applyFill="0" applyBorder="0"/>
    <xf numFmtId="185" fontId="5" fillId="0" borderId="0" applyFill="0" applyBorder="0"/>
    <xf numFmtId="185" fontId="5" fillId="0" borderId="0" applyFill="0" applyBorder="0"/>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83" fontId="87" fillId="81" borderId="26">
      <protection locked="0"/>
    </xf>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7" fillId="0" borderId="0" applyNumberFormat="0" applyFill="0" applyBorder="0" applyAlignment="0" applyProtection="0"/>
    <xf numFmtId="0" fontId="17" fillId="0" borderId="0" applyNumberFormat="0" applyFill="0" applyBorder="0" applyAlignment="0" applyProtection="0"/>
    <xf numFmtId="0" fontId="86"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2"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69" fontId="86" fillId="0" borderId="0" applyNumberFormat="0" applyFill="0" applyBorder="0" applyAlignment="0" applyProtection="0"/>
    <xf numFmtId="0"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2" fontId="17" fillId="0" borderId="0" applyNumberFormat="0" applyFill="0" applyBorder="0" applyAlignment="0" applyProtection="0"/>
    <xf numFmtId="183" fontId="86" fillId="0" borderId="0" applyNumberFormat="0" applyFill="0" applyBorder="0" applyAlignment="0" applyProtection="0"/>
    <xf numFmtId="186" fontId="102" fillId="0" borderId="0">
      <alignment horizontal="right" vertical="top"/>
    </xf>
    <xf numFmtId="187" fontId="93" fillId="0" borderId="0">
      <alignment horizontal="right" vertical="top"/>
    </xf>
    <xf numFmtId="187" fontId="102" fillId="0" borderId="0">
      <alignment horizontal="right" vertical="top"/>
    </xf>
    <xf numFmtId="188" fontId="103" fillId="0" borderId="0" applyFill="0" applyBorder="0">
      <alignment horizontal="right" vertical="top"/>
    </xf>
    <xf numFmtId="189" fontId="103" fillId="0" borderId="0" applyFill="0" applyBorder="0">
      <alignment horizontal="right" vertical="top"/>
    </xf>
    <xf numFmtId="190" fontId="103" fillId="0" borderId="0" applyFill="0" applyBorder="0">
      <alignment horizontal="right" vertical="top"/>
    </xf>
    <xf numFmtId="191" fontId="103" fillId="0" borderId="0" applyFill="0" applyBorder="0">
      <alignment horizontal="right" vertical="top"/>
    </xf>
    <xf numFmtId="0" fontId="104" fillId="0" borderId="0">
      <alignment horizontal="center" wrapText="1"/>
    </xf>
    <xf numFmtId="183" fontId="104" fillId="0" borderId="0">
      <alignment horizontal="center" wrapText="1"/>
    </xf>
    <xf numFmtId="169" fontId="104" fillId="0" borderId="0">
      <alignment horizontal="center" wrapText="1"/>
    </xf>
    <xf numFmtId="0" fontId="104" fillId="0" borderId="0">
      <alignment horizontal="center" wrapText="1"/>
    </xf>
    <xf numFmtId="183" fontId="104" fillId="0" borderId="0">
      <alignment horizontal="center" wrapText="1"/>
    </xf>
    <xf numFmtId="183" fontId="104" fillId="0" borderId="0">
      <alignment horizontal="center" wrapText="1"/>
    </xf>
    <xf numFmtId="182" fontId="104" fillId="0" borderId="0">
      <alignment horizontal="center" wrapText="1"/>
    </xf>
    <xf numFmtId="182" fontId="104" fillId="0" borderId="0">
      <alignment horizontal="center" wrapText="1"/>
    </xf>
    <xf numFmtId="183" fontId="104" fillId="0" borderId="0">
      <alignment horizontal="center" wrapText="1"/>
    </xf>
    <xf numFmtId="192" fontId="105" fillId="0" borderId="0" applyFill="0" applyBorder="0">
      <alignment vertical="top"/>
    </xf>
    <xf numFmtId="192" fontId="106" fillId="0" borderId="0" applyFill="0" applyBorder="0" applyProtection="0">
      <alignment vertical="top"/>
    </xf>
    <xf numFmtId="192" fontId="107" fillId="0" borderId="0">
      <alignment vertical="top"/>
    </xf>
    <xf numFmtId="41" fontId="103" fillId="0" borderId="0" applyFill="0" applyBorder="0" applyAlignment="0" applyProtection="0">
      <alignment horizontal="right" vertical="top"/>
    </xf>
    <xf numFmtId="41" fontId="103" fillId="0" borderId="0" applyFill="0" applyBorder="0" applyAlignment="0" applyProtection="0">
      <alignment horizontal="right" vertical="top"/>
    </xf>
    <xf numFmtId="166" fontId="103" fillId="0" borderId="0" applyFill="0" applyBorder="0" applyAlignment="0" applyProtection="0">
      <alignment horizontal="right" vertical="top"/>
    </xf>
    <xf numFmtId="192" fontId="108" fillId="0" borderId="0"/>
    <xf numFmtId="0" fontId="103" fillId="0" borderId="0" applyFill="0" applyBorder="0">
      <alignment horizontal="left" vertical="top"/>
    </xf>
    <xf numFmtId="183" fontId="103" fillId="0" borderId="0" applyFill="0" applyBorder="0">
      <alignment horizontal="left" vertical="top"/>
    </xf>
    <xf numFmtId="169" fontId="103" fillId="0" borderId="0" applyFill="0" applyBorder="0">
      <alignment horizontal="left" vertical="top"/>
    </xf>
    <xf numFmtId="0" fontId="103" fillId="0" borderId="0" applyFill="0" applyBorder="0">
      <alignment horizontal="left" vertical="top"/>
    </xf>
    <xf numFmtId="183" fontId="103" fillId="0" borderId="0" applyFill="0" applyBorder="0">
      <alignment horizontal="left" vertical="top"/>
    </xf>
    <xf numFmtId="183" fontId="103" fillId="0" borderId="0" applyFill="0" applyBorder="0">
      <alignment horizontal="left" vertical="top"/>
    </xf>
    <xf numFmtId="182" fontId="103" fillId="0" borderId="0" applyFill="0" applyBorder="0">
      <alignment horizontal="left" vertical="top"/>
    </xf>
    <xf numFmtId="182" fontId="103" fillId="0" borderId="0" applyFill="0" applyBorder="0">
      <alignment horizontal="left" vertical="top"/>
    </xf>
    <xf numFmtId="183" fontId="103" fillId="0" borderId="0" applyFill="0" applyBorder="0">
      <alignment horizontal="left" vertical="top"/>
    </xf>
    <xf numFmtId="2" fontId="5" fillId="0" borderId="0" applyFont="0" applyFill="0" applyBorder="0" applyAlignment="0" applyProtection="0">
      <alignment vertical="top"/>
    </xf>
    <xf numFmtId="0" fontId="18" fillId="9" borderId="0" applyNumberFormat="0" applyBorder="0" applyAlignment="0" applyProtection="0"/>
    <xf numFmtId="0" fontId="18" fillId="7" borderId="0" applyNumberFormat="0" applyBorder="0" applyAlignment="0" applyProtection="0"/>
    <xf numFmtId="169" fontId="18" fillId="7" borderId="0" applyNumberFormat="0" applyBorder="0" applyAlignment="0" applyProtection="0"/>
    <xf numFmtId="183" fontId="18" fillId="7" borderId="0" applyNumberFormat="0" applyBorder="0" applyAlignment="0" applyProtection="0"/>
    <xf numFmtId="0" fontId="18" fillId="7" borderId="0" applyNumberFormat="0" applyBorder="0" applyAlignment="0" applyProtection="0"/>
    <xf numFmtId="0" fontId="79" fillId="48" borderId="0" applyNumberFormat="0" applyBorder="0" applyAlignment="0" applyProtection="0"/>
    <xf numFmtId="182"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3"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3" fontId="18" fillId="7" borderId="0" applyNumberFormat="0" applyBorder="0" applyAlignment="0" applyProtection="0"/>
    <xf numFmtId="169" fontId="79" fillId="48" borderId="0" applyNumberFormat="0" applyBorder="0" applyAlignment="0" applyProtection="0"/>
    <xf numFmtId="182" fontId="18" fillId="7"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0" fontId="18" fillId="7" borderId="0" applyNumberFormat="0" applyBorder="0" applyAlignment="0" applyProtection="0"/>
    <xf numFmtId="183" fontId="18" fillId="9" borderId="0" applyNumberFormat="0" applyBorder="0" applyAlignment="0" applyProtection="0"/>
    <xf numFmtId="0" fontId="109" fillId="48" borderId="0" applyNumberFormat="0" applyBorder="0" applyAlignment="0" applyProtection="0"/>
    <xf numFmtId="182" fontId="18" fillId="7" borderId="0" applyNumberFormat="0" applyBorder="0" applyAlignment="0" applyProtection="0"/>
    <xf numFmtId="183" fontId="79" fillId="48" borderId="0" applyNumberFormat="0" applyBorder="0" applyAlignment="0" applyProtection="0"/>
    <xf numFmtId="38" fontId="43" fillId="34" borderId="0" applyNumberFormat="0" applyBorder="0" applyAlignment="0" applyProtection="0"/>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183" fontId="5" fillId="34" borderId="25" applyBorder="0">
      <alignment horizontal="center"/>
    </xf>
    <xf numFmtId="0" fontId="5" fillId="34" borderId="25" applyBorder="0">
      <alignment horizont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68" applyNumberFormat="0" applyAlignment="0" applyProtection="0">
      <alignment horizontal="left" vertical="center"/>
    </xf>
    <xf numFmtId="169" fontId="110" fillId="0" borderId="30">
      <alignment horizontal="left" vertical="center"/>
    </xf>
    <xf numFmtId="0" fontId="111" fillId="3" borderId="0">
      <alignment vertical="center"/>
    </xf>
    <xf numFmtId="0" fontId="47" fillId="0" borderId="69" applyNumberFormat="0" applyFill="0" applyAlignment="0" applyProtection="0"/>
    <xf numFmtId="0" fontId="19" fillId="0" borderId="4" applyNumberFormat="0" applyFill="0" applyAlignment="0" applyProtection="0"/>
    <xf numFmtId="169" fontId="19" fillId="0" borderId="4" applyNumberFormat="0" applyFill="0" applyAlignment="0" applyProtection="0"/>
    <xf numFmtId="183" fontId="19" fillId="0" borderId="4" applyNumberFormat="0" applyFill="0" applyAlignment="0" applyProtection="0"/>
    <xf numFmtId="0" fontId="19" fillId="0" borderId="4" applyNumberFormat="0" applyFill="0" applyAlignment="0" applyProtection="0"/>
    <xf numFmtId="0" fontId="76" fillId="0" borderId="56" applyNumberFormat="0" applyFill="0" applyAlignment="0" applyProtection="0"/>
    <xf numFmtId="182"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2" fontId="19" fillId="0" borderId="4" applyNumberFormat="0" applyFill="0" applyAlignment="0" applyProtection="0"/>
    <xf numFmtId="182" fontId="19" fillId="0" borderId="4" applyNumberFormat="0" applyFill="0" applyAlignment="0" applyProtection="0"/>
    <xf numFmtId="183" fontId="47" fillId="0" borderId="69" applyNumberFormat="0" applyFill="0" applyAlignment="0" applyProtection="0"/>
    <xf numFmtId="183"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3" fontId="19" fillId="0" borderId="4" applyNumberFormat="0" applyFill="0" applyAlignment="0" applyProtection="0"/>
    <xf numFmtId="169" fontId="76"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19" fillId="0" borderId="4" applyNumberFormat="0" applyFill="0" applyAlignment="0" applyProtection="0"/>
    <xf numFmtId="183" fontId="47" fillId="0" borderId="69" applyNumberFormat="0" applyFill="0" applyAlignment="0" applyProtection="0"/>
    <xf numFmtId="0" fontId="112" fillId="0" borderId="56" applyNumberFormat="0" applyFill="0" applyAlignment="0" applyProtection="0"/>
    <xf numFmtId="182" fontId="19" fillId="0" borderId="4" applyNumberFormat="0" applyFill="0" applyAlignment="0" applyProtection="0"/>
    <xf numFmtId="183" fontId="76" fillId="0" borderId="56" applyNumberFormat="0" applyFill="0" applyAlignment="0" applyProtection="0"/>
    <xf numFmtId="0" fontId="77" fillId="0" borderId="57" applyNumberFormat="0" applyFill="0" applyAlignment="0" applyProtection="0"/>
    <xf numFmtId="0" fontId="20" fillId="0" borderId="5" applyNumberFormat="0" applyFill="0" applyAlignment="0" applyProtection="0"/>
    <xf numFmtId="169" fontId="20" fillId="0" borderId="5" applyNumberFormat="0" applyFill="0" applyAlignment="0" applyProtection="0"/>
    <xf numFmtId="183" fontId="20" fillId="0" borderId="5" applyNumberFormat="0" applyFill="0" applyAlignment="0" applyProtection="0"/>
    <xf numFmtId="0" fontId="20" fillId="0" borderId="5" applyNumberFormat="0" applyFill="0" applyAlignment="0" applyProtection="0"/>
    <xf numFmtId="0" fontId="77" fillId="0" borderId="57" applyNumberFormat="0" applyFill="0" applyAlignment="0" applyProtection="0"/>
    <xf numFmtId="182" fontId="20" fillId="0" borderId="5" applyNumberFormat="0" applyFill="0" applyAlignment="0" applyProtection="0"/>
    <xf numFmtId="183" fontId="77" fillId="0" borderId="57" applyNumberFormat="0" applyFill="0" applyAlignment="0" applyProtection="0"/>
    <xf numFmtId="0" fontId="113" fillId="0" borderId="0" applyNumberFormat="0" applyFill="0" applyBorder="0"/>
    <xf numFmtId="0" fontId="48" fillId="0" borderId="70" applyNumberFormat="0" applyFill="0" applyAlignment="0" applyProtection="0"/>
    <xf numFmtId="0" fontId="113" fillId="0" borderId="0" applyNumberFormat="0" applyFill="0" applyBorder="0"/>
    <xf numFmtId="0" fontId="113" fillId="0" borderId="0" applyNumberFormat="0" applyFill="0" applyBorder="0"/>
    <xf numFmtId="0" fontId="20" fillId="0" borderId="5" applyNumberFormat="0" applyFill="0" applyAlignment="0" applyProtection="0"/>
    <xf numFmtId="0" fontId="48" fillId="0" borderId="70" applyNumberFormat="0" applyFill="0" applyAlignment="0" applyProtection="0"/>
    <xf numFmtId="182" fontId="20" fillId="0" borderId="5" applyNumberFormat="0" applyFill="0" applyAlignment="0" applyProtection="0"/>
    <xf numFmtId="183" fontId="113" fillId="0" borderId="0" applyNumberFormat="0" applyFill="0" applyBorder="0"/>
    <xf numFmtId="0" fontId="48" fillId="0" borderId="70" applyNumberFormat="0" applyFill="0" applyAlignment="0" applyProtection="0"/>
    <xf numFmtId="0" fontId="20" fillId="0" borderId="5" applyNumberFormat="0" applyFill="0" applyAlignment="0" applyProtection="0"/>
    <xf numFmtId="183" fontId="48" fillId="0" borderId="70" applyNumberFormat="0" applyFill="0" applyAlignment="0" applyProtection="0"/>
    <xf numFmtId="183" fontId="113" fillId="0" borderId="0" applyNumberFormat="0" applyFill="0" applyBorder="0"/>
    <xf numFmtId="169" fontId="77" fillId="0" borderId="57" applyNumberFormat="0" applyFill="0" applyAlignment="0" applyProtection="0"/>
    <xf numFmtId="182" fontId="20" fillId="0" borderId="5" applyNumberFormat="0" applyFill="0" applyAlignment="0" applyProtection="0"/>
    <xf numFmtId="183" fontId="113" fillId="0" borderId="0" applyNumberFormat="0" applyFill="0" applyBorder="0"/>
    <xf numFmtId="0" fontId="113" fillId="0" borderId="0" applyNumberFormat="0" applyFill="0" applyBorder="0"/>
    <xf numFmtId="183" fontId="113" fillId="0" borderId="0" applyNumberFormat="0" applyFill="0" applyBorder="0"/>
    <xf numFmtId="0" fontId="20" fillId="0" borderId="5" applyNumberFormat="0" applyFill="0" applyAlignment="0" applyProtection="0"/>
    <xf numFmtId="183" fontId="77" fillId="0" borderId="57" applyNumberFormat="0" applyFill="0" applyAlignment="0" applyProtection="0"/>
    <xf numFmtId="183" fontId="48" fillId="0" borderId="70" applyNumberFormat="0" applyFill="0" applyAlignment="0" applyProtection="0"/>
    <xf numFmtId="182" fontId="20" fillId="0" borderId="5" applyNumberFormat="0" applyFill="0" applyAlignment="0" applyProtection="0"/>
    <xf numFmtId="182" fontId="20" fillId="0" borderId="5" applyNumberFormat="0" applyFill="0" applyAlignment="0" applyProtection="0"/>
    <xf numFmtId="0" fontId="113" fillId="0" borderId="0" applyNumberFormat="0" applyFill="0" applyBorder="0"/>
    <xf numFmtId="0" fontId="49" fillId="0" borderId="71" applyNumberFormat="0" applyFill="0" applyAlignment="0" applyProtection="0"/>
    <xf numFmtId="0"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183"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69" fontId="78" fillId="0" borderId="58"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3" fontId="78" fillId="0" borderId="58"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3" fontId="49" fillId="0" borderId="71"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182"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78" fillId="0" borderId="58" applyNumberFormat="0" applyFill="0" applyAlignment="0" applyProtection="0"/>
    <xf numFmtId="0" fontId="49" fillId="0" borderId="0" applyNumberFormat="0" applyFill="0" applyBorder="0" applyAlignment="0" applyProtection="0"/>
    <xf numFmtId="0" fontId="21" fillId="0" borderId="0" applyNumberFormat="0" applyFill="0" applyBorder="0" applyAlignment="0" applyProtection="0"/>
    <xf numFmtId="169" fontId="21" fillId="0" borderId="0" applyNumberFormat="0" applyFill="0" applyBorder="0" applyAlignment="0" applyProtection="0"/>
    <xf numFmtId="183" fontId="21" fillId="0" borderId="0" applyNumberFormat="0" applyFill="0" applyBorder="0" applyAlignment="0" applyProtection="0"/>
    <xf numFmtId="0" fontId="21" fillId="0" borderId="0" applyNumberFormat="0" applyFill="0" applyBorder="0" applyAlignment="0" applyProtection="0"/>
    <xf numFmtId="0" fontId="78" fillId="0" borderId="0" applyNumberFormat="0" applyFill="0" applyBorder="0" applyAlignment="0" applyProtection="0"/>
    <xf numFmtId="182"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2" fontId="21" fillId="0" borderId="0" applyNumberFormat="0" applyFill="0" applyBorder="0" applyAlignment="0" applyProtection="0"/>
    <xf numFmtId="182" fontId="21" fillId="0" borderId="0" applyNumberFormat="0" applyFill="0" applyBorder="0" applyAlignment="0" applyProtection="0"/>
    <xf numFmtId="183" fontId="49" fillId="0" borderId="0" applyNumberFormat="0" applyFill="0" applyBorder="0" applyAlignment="0" applyProtection="0"/>
    <xf numFmtId="183"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3" fontId="21" fillId="0" borderId="0" applyNumberFormat="0" applyFill="0" applyBorder="0" applyAlignment="0" applyProtection="0"/>
    <xf numFmtId="169" fontId="78"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0" fontId="21" fillId="0" borderId="0" applyNumberFormat="0" applyFill="0" applyBorder="0" applyAlignment="0" applyProtection="0"/>
    <xf numFmtId="183" fontId="49" fillId="0" borderId="0" applyNumberFormat="0" applyFill="0" applyBorder="0" applyAlignment="0" applyProtection="0"/>
    <xf numFmtId="182" fontId="21" fillId="0" borderId="0" applyNumberFormat="0" applyFill="0" applyBorder="0" applyAlignment="0" applyProtection="0"/>
    <xf numFmtId="183" fontId="78" fillId="0" borderId="0" applyNumberFormat="0" applyFill="0" applyBorder="0" applyAlignment="0" applyProtection="0"/>
    <xf numFmtId="183" fontId="111" fillId="3" borderId="0">
      <alignment vertical="center"/>
    </xf>
    <xf numFmtId="183" fontId="111" fillId="3" borderId="0">
      <alignment vertical="center"/>
    </xf>
    <xf numFmtId="183" fontId="111" fillId="3" borderId="0">
      <alignment vertical="center"/>
    </xf>
    <xf numFmtId="0" fontId="16" fillId="82" borderId="0"/>
    <xf numFmtId="183" fontId="16" fillId="82" borderId="0"/>
    <xf numFmtId="169"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2" fontId="116" fillId="0" borderId="0" applyNumberFormat="0" applyFill="0" applyBorder="0" applyAlignment="0" applyProtection="0">
      <alignment vertical="top"/>
      <protection locked="0"/>
    </xf>
    <xf numFmtId="193" fontId="118" fillId="0" borderId="0" applyFill="0" applyBorder="0">
      <alignment vertical="top"/>
      <protection locked="0"/>
    </xf>
    <xf numFmtId="41" fontId="92" fillId="34" borderId="0" applyFont="0" applyBorder="0" applyAlignment="0"/>
    <xf numFmtId="174" fontId="92" fillId="34" borderId="0" applyFont="0" applyBorder="0" applyAlignment="0"/>
    <xf numFmtId="10" fontId="43" fillId="3" borderId="26" applyNumberFormat="0" applyBorder="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9"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69"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183"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182"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69" fontId="82" fillId="51" borderId="59" applyNumberFormat="0" applyAlignment="0" applyProtection="0"/>
    <xf numFmtId="183"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3" fontId="82" fillId="51" borderId="59" applyNumberFormat="0" applyAlignment="0" applyProtection="0"/>
    <xf numFmtId="183" fontId="82" fillId="51" borderId="59" applyNumberFormat="0" applyAlignment="0" applyProtection="0"/>
    <xf numFmtId="183" fontId="82" fillId="51" borderId="59" applyNumberFormat="0" applyAlignment="0" applyProtection="0"/>
    <xf numFmtId="169" fontId="82" fillId="51" borderId="59"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66" fontId="5" fillId="2" borderId="0" applyFont="0" applyBorder="0" applyAlignment="0">
      <alignment horizontal="right"/>
      <protection locked="0"/>
    </xf>
    <xf numFmtId="166" fontId="5" fillId="2"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36" borderId="0" applyFont="0" applyBorder="0" applyAlignment="0">
      <alignment horizontal="right"/>
      <protection locked="0"/>
    </xf>
    <xf numFmtId="166" fontId="5" fillId="2" borderId="0" applyFont="0" applyBorder="0" applyAlignment="0">
      <alignment horizontal="right"/>
      <protection locked="0"/>
    </xf>
    <xf numFmtId="166" fontId="5" fillId="2" borderId="0" applyFont="0" applyBorder="0" applyAlignment="0">
      <alignment horizontal="right"/>
      <protection locked="0"/>
    </xf>
    <xf numFmtId="10" fontId="5" fillId="36" borderId="0" applyFont="0" applyBorder="0">
      <alignment horizontal="right"/>
      <protection locked="0"/>
    </xf>
    <xf numFmtId="10" fontId="92" fillId="83" borderId="0" applyBorder="0" applyAlignment="0">
      <protection locked="0"/>
    </xf>
    <xf numFmtId="10" fontId="87" fillId="37" borderId="0" applyFont="0" applyBorder="0" applyAlignment="0">
      <alignment horizontal="lef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166" fontId="5" fillId="3" borderId="0" applyFont="0" applyBorder="0">
      <alignment horizontal="right"/>
      <protection locked="0"/>
    </xf>
    <xf numFmtId="9" fontId="87" fillId="3" borderId="0" applyFont="0" applyBorder="0">
      <alignment horizontal="right"/>
      <protection locked="0"/>
    </xf>
    <xf numFmtId="0" fontId="87" fillId="2" borderId="65" applyBorder="0">
      <alignment horizontal="center"/>
    </xf>
    <xf numFmtId="183" fontId="87" fillId="2" borderId="65" applyBorder="0">
      <alignment horizontal="center"/>
    </xf>
    <xf numFmtId="183" fontId="87" fillId="2" borderId="65" applyBorder="0">
      <alignment horizontal="center"/>
    </xf>
    <xf numFmtId="183" fontId="87" fillId="2" borderId="65" applyBorder="0">
      <alignment horizontal="center"/>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3" fontId="119" fillId="3" borderId="26">
      <alignment horizontal="left" indent="2"/>
    </xf>
    <xf numFmtId="0" fontId="119" fillId="3" borderId="26">
      <alignment horizontal="left" indent="2"/>
    </xf>
    <xf numFmtId="183" fontId="119" fillId="3" borderId="26">
      <alignment horizontal="left" indent="2"/>
    </xf>
    <xf numFmtId="0" fontId="28" fillId="0" borderId="72" applyNumberFormat="0" applyFill="0" applyAlignment="0" applyProtection="0"/>
    <xf numFmtId="0" fontId="23" fillId="0" borderId="7" applyNumberFormat="0" applyFill="0" applyAlignment="0" applyProtection="0"/>
    <xf numFmtId="169" fontId="23" fillId="0" borderId="7" applyNumberFormat="0" applyFill="0" applyAlignment="0" applyProtection="0"/>
    <xf numFmtId="183" fontId="23" fillId="0" borderId="7" applyNumberFormat="0" applyFill="0" applyAlignment="0" applyProtection="0"/>
    <xf numFmtId="0" fontId="23" fillId="0" borderId="7" applyNumberFormat="0" applyFill="0" applyAlignment="0" applyProtection="0"/>
    <xf numFmtId="0" fontId="85" fillId="0" borderId="61" applyNumberFormat="0" applyFill="0" applyAlignment="0" applyProtection="0"/>
    <xf numFmtId="182"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2" fontId="23" fillId="0" borderId="7" applyNumberFormat="0" applyFill="0" applyAlignment="0" applyProtection="0"/>
    <xf numFmtId="182" fontId="23" fillId="0" borderId="7" applyNumberFormat="0" applyFill="0" applyAlignment="0" applyProtection="0"/>
    <xf numFmtId="183" fontId="28" fillId="0" borderId="72" applyNumberFormat="0" applyFill="0" applyAlignment="0" applyProtection="0"/>
    <xf numFmtId="183"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3" fontId="23" fillId="0" borderId="7" applyNumberFormat="0" applyFill="0" applyAlignment="0" applyProtection="0"/>
    <xf numFmtId="169" fontId="85" fillId="0" borderId="61"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23" fillId="0" borderId="7" applyNumberFormat="0" applyFill="0" applyAlignment="0" applyProtection="0"/>
    <xf numFmtId="183" fontId="28" fillId="0" borderId="72" applyNumberFormat="0" applyFill="0" applyAlignment="0" applyProtection="0"/>
    <xf numFmtId="182" fontId="23" fillId="0" borderId="7" applyNumberFormat="0" applyFill="0" applyAlignment="0" applyProtection="0"/>
    <xf numFmtId="183" fontId="85" fillId="0" borderId="61" applyNumberFormat="0" applyFill="0" applyAlignment="0" applyProtection="0"/>
    <xf numFmtId="0" fontId="88" fillId="78" borderId="0"/>
    <xf numFmtId="183" fontId="88" fillId="78" borderId="0"/>
    <xf numFmtId="183" fontId="88" fillId="78" borderId="0"/>
    <xf numFmtId="183" fontId="88" fillId="78" borderId="0"/>
    <xf numFmtId="0" fontId="110" fillId="78" borderId="0"/>
    <xf numFmtId="183" fontId="110" fillId="78" borderId="0"/>
    <xf numFmtId="183" fontId="110" fillId="78" borderId="0"/>
    <xf numFmtId="183" fontId="110" fillId="78" borderId="0"/>
    <xf numFmtId="166" fontId="5" fillId="0" borderId="0" applyFont="0" applyFill="0" applyBorder="0" applyAlignment="0" applyProtection="0"/>
    <xf numFmtId="168" fontId="5" fillId="0" borderId="0" applyFont="0" applyFill="0" applyBorder="0" applyAlignment="0" applyProtection="0"/>
    <xf numFmtId="0" fontId="5" fillId="0" borderId="0">
      <alignment horizontal="left"/>
    </xf>
    <xf numFmtId="183" fontId="5" fillId="0" borderId="0">
      <alignment horizontal="left"/>
    </xf>
    <xf numFmtId="0" fontId="5" fillId="0" borderId="0">
      <alignment horizontal="left"/>
    </xf>
    <xf numFmtId="0" fontId="5" fillId="0" borderId="0">
      <alignment horizontal="left"/>
    </xf>
    <xf numFmtId="0" fontId="5" fillId="0" borderId="0">
      <alignment horizontal="left"/>
    </xf>
    <xf numFmtId="183" fontId="5" fillId="0" borderId="0">
      <alignment horizontal="left"/>
    </xf>
    <xf numFmtId="183" fontId="5" fillId="0" borderId="0">
      <alignment horizontal="left"/>
    </xf>
    <xf numFmtId="0" fontId="5" fillId="0" borderId="0">
      <alignment horizontal="left"/>
    </xf>
    <xf numFmtId="183" fontId="5" fillId="0" borderId="0">
      <alignment horizontal="left"/>
    </xf>
    <xf numFmtId="183" fontId="5" fillId="0" borderId="0">
      <alignment horizontal="left"/>
    </xf>
    <xf numFmtId="194" fontId="5" fillId="0" borderId="0" applyFont="0" applyFill="0" applyBorder="0" applyAlignment="0" applyProtection="0"/>
    <xf numFmtId="195" fontId="5" fillId="0" borderId="0" applyFont="0" applyFill="0" applyBorder="0" applyAlignment="0" applyProtection="0"/>
    <xf numFmtId="0" fontId="81" fillId="50"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0" fontId="81" fillId="50" borderId="0" applyNumberFormat="0" applyBorder="0" applyAlignment="0" applyProtection="0"/>
    <xf numFmtId="182" fontId="24" fillId="25"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120" fillId="25"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83" fontId="120" fillId="25" borderId="0" applyNumberFormat="0" applyBorder="0" applyAlignment="0" applyProtection="0"/>
    <xf numFmtId="183" fontId="24" fillId="25" borderId="0" applyNumberFormat="0" applyBorder="0" applyAlignment="0" applyProtection="0"/>
    <xf numFmtId="169" fontId="81" fillId="50" borderId="0" applyNumberFormat="0" applyBorder="0" applyAlignment="0" applyProtection="0"/>
    <xf numFmtId="182" fontId="24" fillId="25" borderId="0" applyNumberFormat="0" applyBorder="0" applyAlignment="0" applyProtection="0"/>
    <xf numFmtId="183" fontId="24" fillId="25" borderId="0" applyNumberFormat="0" applyBorder="0" applyAlignment="0" applyProtection="0"/>
    <xf numFmtId="0" fontId="24" fillId="25" borderId="0" applyNumberFormat="0" applyBorder="0" applyAlignment="0" applyProtection="0"/>
    <xf numFmtId="183" fontId="81" fillId="50" borderId="0" applyNumberFormat="0" applyBorder="0" applyAlignment="0" applyProtection="0"/>
    <xf numFmtId="183" fontId="120" fillId="25" borderId="0" applyNumberFormat="0" applyBorder="0" applyAlignment="0" applyProtection="0"/>
    <xf numFmtId="0" fontId="121" fillId="50" borderId="0" applyNumberFormat="0" applyBorder="0" applyAlignment="0" applyProtection="0"/>
    <xf numFmtId="182" fontId="24" fillId="25" borderId="0" applyNumberFormat="0" applyBorder="0" applyAlignment="0" applyProtection="0"/>
    <xf numFmtId="183" fontId="81" fillId="50" borderId="0" applyNumberFormat="0" applyBorder="0" applyAlignment="0" applyProtection="0"/>
    <xf numFmtId="37" fontId="122" fillId="0" borderId="0"/>
    <xf numFmtId="196" fontId="123"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99" fillId="0" borderId="0"/>
    <xf numFmtId="0" fontId="99" fillId="0" borderId="0"/>
    <xf numFmtId="0" fontId="99"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99" fillId="0" borderId="0"/>
    <xf numFmtId="0" fontId="99" fillId="0" borderId="0"/>
    <xf numFmtId="0" fontId="99" fillId="0" borderId="0"/>
    <xf numFmtId="0" fontId="9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5" fillId="0" borderId="0"/>
    <xf numFmtId="183" fontId="5" fillId="0" borderId="0"/>
    <xf numFmtId="182" fontId="5" fillId="0" borderId="0"/>
    <xf numFmtId="182" fontId="5" fillId="0" borderId="0"/>
    <xf numFmtId="0" fontId="1" fillId="0" borderId="0"/>
    <xf numFmtId="169" fontId="5" fillId="0" borderId="0"/>
    <xf numFmtId="0" fontId="5" fillId="0" borderId="0"/>
    <xf numFmtId="0" fontId="5" fillId="0" borderId="0"/>
    <xf numFmtId="182" fontId="5" fillId="0" borderId="0"/>
    <xf numFmtId="182" fontId="5" fillId="0" borderId="0"/>
    <xf numFmtId="183" fontId="5" fillId="0" borderId="0"/>
    <xf numFmtId="0" fontId="5" fillId="0" borderId="0"/>
    <xf numFmtId="169" fontId="5" fillId="0" borderId="0"/>
    <xf numFmtId="0" fontId="5" fillId="0" borderId="0"/>
    <xf numFmtId="183" fontId="5" fillId="0" borderId="0"/>
    <xf numFmtId="0" fontId="5" fillId="0" borderId="0"/>
    <xf numFmtId="0" fontId="5" fillId="0" borderId="0" applyNumberFormat="0" applyFont="0" applyFill="0" applyBorder="0" applyAlignment="0" applyProtection="0"/>
    <xf numFmtId="169" fontId="5" fillId="0" borderId="0"/>
    <xf numFmtId="0" fontId="5"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169" fontId="12" fillId="0" borderId="0"/>
    <xf numFmtId="0" fontId="5" fillId="0" borderId="0"/>
    <xf numFmtId="183" fontId="5" fillId="0" borderId="0"/>
    <xf numFmtId="197"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99" fillId="0" borderId="0"/>
    <xf numFmtId="0"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55" fillId="0" borderId="0"/>
    <xf numFmtId="0" fontId="4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99" fillId="0" borderId="0"/>
    <xf numFmtId="182" fontId="5" fillId="0" borderId="0"/>
    <xf numFmtId="182" fontId="5" fillId="0" borderId="0"/>
    <xf numFmtId="0" fontId="43"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82" fontId="5" fillId="0" borderId="0"/>
    <xf numFmtId="169" fontId="1" fillId="0" borderId="0"/>
    <xf numFmtId="169" fontId="1" fillId="0" borderId="0"/>
    <xf numFmtId="169" fontId="1" fillId="0" borderId="0"/>
    <xf numFmtId="169" fontId="1" fillId="0" borderId="0"/>
    <xf numFmtId="169" fontId="1" fillId="0" borderId="0"/>
    <xf numFmtId="182"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99" fillId="0" borderId="0"/>
    <xf numFmtId="182" fontId="5" fillId="0" borderId="0"/>
    <xf numFmtId="182" fontId="5" fillId="0" borderId="0"/>
    <xf numFmtId="183"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0" fontId="5"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9" fontId="1" fillId="0" borderId="0"/>
    <xf numFmtId="169" fontId="1" fillId="0" borderId="0"/>
    <xf numFmtId="169" fontId="1" fillId="0" borderId="0"/>
    <xf numFmtId="169" fontId="1" fillId="0" borderId="0"/>
    <xf numFmtId="169" fontId="1" fillId="0" borderId="0"/>
    <xf numFmtId="0" fontId="12" fillId="0" borderId="0"/>
    <xf numFmtId="169" fontId="1" fillId="0" borderId="0"/>
    <xf numFmtId="169" fontId="1" fillId="0" borderId="0"/>
    <xf numFmtId="169" fontId="1" fillId="0" borderId="0"/>
    <xf numFmtId="169" fontId="1" fillId="0" borderId="0"/>
    <xf numFmtId="183" fontId="5" fillId="0" borderId="0"/>
    <xf numFmtId="183" fontId="5" fillId="0" borderId="0"/>
    <xf numFmtId="169" fontId="1" fillId="0" borderId="0"/>
    <xf numFmtId="169" fontId="1" fillId="0" borderId="0"/>
    <xf numFmtId="169" fontId="1" fillId="0" borderId="0"/>
    <xf numFmtId="169" fontId="1" fillId="0" borderId="0"/>
    <xf numFmtId="0" fontId="1" fillId="0" borderId="0"/>
    <xf numFmtId="169" fontId="99" fillId="0" borderId="0"/>
    <xf numFmtId="0" fontId="1" fillId="0" borderId="0"/>
    <xf numFmtId="0" fontId="1" fillId="0" borderId="0"/>
    <xf numFmtId="0" fontId="1" fillId="0" borderId="0"/>
    <xf numFmtId="0" fontId="1" fillId="0" borderId="0"/>
    <xf numFmtId="0" fontId="1" fillId="0" borderId="0"/>
    <xf numFmtId="182" fontId="12"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2" fillId="0" borderId="0"/>
    <xf numFmtId="182" fontId="12" fillId="0" borderId="0"/>
    <xf numFmtId="183" fontId="1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5" fillId="0" borderId="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0" fontId="12"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8" borderId="32" applyNumberFormat="0" applyFont="0" applyAlignment="0" applyProtection="0"/>
    <xf numFmtId="183"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9" fontId="12"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183"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69" fontId="5" fillId="26" borderId="45" applyNumberFormat="0" applyFont="0" applyAlignment="0" applyProtection="0"/>
    <xf numFmtId="169"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82" fontId="5"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2" fillId="26" borderId="45"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169"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2" fontId="5" fillId="26" borderId="45" applyNumberFormat="0" applyFont="0" applyAlignment="0" applyProtection="0"/>
    <xf numFmtId="182"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24" fillId="26" borderId="45" applyNumberFormat="0" applyFont="0" applyAlignment="0" applyProtection="0"/>
    <xf numFmtId="183"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5" fillId="26" borderId="45" applyNumberFormat="0" applyFont="0" applyAlignment="0" applyProtection="0"/>
    <xf numFmtId="182" fontId="5" fillId="26" borderId="45"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3" fontId="1" fillId="28" borderId="32" applyNumberFormat="0" applyFont="0" applyAlignment="0" applyProtection="0"/>
    <xf numFmtId="182" fontId="5" fillId="26" borderId="45" applyNumberFormat="0" applyFont="0" applyAlignment="0" applyProtection="0"/>
    <xf numFmtId="0" fontId="5" fillId="34" borderId="14"/>
    <xf numFmtId="0" fontId="5" fillId="34" borderId="14"/>
    <xf numFmtId="0" fontId="5" fillId="34" borderId="14"/>
    <xf numFmtId="169" fontId="5" fillId="34" borderId="14"/>
    <xf numFmtId="183" fontId="5" fillId="34" borderId="14"/>
    <xf numFmtId="183" fontId="83" fillId="52" borderId="60" applyNumberFormat="0" applyAlignment="0" applyProtection="0"/>
    <xf numFmtId="0" fontId="83" fillId="52" borderId="60"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69" fontId="25" fillId="23" borderId="46" applyNumberFormat="0" applyAlignment="0" applyProtection="0"/>
    <xf numFmtId="169" fontId="25" fillId="23" borderId="46" applyNumberFormat="0" applyAlignment="0" applyProtection="0"/>
    <xf numFmtId="169"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83" fillId="52" borderId="60"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69" fontId="83" fillId="52" borderId="60"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83" fillId="52" borderId="60"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182" fontId="25" fillId="23" borderId="46" applyNumberFormat="0" applyAlignment="0" applyProtection="0"/>
    <xf numFmtId="40" fontId="125" fillId="78" borderId="0">
      <alignment horizontal="right"/>
    </xf>
    <xf numFmtId="0" fontId="126" fillId="78" borderId="0">
      <alignment horizontal="right"/>
    </xf>
    <xf numFmtId="183" fontId="126" fillId="78" borderId="0">
      <alignment horizontal="right"/>
    </xf>
    <xf numFmtId="169" fontId="126" fillId="78" borderId="0">
      <alignment horizontal="right"/>
    </xf>
    <xf numFmtId="0"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182" fontId="126" fillId="78" borderId="0">
      <alignment horizontal="right"/>
    </xf>
    <xf numFmtId="183" fontId="126" fillId="78" borderId="0">
      <alignment horizontal="right"/>
    </xf>
    <xf numFmtId="0" fontId="127" fillId="78" borderId="11"/>
    <xf numFmtId="183" fontId="127" fillId="78" borderId="11"/>
    <xf numFmtId="169" fontId="127" fillId="78" borderId="11"/>
    <xf numFmtId="0" fontId="127" fillId="78" borderId="11"/>
    <xf numFmtId="183" fontId="127" fillId="78" borderId="11"/>
    <xf numFmtId="182" fontId="127" fillId="78" borderId="11"/>
    <xf numFmtId="183" fontId="127" fillId="78" borderId="11"/>
    <xf numFmtId="182" fontId="127" fillId="78" borderId="11"/>
    <xf numFmtId="183" fontId="127" fillId="78" borderId="11"/>
    <xf numFmtId="0" fontId="127" fillId="0" borderId="0" applyBorder="0">
      <alignment horizontal="centerContinuous"/>
    </xf>
    <xf numFmtId="183" fontId="127" fillId="0" borderId="0" applyBorder="0">
      <alignment horizontal="centerContinuous"/>
    </xf>
    <xf numFmtId="169" fontId="127" fillId="0" borderId="0" applyBorder="0">
      <alignment horizontal="centerContinuous"/>
    </xf>
    <xf numFmtId="0"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182" fontId="127" fillId="0" borderId="0" applyBorder="0">
      <alignment horizontal="centerContinuous"/>
    </xf>
    <xf numFmtId="183" fontId="127" fillId="0" borderId="0" applyBorder="0">
      <alignment horizontal="centerContinuous"/>
    </xf>
    <xf numFmtId="0" fontId="128" fillId="0" borderId="0" applyBorder="0">
      <alignment horizontal="centerContinuous"/>
    </xf>
    <xf numFmtId="183" fontId="128" fillId="0" borderId="0" applyBorder="0">
      <alignment horizontal="centerContinuous"/>
    </xf>
    <xf numFmtId="169" fontId="128" fillId="0" borderId="0" applyBorder="0">
      <alignment horizontal="centerContinuous"/>
    </xf>
    <xf numFmtId="0"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82" fontId="128" fillId="0" borderId="0" applyBorder="0">
      <alignment horizontal="centerContinuous"/>
    </xf>
    <xf numFmtId="183" fontId="128" fillId="0" borderId="0" applyBorder="0">
      <alignment horizontal="centerContinuous"/>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69"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82" fontId="129" fillId="0" borderId="0" applyNumberFormat="0" applyFont="0" applyFill="0" applyBorder="0" applyAlignment="0" applyProtection="0">
      <alignment horizontal="left"/>
    </xf>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69"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69" fontId="130" fillId="0" borderId="64">
      <alignment horizontal="center"/>
    </xf>
    <xf numFmtId="182" fontId="130" fillId="0" borderId="64">
      <alignment horizontal="center"/>
    </xf>
    <xf numFmtId="182" fontId="130" fillId="0" borderId="64">
      <alignment horizontal="center"/>
    </xf>
    <xf numFmtId="0" fontId="5" fillId="0" borderId="0"/>
    <xf numFmtId="0" fontId="5" fillId="0" borderId="0"/>
    <xf numFmtId="169" fontId="130" fillId="0" borderId="64">
      <alignment horizontal="center"/>
    </xf>
    <xf numFmtId="169"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9" fontId="130" fillId="0" borderId="64">
      <alignment horizontal="center"/>
    </xf>
    <xf numFmtId="0" fontId="5" fillId="0" borderId="0"/>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183" fontId="130" fillId="0" borderId="64">
      <alignment horizontal="center"/>
    </xf>
    <xf numFmtId="0" fontId="5" fillId="0" borderId="0"/>
    <xf numFmtId="0" fontId="5" fillId="0" borderId="0"/>
    <xf numFmtId="169" fontId="130" fillId="0" borderId="64">
      <alignment horizontal="center"/>
    </xf>
    <xf numFmtId="0" fontId="5" fillId="0" borderId="0"/>
    <xf numFmtId="169" fontId="130" fillId="0" borderId="64">
      <alignment horizontal="center"/>
    </xf>
    <xf numFmtId="169" fontId="130" fillId="0" borderId="64">
      <alignment horizontal="center"/>
    </xf>
    <xf numFmtId="169" fontId="130" fillId="0" borderId="64">
      <alignment horizontal="center"/>
    </xf>
    <xf numFmtId="0" fontId="5" fillId="0" borderId="0"/>
    <xf numFmtId="0" fontId="5" fillId="0" borderId="0"/>
    <xf numFmtId="169"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183" fontId="130" fillId="0" borderId="64">
      <alignment horizontal="center"/>
    </xf>
    <xf numFmtId="183" fontId="130" fillId="0" borderId="64">
      <alignment horizontal="center"/>
    </xf>
    <xf numFmtId="183" fontId="130" fillId="0" borderId="64">
      <alignment horizontal="center"/>
    </xf>
    <xf numFmtId="0" fontId="5" fillId="0" borderId="0"/>
    <xf numFmtId="0" fontId="5" fillId="0" borderId="0"/>
    <xf numFmtId="183" fontId="130" fillId="0" borderId="64">
      <alignment horizontal="center"/>
    </xf>
    <xf numFmtId="0" fontId="5" fillId="0" borderId="0"/>
    <xf numFmtId="182" fontId="130" fillId="0" borderId="64">
      <alignment horizontal="center"/>
    </xf>
    <xf numFmtId="182" fontId="130" fillId="0" borderId="64">
      <alignment horizontal="center"/>
    </xf>
    <xf numFmtId="0" fontId="5" fillId="0" borderId="0"/>
    <xf numFmtId="0" fontId="5" fillId="0" borderId="0"/>
    <xf numFmtId="169" fontId="130" fillId="0" borderId="64">
      <alignment horizontal="center"/>
    </xf>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182"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183" fontId="129" fillId="84" borderId="0" applyNumberFormat="0" applyFont="0" applyBorder="0" applyAlignment="0" applyProtection="0"/>
    <xf numFmtId="169"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183" fontId="129" fillId="84" borderId="0" applyNumberFormat="0" applyFont="0" applyBorder="0" applyAlignment="0" applyProtection="0"/>
    <xf numFmtId="182" fontId="129" fillId="84" borderId="0" applyNumberFormat="0" applyFont="0" applyBorder="0" applyAlignment="0" applyProtection="0"/>
    <xf numFmtId="0" fontId="131" fillId="0" borderId="0">
      <alignment horizontal="left" indent="1"/>
    </xf>
    <xf numFmtId="183" fontId="131" fillId="0" borderId="0">
      <alignment horizontal="left" indent="1"/>
    </xf>
    <xf numFmtId="183" fontId="131" fillId="0" borderId="0">
      <alignment horizontal="left" indent="1"/>
    </xf>
    <xf numFmtId="183" fontId="131" fillId="0" borderId="0">
      <alignment horizontal="left" indent="1"/>
    </xf>
    <xf numFmtId="0"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183" fontId="99" fillId="3" borderId="73">
      <alignment horizontal="left"/>
    </xf>
    <xf numFmtId="0" fontId="99" fillId="3" borderId="73">
      <alignment horizontal="left"/>
    </xf>
    <xf numFmtId="183" fontId="99" fillId="3" borderId="73">
      <alignment horizontal="left"/>
    </xf>
    <xf numFmtId="0" fontId="99" fillId="3" borderId="73">
      <alignment horizontal="left"/>
    </xf>
    <xf numFmtId="0" fontId="99" fillId="3" borderId="73">
      <alignment horizontal="left"/>
    </xf>
    <xf numFmtId="0" fontId="99" fillId="3" borderId="73">
      <alignment horizontal="left"/>
    </xf>
    <xf numFmtId="183" fontId="99" fillId="3" borderId="73">
      <alignment horizontal="left"/>
    </xf>
    <xf numFmtId="183" fontId="99" fillId="3" borderId="73">
      <alignment horizontal="left"/>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9"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69"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2"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0" fontId="87" fillId="85" borderId="74" applyNumberFormat="0" applyProtection="0">
      <alignment horizontal="left" vertical="center" indent="1"/>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198" fontId="99" fillId="35" borderId="74" applyProtection="0">
      <alignment horizontal="right" vertical="center"/>
    </xf>
    <xf numFmtId="3" fontId="110" fillId="86" borderId="68">
      <alignment horizontal="center"/>
    </xf>
    <xf numFmtId="3" fontId="110" fillId="86" borderId="68">
      <alignment horizontal="center"/>
    </xf>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3" fontId="110" fillId="86" borderId="68">
      <alignment horizontal="center"/>
    </xf>
    <xf numFmtId="37" fontId="5" fillId="0" borderId="26">
      <alignment horizontal="center" wrapText="1"/>
      <protection locked="0"/>
    </xf>
    <xf numFmtId="37" fontId="5" fillId="0" borderId="26">
      <alignment horizontal="center" wrapText="1"/>
      <protection locked="0"/>
    </xf>
    <xf numFmtId="37" fontId="87" fillId="34" borderId="26">
      <alignment horizontal="center" wrapText="1"/>
    </xf>
    <xf numFmtId="199" fontId="5" fillId="34" borderId="26" applyBorder="0">
      <alignment horizontal="center" wrapText="1"/>
    </xf>
    <xf numFmtId="199" fontId="5" fillId="34" borderId="26" applyBorder="0">
      <alignment horizontal="center" wrapText="1"/>
    </xf>
    <xf numFmtId="37" fontId="5" fillId="34" borderId="0"/>
    <xf numFmtId="37" fontId="5" fillId="34" borderId="0"/>
    <xf numFmtId="0" fontId="6" fillId="0" borderId="0"/>
    <xf numFmtId="182" fontId="6" fillId="0" borderId="0"/>
    <xf numFmtId="182" fontId="6" fillId="0" borderId="0"/>
    <xf numFmtId="183" fontId="6" fillId="0" borderId="0"/>
    <xf numFmtId="0" fontId="6" fillId="0" borderId="0"/>
    <xf numFmtId="183" fontId="5" fillId="0" borderId="0"/>
    <xf numFmtId="0" fontId="5" fillId="0" borderId="0"/>
    <xf numFmtId="183" fontId="5" fillId="0" borderId="0"/>
    <xf numFmtId="0" fontId="5" fillId="0" borderId="0"/>
    <xf numFmtId="0" fontId="5" fillId="0" borderId="0"/>
    <xf numFmtId="0" fontId="5" fillId="0" borderId="0"/>
    <xf numFmtId="182" fontId="6" fillId="0" borderId="0"/>
    <xf numFmtId="183" fontId="5" fillId="0" borderId="0"/>
    <xf numFmtId="0" fontId="6" fillId="0" borderId="0"/>
    <xf numFmtId="169" fontId="6" fillId="0" borderId="0"/>
    <xf numFmtId="183" fontId="6" fillId="0" borderId="0"/>
    <xf numFmtId="0" fontId="6" fillId="0" borderId="0"/>
    <xf numFmtId="0" fontId="5" fillId="0" borderId="0"/>
    <xf numFmtId="0" fontId="5" fillId="0" borderId="0"/>
    <xf numFmtId="0" fontId="5" fillId="0" borderId="0"/>
    <xf numFmtId="183" fontId="5" fillId="0" borderId="0"/>
    <xf numFmtId="183" fontId="5" fillId="0" borderId="0"/>
    <xf numFmtId="0" fontId="5" fillId="0" borderId="0"/>
    <xf numFmtId="0" fontId="5" fillId="0" borderId="0"/>
    <xf numFmtId="0" fontId="5" fillId="0" borderId="0"/>
    <xf numFmtId="183" fontId="6" fillId="0" borderId="0"/>
    <xf numFmtId="18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183" fontId="5" fillId="0" borderId="0"/>
    <xf numFmtId="0" fontId="132" fillId="78" borderId="0"/>
    <xf numFmtId="183" fontId="132" fillId="78" borderId="0"/>
    <xf numFmtId="183" fontId="132" fillId="78" borderId="0"/>
    <xf numFmtId="183" fontId="132" fillId="78" borderId="0"/>
    <xf numFmtId="0" fontId="133" fillId="87" borderId="0">
      <alignment horizontal="left"/>
    </xf>
    <xf numFmtId="183" fontId="133" fillId="87" borderId="0">
      <alignment horizontal="left"/>
    </xf>
    <xf numFmtId="183" fontId="133" fillId="87" borderId="0">
      <alignment horizontal="left"/>
    </xf>
    <xf numFmtId="183" fontId="133" fillId="87" borderId="0">
      <alignment horizontal="left"/>
    </xf>
    <xf numFmtId="0" fontId="134" fillId="3" borderId="24">
      <alignment horizontal="left"/>
    </xf>
    <xf numFmtId="0" fontId="87" fillId="88" borderId="68">
      <alignment vertical="center"/>
    </xf>
    <xf numFmtId="183" fontId="87" fillId="88" borderId="68">
      <alignment vertical="center"/>
    </xf>
    <xf numFmtId="183" fontId="87" fillId="88" borderId="68">
      <alignment vertical="center"/>
    </xf>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0" fontId="5" fillId="0" borderId="0"/>
    <xf numFmtId="183" fontId="87" fillId="88" borderId="68">
      <alignment vertical="center"/>
    </xf>
    <xf numFmtId="183" fontId="87" fillId="88" borderId="68">
      <alignment vertical="center"/>
    </xf>
    <xf numFmtId="183" fontId="87" fillId="88" borderId="68">
      <alignment vertical="center"/>
    </xf>
    <xf numFmtId="183" fontId="87" fillId="88" borderId="68">
      <alignment vertical="center"/>
    </xf>
    <xf numFmtId="0" fontId="5" fillId="0" borderId="0"/>
    <xf numFmtId="0" fontId="5" fillId="0" borderId="0"/>
    <xf numFmtId="0" fontId="5" fillId="0" borderId="0"/>
    <xf numFmtId="0" fontId="5" fillId="0" borderId="0"/>
    <xf numFmtId="183"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87" fillId="88" borderId="68">
      <alignment vertical="center"/>
    </xf>
    <xf numFmtId="0" fontId="87" fillId="78" borderId="75" applyNumberFormat="0">
      <alignment horizontal="center"/>
    </xf>
    <xf numFmtId="183" fontId="87" fillId="78" borderId="75" applyNumberFormat="0">
      <alignment horizontal="center"/>
    </xf>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87" fillId="78" borderId="75" applyNumberFormat="0">
      <alignment horizontal="center"/>
    </xf>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200" fontId="5" fillId="0" borderId="45"/>
    <xf numFmtId="40" fontId="105" fillId="0" borderId="0"/>
    <xf numFmtId="0" fontId="53" fillId="0" borderId="0" applyNumberFormat="0" applyFill="0" applyBorder="0" applyAlignment="0" applyProtection="0"/>
    <xf numFmtId="0" fontId="26" fillId="0" borderId="0" applyNumberFormat="0" applyFill="0" applyBorder="0" applyAlignment="0" applyProtection="0"/>
    <xf numFmtId="169" fontId="26" fillId="0" borderId="0" applyNumberFormat="0" applyFill="0" applyBorder="0" applyAlignment="0" applyProtection="0"/>
    <xf numFmtId="183"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182"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2" fontId="26" fillId="0" borderId="0" applyNumberFormat="0" applyFill="0" applyBorder="0" applyAlignment="0" applyProtection="0"/>
    <xf numFmtId="183" fontId="53" fillId="0" borderId="0" applyNumberFormat="0" applyFill="0" applyBorder="0" applyAlignment="0" applyProtection="0"/>
    <xf numFmtId="183"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3" fontId="26" fillId="0" borderId="0" applyNumberFormat="0" applyFill="0" applyBorder="0" applyAlignment="0" applyProtection="0"/>
    <xf numFmtId="169" fontId="2"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26" fillId="0" borderId="0" applyNumberFormat="0" applyFill="0" applyBorder="0" applyAlignment="0" applyProtection="0"/>
    <xf numFmtId="183" fontId="53" fillId="0" borderId="0" applyNumberFormat="0" applyFill="0" applyBorder="0" applyAlignment="0" applyProtection="0"/>
    <xf numFmtId="182" fontId="26" fillId="0" borderId="0" applyNumberFormat="0" applyFill="0" applyBorder="0" applyAlignment="0" applyProtection="0"/>
    <xf numFmtId="183" fontId="2" fillId="0" borderId="0" applyNumberFormat="0" applyFill="0" applyBorder="0" applyAlignment="0" applyProtection="0"/>
    <xf numFmtId="0" fontId="135" fillId="82" borderId="0"/>
    <xf numFmtId="183" fontId="135" fillId="82" borderId="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9"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69"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201" fontId="136" fillId="78" borderId="77">
      <alignment horizontal="center"/>
    </xf>
    <xf numFmtId="201" fontId="136" fillId="78" borderId="77">
      <alignment horizontal="center"/>
    </xf>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0" fontId="27" fillId="0" borderId="76" applyNumberFormat="0" applyFill="0" applyAlignment="0" applyProtection="0"/>
    <xf numFmtId="201" fontId="136" fillId="78" borderId="77">
      <alignment horizontal="center"/>
    </xf>
    <xf numFmtId="169" fontId="3" fillId="0" borderId="63"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201" fontId="136" fillId="78" borderId="77">
      <alignment horizontal="center"/>
    </xf>
    <xf numFmtId="183" fontId="3" fillId="0" borderId="63" applyNumberFormat="0" applyFill="0" applyAlignment="0" applyProtection="0"/>
    <xf numFmtId="0" fontId="27" fillId="0" borderId="47" applyNumberFormat="0" applyFill="0" applyAlignment="0" applyProtection="0"/>
    <xf numFmtId="183" fontId="3" fillId="0" borderId="63"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3" fontId="27" fillId="0" borderId="76"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182" fontId="27" fillId="0" borderId="47" applyNumberFormat="0" applyFill="0" applyAlignment="0" applyProtection="0"/>
    <xf numFmtId="201" fontId="136" fillId="78" borderId="77">
      <alignment horizontal="center"/>
    </xf>
    <xf numFmtId="169" fontId="28" fillId="0" borderId="0" applyNumberFormat="0" applyFill="0" applyBorder="0" applyAlignment="0" applyProtection="0"/>
    <xf numFmtId="0" fontId="28" fillId="0" borderId="0" applyNumberFormat="0" applyFill="0" applyBorder="0" applyAlignment="0" applyProtection="0"/>
    <xf numFmtId="0" fontId="9"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69" fontId="9"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2" fontId="28"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7" fillId="0" borderId="0" applyNumberFormat="0" applyFill="0" applyBorder="0" applyAlignment="0" applyProtection="0"/>
    <xf numFmtId="182" fontId="28" fillId="0" borderId="0" applyNumberFormat="0" applyFill="0" applyBorder="0" applyAlignment="0" applyProtection="0"/>
    <xf numFmtId="183" fontId="9" fillId="0" borderId="0" applyNumberFormat="0" applyFill="0" applyBorder="0" applyAlignment="0" applyProtection="0"/>
    <xf numFmtId="0" fontId="138" fillId="0" borderId="0"/>
    <xf numFmtId="0" fontId="11" fillId="0" borderId="0"/>
    <xf numFmtId="0" fontId="5" fillId="0" borderId="0"/>
    <xf numFmtId="0" fontId="5" fillId="0" borderId="0"/>
    <xf numFmtId="164" fontId="5"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9"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 fillId="32" borderId="44" applyNumberFormat="0" applyAlignment="0" applyProtection="0"/>
    <xf numFmtId="0" fontId="15" fillId="32" borderId="44" applyNumberFormat="0" applyAlignment="0" applyProtection="0"/>
    <xf numFmtId="0" fontId="15" fillId="23" borderId="44" applyNumberFormat="0" applyAlignment="0" applyProtection="0"/>
    <xf numFmtId="166"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7" fontId="12"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5" fillId="0" borderId="0" applyFont="0" applyFill="0" applyBorder="0" applyAlignment="0" applyProtection="0"/>
    <xf numFmtId="0" fontId="47" fillId="0" borderId="33" applyNumberFormat="0" applyFill="0" applyAlignment="0" applyProtection="0"/>
    <xf numFmtId="0" fontId="47" fillId="0" borderId="33" applyNumberFormat="0" applyFill="0" applyAlignment="0" applyProtection="0"/>
    <xf numFmtId="0" fontId="19" fillId="0" borderId="4" applyNumberFormat="0" applyFill="0" applyAlignment="0" applyProtection="0"/>
    <xf numFmtId="0" fontId="48" fillId="0" borderId="34" applyNumberFormat="0" applyFill="0" applyAlignment="0" applyProtection="0"/>
    <xf numFmtId="0" fontId="48" fillId="0" borderId="34" applyNumberFormat="0" applyFill="0" applyAlignment="0" applyProtection="0"/>
    <xf numFmtId="0" fontId="20" fillId="0" borderId="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3" fontId="5" fillId="35" borderId="0" applyNumberFormat="0" applyFont="0" applyBorder="0" applyAlignment="0">
      <alignment horizontal="right"/>
      <protection locked="0"/>
    </xf>
    <xf numFmtId="166" fontId="5" fillId="36" borderId="0" applyFont="0" applyBorder="0" applyAlignment="0">
      <alignment horizontal="right"/>
      <protection locked="0"/>
    </xf>
    <xf numFmtId="0" fontId="5" fillId="0" borderId="0" applyFill="0"/>
    <xf numFmtId="0" fontId="1" fillId="0" borderId="0"/>
    <xf numFmtId="0" fontId="1" fillId="0"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25" fillId="23" borderId="46"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5" fillId="0" borderId="0"/>
    <xf numFmtId="0" fontId="26" fillId="0" borderId="0" applyNumberFormat="0" applyFill="0" applyBorder="0" applyAlignment="0" applyProtection="0"/>
    <xf numFmtId="0" fontId="27" fillId="0" borderId="36" applyNumberFormat="0" applyFill="0" applyAlignment="0" applyProtection="0"/>
    <xf numFmtId="0" fontId="27" fillId="0" borderId="36" applyNumberFormat="0" applyFill="0" applyAlignment="0" applyProtection="0"/>
    <xf numFmtId="0" fontId="27" fillId="0" borderId="47" applyNumberFormat="0" applyFill="0" applyAlignment="0" applyProtection="0"/>
    <xf numFmtId="44" fontId="5" fillId="0" borderId="0" applyFont="0" applyFill="0" applyBorder="0" applyAlignment="0" applyProtection="0"/>
    <xf numFmtId="0" fontId="5" fillId="0" borderId="0"/>
    <xf numFmtId="0" fontId="12"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0" fillId="0" borderId="0"/>
    <xf numFmtId="0" fontId="5" fillId="28" borderId="32" applyNumberFormat="0" applyFont="0" applyAlignment="0" applyProtection="0"/>
    <xf numFmtId="9" fontId="1" fillId="0" borderId="0" applyFont="0" applyFill="0" applyBorder="0" applyAlignment="0" applyProtection="0"/>
    <xf numFmtId="0" fontId="5"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NumberFormat="0" applyFill="0" applyBorder="0" applyAlignment="0" applyProtection="0"/>
    <xf numFmtId="0" fontId="5" fillId="26" borderId="45" applyNumberFormat="0" applyFont="0" applyAlignment="0" applyProtection="0"/>
    <xf numFmtId="44" fontId="10" fillId="0" borderId="0" applyFont="0" applyFill="0" applyBorder="0" applyAlignment="0" applyProtection="0"/>
    <xf numFmtId="0" fontId="72" fillId="0" borderId="0"/>
    <xf numFmtId="167" fontId="12" fillId="0" borderId="0" applyFont="0" applyFill="0" applyBorder="0" applyAlignment="0" applyProtection="0"/>
    <xf numFmtId="0" fontId="5" fillId="0" borderId="0"/>
    <xf numFmtId="0" fontId="5" fillId="0" borderId="0"/>
    <xf numFmtId="0" fontId="10" fillId="0" borderId="0"/>
    <xf numFmtId="44" fontId="5" fillId="0" borderId="0" applyFont="0" applyFill="0" applyBorder="0" applyAlignment="0" applyProtection="0"/>
    <xf numFmtId="0" fontId="1" fillId="0" borderId="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9" fillId="48" borderId="0" applyNumberFormat="0" applyBorder="0" applyAlignment="0" applyProtection="0"/>
    <xf numFmtId="0" fontId="80" fillId="49" borderId="0" applyNumberFormat="0" applyBorder="0" applyAlignment="0" applyProtection="0"/>
    <xf numFmtId="0" fontId="81" fillId="50" borderId="0" applyNumberFormat="0" applyBorder="0" applyAlignment="0" applyProtection="0"/>
    <xf numFmtId="0" fontId="82" fillId="51" borderId="59" applyNumberFormat="0" applyAlignment="0" applyProtection="0"/>
    <xf numFmtId="0" fontId="83" fillId="52" borderId="60" applyNumberFormat="0" applyAlignment="0" applyProtection="0"/>
    <xf numFmtId="0" fontId="84" fillId="52" borderId="59" applyNumberFormat="0" applyAlignment="0" applyProtection="0"/>
    <xf numFmtId="0" fontId="85" fillId="0" borderId="61" applyNumberFormat="0" applyFill="0" applyAlignment="0" applyProtection="0"/>
    <xf numFmtId="0" fontId="35" fillId="53" borderId="62" applyNumberFormat="0" applyAlignment="0" applyProtection="0"/>
    <xf numFmtId="0" fontId="9" fillId="0" borderId="0" applyNumberFormat="0" applyFill="0" applyBorder="0" applyAlignment="0" applyProtection="0"/>
    <xf numFmtId="0" fontId="1" fillId="28" borderId="32" applyNumberFormat="0" applyFont="0" applyAlignment="0" applyProtection="0"/>
    <xf numFmtId="0" fontId="86" fillId="0" borderId="0" applyNumberFormat="0" applyFill="0" applyBorder="0" applyAlignment="0" applyProtection="0"/>
    <xf numFmtId="0" fontId="3" fillId="0" borderId="63" applyNumberFormat="0" applyFill="0" applyAlignment="0" applyProtection="0"/>
    <xf numFmtId="0" fontId="36" fillId="54" borderId="0" applyNumberFormat="0" applyBorder="0" applyAlignment="0" applyProtection="0"/>
    <xf numFmtId="0" fontId="1" fillId="55" borderId="0" applyNumberFormat="0" applyBorder="0" applyAlignment="0" applyProtection="0"/>
    <xf numFmtId="0" fontId="1" fillId="29"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36" fillId="76" borderId="0" applyNumberFormat="0" applyBorder="0" applyAlignment="0" applyProtection="0"/>
    <xf numFmtId="0" fontId="139" fillId="89" borderId="16">
      <alignment horizontal="left" vertical="center"/>
      <protection locked="0"/>
    </xf>
    <xf numFmtId="0" fontId="140" fillId="0" borderId="0" applyFill="0" applyBorder="0" applyAlignment="0">
      <alignment horizontal="left" vertical="center"/>
    </xf>
    <xf numFmtId="0" fontId="4" fillId="0" borderId="0" applyFill="0" applyBorder="0">
      <alignment vertical="center"/>
    </xf>
    <xf numFmtId="0" fontId="141" fillId="0" borderId="0"/>
    <xf numFmtId="0" fontId="52" fillId="97" borderId="0" applyBorder="0">
      <alignment horizontal="left" vertical="center"/>
    </xf>
    <xf numFmtId="203" fontId="149" fillId="0" borderId="0" applyFill="0" applyBorder="0">
      <alignment horizontal="center" vertical="center"/>
    </xf>
    <xf numFmtId="203" fontId="150" fillId="90" borderId="16">
      <alignment horizontal="center" vertical="center"/>
      <protection locked="0"/>
    </xf>
    <xf numFmtId="208" fontId="149" fillId="0" borderId="0" applyFill="0" applyBorder="0">
      <alignment horizontal="center" vertical="center"/>
    </xf>
    <xf numFmtId="208" fontId="150" fillId="89" borderId="16">
      <alignment horizontal="center" vertical="center"/>
      <protection locked="0"/>
    </xf>
    <xf numFmtId="204" fontId="4" fillId="0" borderId="0" applyFill="0" applyBorder="0">
      <alignment horizontal="right" vertical="center"/>
    </xf>
    <xf numFmtId="204" fontId="150" fillId="89" borderId="16">
      <alignment horizontal="right" vertical="center"/>
      <protection locked="0"/>
    </xf>
    <xf numFmtId="206" fontId="4" fillId="0" borderId="0" applyFill="0" applyBorder="0">
      <alignment horizontal="right" vertical="center"/>
    </xf>
    <xf numFmtId="206" fontId="139" fillId="89" borderId="16">
      <alignment horizontal="right" vertical="center"/>
      <protection locked="0"/>
    </xf>
    <xf numFmtId="205" fontId="149" fillId="0" borderId="0" applyFill="0" applyBorder="0">
      <alignment horizontal="right" vertical="center"/>
    </xf>
    <xf numFmtId="205" fontId="150" fillId="89" borderId="16">
      <alignment horizontal="right" vertical="center"/>
      <protection locked="0"/>
    </xf>
    <xf numFmtId="207" fontId="150" fillId="89" borderId="16">
      <alignment horizontal="right" vertical="center"/>
      <protection locked="0"/>
    </xf>
    <xf numFmtId="0" fontId="148" fillId="0" borderId="0" applyFill="0" applyBorder="0">
      <alignment horizontal="left" vertical="center"/>
    </xf>
    <xf numFmtId="0" fontId="143" fillId="0" borderId="0" applyNumberFormat="0" applyFill="0" applyBorder="0">
      <alignment horizontal="left" vertical="center"/>
    </xf>
    <xf numFmtId="0" fontId="144" fillId="0" borderId="0" applyFill="0" applyBorder="0">
      <alignment vertical="center"/>
    </xf>
    <xf numFmtId="0" fontId="151" fillId="0" borderId="0" applyFill="0" applyBorder="0">
      <alignment horizontal="left" vertical="center"/>
    </xf>
    <xf numFmtId="0" fontId="154" fillId="0" borderId="0" applyFill="0" applyBorder="0">
      <alignment horizontal="left" vertical="center"/>
    </xf>
    <xf numFmtId="0" fontId="150" fillId="0" borderId="0" applyFill="0" applyBorder="0">
      <alignment horizontal="left" vertical="center"/>
    </xf>
    <xf numFmtId="0" fontId="35" fillId="98" borderId="0" applyBorder="0">
      <alignment horizontal="left" vertical="center"/>
    </xf>
    <xf numFmtId="0" fontId="152" fillId="94" borderId="0" applyBorder="0">
      <alignment horizontal="left" vertical="center"/>
    </xf>
    <xf numFmtId="209" fontId="149" fillId="0" borderId="0" applyFill="0" applyBorder="0">
      <alignment horizontal="right" vertical="center"/>
    </xf>
    <xf numFmtId="0" fontId="147" fillId="0" borderId="0">
      <alignment horizontal="right" vertical="center"/>
    </xf>
    <xf numFmtId="0" fontId="145" fillId="92" borderId="0">
      <alignment horizontal="left" indent="3"/>
    </xf>
    <xf numFmtId="0" fontId="145" fillId="93" borderId="0">
      <alignment horizontal="left" indent="3"/>
    </xf>
    <xf numFmtId="0" fontId="142" fillId="0" borderId="0">
      <alignment horizontal="center" vertical="center"/>
    </xf>
    <xf numFmtId="0" fontId="146" fillId="89" borderId="16">
      <alignment horizontal="center" vertical="center"/>
      <protection locked="0"/>
    </xf>
    <xf numFmtId="0" fontId="142" fillId="0" borderId="0"/>
    <xf numFmtId="204" fontId="150" fillId="0" borderId="0" applyFill="0" applyBorder="0">
      <alignment horizontal="right" vertical="center"/>
    </xf>
    <xf numFmtId="208" fontId="150" fillId="0" borderId="0" applyFill="0" applyBorder="0">
      <alignment horizontal="center" vertical="center"/>
    </xf>
    <xf numFmtId="209" fontId="150" fillId="0" borderId="0" applyFill="0" applyBorder="0">
      <alignment horizontal="right" vertical="center"/>
    </xf>
    <xf numFmtId="205" fontId="150" fillId="0" borderId="0" applyFill="0" applyBorder="0">
      <alignment horizontal="right" vertical="center"/>
    </xf>
    <xf numFmtId="206" fontId="150" fillId="0" borderId="0" applyFill="0" applyBorder="0">
      <alignment horizontal="right" vertical="center"/>
    </xf>
    <xf numFmtId="203" fontId="150" fillId="0" borderId="0" applyFill="0" applyBorder="0">
      <alignment horizontal="center" vertical="center"/>
    </xf>
    <xf numFmtId="0" fontId="150" fillId="95" borderId="16">
      <alignment horizontal="center" vertical="center"/>
      <protection locked="0"/>
    </xf>
    <xf numFmtId="0" fontId="142" fillId="96" borderId="0"/>
    <xf numFmtId="204" fontId="153" fillId="91" borderId="16">
      <alignment horizontal="right" vertical="center"/>
      <protection locked="0"/>
    </xf>
    <xf numFmtId="0" fontId="45" fillId="0" borderId="0"/>
    <xf numFmtId="0" fontId="141" fillId="0" borderId="0"/>
    <xf numFmtId="0" fontId="155" fillId="0" borderId="0" applyFill="0" applyBorder="0">
      <alignment horizontal="left" vertical="center"/>
    </xf>
    <xf numFmtId="0" fontId="156" fillId="0" borderId="0"/>
    <xf numFmtId="0" fontId="42" fillId="0" borderId="0" applyFill="0" applyBorder="0">
      <alignment horizontal="left" vertical="center"/>
    </xf>
    <xf numFmtId="0" fontId="52" fillId="97" borderId="0" applyBorder="0">
      <alignment horizontal="left" vertical="center"/>
    </xf>
    <xf numFmtId="0" fontId="157" fillId="98" borderId="0" applyBorder="0">
      <alignment horizontal="left" vertical="center"/>
    </xf>
    <xf numFmtId="44" fontId="1" fillId="0" borderId="0" applyFont="0" applyFill="0" applyBorder="0" applyAlignment="0" applyProtection="0"/>
    <xf numFmtId="0" fontId="139" fillId="0" borderId="0" applyFill="0" applyBorder="0" applyAlignment="0">
      <alignment horizontal="left" vertical="center"/>
    </xf>
    <xf numFmtId="0" fontId="12" fillId="101" borderId="0" applyNumberFormat="0" applyBorder="0" applyAlignment="0" applyProtection="0"/>
    <xf numFmtId="0" fontId="5" fillId="0" borderId="0"/>
    <xf numFmtId="0" fontId="12" fillId="101" borderId="0" applyNumberFormat="0" applyBorder="0" applyAlignment="0" applyProtection="0"/>
    <xf numFmtId="0" fontId="12" fillId="107" borderId="0" applyNumberFormat="0" applyBorder="0" applyAlignment="0" applyProtection="0"/>
    <xf numFmtId="0" fontId="12" fillId="104" borderId="0" applyNumberFormat="0" applyBorder="0" applyAlignment="0" applyProtection="0"/>
    <xf numFmtId="0" fontId="5" fillId="0" borderId="0"/>
    <xf numFmtId="0" fontId="5" fillId="0" borderId="0"/>
    <xf numFmtId="0" fontId="160" fillId="0" borderId="0"/>
    <xf numFmtId="0" fontId="12" fillId="101" borderId="0" applyNumberFormat="0" applyBorder="0" applyAlignment="0" applyProtection="0"/>
    <xf numFmtId="0" fontId="13" fillId="104" borderId="0" applyNumberFormat="0" applyBorder="0" applyAlignment="0" applyProtection="0"/>
    <xf numFmtId="0" fontId="12" fillId="106" borderId="0" applyNumberFormat="0" applyBorder="0" applyAlignment="0" applyProtection="0"/>
    <xf numFmtId="43" fontId="5" fillId="0" borderId="0" applyFont="0" applyFill="0" applyBorder="0" applyAlignment="0" applyProtection="0"/>
    <xf numFmtId="0" fontId="153" fillId="0" borderId="0" applyNumberFormat="0" applyFill="0" applyBorder="0" applyAlignment="0"/>
    <xf numFmtId="212" fontId="43" fillId="0" borderId="0"/>
    <xf numFmtId="0" fontId="12" fillId="108" borderId="0" applyNumberFormat="0" applyBorder="0" applyAlignment="0" applyProtection="0"/>
    <xf numFmtId="41" fontId="5" fillId="0" borderId="0" applyFont="0" applyFill="0" applyBorder="0" applyAlignment="0" applyProtection="0"/>
    <xf numFmtId="0" fontId="12" fillId="103" borderId="0" applyNumberFormat="0" applyBorder="0" applyAlignment="0" applyProtection="0"/>
    <xf numFmtId="0" fontId="129" fillId="0" borderId="0" applyFont="0" applyFill="0" applyBorder="0" applyAlignment="0" applyProtection="0"/>
    <xf numFmtId="0" fontId="12" fillId="101" borderId="0" applyNumberFormat="0" applyBorder="0" applyAlignment="0" applyProtection="0"/>
    <xf numFmtId="0" fontId="12" fillId="104" borderId="0" applyNumberFormat="0" applyBorder="0" applyAlignment="0" applyProtection="0"/>
    <xf numFmtId="0" fontId="13" fillId="105"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44" fontId="5" fillId="0" borderId="0" applyFont="0" applyFill="0" applyBorder="0" applyAlignment="0" applyProtection="0"/>
    <xf numFmtId="0" fontId="12" fillId="103" borderId="0" applyNumberFormat="0" applyBorder="0" applyAlignment="0" applyProtection="0"/>
    <xf numFmtId="42" fontId="103" fillId="0" borderId="0" applyFont="0" applyFill="0" applyBorder="0" applyAlignment="0" applyProtection="0"/>
    <xf numFmtId="0" fontId="13" fillId="108" borderId="0" applyNumberFormat="0" applyBorder="0" applyAlignment="0" applyProtection="0"/>
    <xf numFmtId="0" fontId="13" fillId="104" borderId="0" applyNumberFormat="0" applyBorder="0" applyAlignment="0" applyProtection="0"/>
    <xf numFmtId="0" fontId="163" fillId="0" borderId="0"/>
    <xf numFmtId="212" fontId="43" fillId="0" borderId="0"/>
    <xf numFmtId="0" fontId="12" fillId="103" borderId="0" applyNumberFormat="0" applyBorder="0" applyAlignment="0" applyProtection="0"/>
    <xf numFmtId="9" fontId="5" fillId="0" borderId="0" applyFont="0" applyFill="0" applyBorder="0" applyAlignment="0" applyProtection="0"/>
    <xf numFmtId="0" fontId="164" fillId="0" borderId="0" applyNumberFormat="0" applyFill="0" applyBorder="0" applyAlignment="0">
      <protection locked="0"/>
    </xf>
    <xf numFmtId="0" fontId="5" fillId="0" borderId="0" applyFont="0" applyFill="0" applyBorder="0" applyAlignment="0" applyProtection="0"/>
    <xf numFmtId="0"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8" fontId="1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6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0" fontId="27" fillId="109" borderId="0" applyNumberFormat="0" applyBorder="0" applyAlignment="0" applyProtection="0"/>
    <xf numFmtId="0" fontId="27" fillId="110" borderId="0" applyNumberFormat="0" applyBorder="0" applyAlignment="0" applyProtection="0"/>
    <xf numFmtId="0" fontId="27" fillId="111" borderId="0" applyNumberFormat="0" applyBorder="0" applyAlignment="0" applyProtection="0"/>
    <xf numFmtId="171" fontId="12"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0" fontId="167" fillId="0" borderId="0"/>
    <xf numFmtId="0" fontId="168" fillId="0" borderId="0"/>
    <xf numFmtId="0" fontId="87" fillId="0" borderId="0" applyFill="0" applyBorder="0">
      <alignment vertical="center"/>
    </xf>
    <xf numFmtId="0" fontId="47" fillId="0" borderId="33" applyNumberFormat="0" applyFill="0" applyAlignment="0" applyProtection="0"/>
    <xf numFmtId="0" fontId="87" fillId="0" borderId="0" applyFill="0" applyBorder="0">
      <alignment vertical="center"/>
    </xf>
    <xf numFmtId="0" fontId="161" fillId="0" borderId="0" applyFill="0" applyBorder="0">
      <alignment vertical="center"/>
    </xf>
    <xf numFmtId="0" fontId="48" fillId="0" borderId="34" applyNumberFormat="0" applyFill="0" applyAlignment="0" applyProtection="0"/>
    <xf numFmtId="0" fontId="161" fillId="0" borderId="0" applyFill="0" applyBorder="0">
      <alignment vertical="center"/>
    </xf>
    <xf numFmtId="0" fontId="49" fillId="0" borderId="35" applyNumberFormat="0" applyFill="0" applyAlignment="0" applyProtection="0"/>
    <xf numFmtId="0" fontId="44" fillId="0" borderId="0" applyFill="0" applyBorder="0">
      <alignment vertical="center"/>
    </xf>
    <xf numFmtId="0" fontId="44" fillId="0" borderId="0" applyFill="0" applyBorder="0">
      <alignment vertical="center"/>
    </xf>
    <xf numFmtId="0" fontId="43" fillId="0" borderId="0" applyFill="0" applyBorder="0">
      <alignment vertical="center"/>
    </xf>
    <xf numFmtId="0" fontId="49" fillId="0" borderId="0" applyNumberFormat="0" applyFill="0" applyBorder="0" applyAlignment="0" applyProtection="0"/>
    <xf numFmtId="0" fontId="43" fillId="0" borderId="0" applyFill="0" applyBorder="0">
      <alignment vertical="center"/>
    </xf>
    <xf numFmtId="174" fontId="169" fillId="0" borderId="0"/>
    <xf numFmtId="0" fontId="114" fillId="0" borderId="0" applyNumberFormat="0" applyFill="0" applyBorder="0" applyAlignment="0" applyProtection="0">
      <alignment vertical="top"/>
      <protection locked="0"/>
    </xf>
    <xf numFmtId="0" fontId="170" fillId="0" borderId="0" applyFill="0" applyBorder="0">
      <alignment horizontal="center" vertical="center"/>
      <protection locked="0"/>
    </xf>
    <xf numFmtId="0" fontId="171" fillId="0" borderId="0" applyFill="0" applyBorder="0">
      <alignment horizontal="left" vertical="center"/>
      <protection locked="0"/>
    </xf>
    <xf numFmtId="175" fontId="5" fillId="37" borderId="0" applyFont="0" applyBorder="0">
      <alignment horizontal="right"/>
      <protection locked="0"/>
    </xf>
    <xf numFmtId="0" fontId="43" fillId="34" borderId="0"/>
    <xf numFmtId="215" fontId="172" fillId="0" borderId="0"/>
    <xf numFmtId="0" fontId="110" fillId="0" borderId="0" applyFill="0" applyBorder="0">
      <alignment horizontal="left" vertical="center"/>
    </xf>
    <xf numFmtId="211" fontId="173" fillId="0" borderId="0"/>
    <xf numFmtId="0" fontId="5" fillId="0" borderId="0"/>
    <xf numFmtId="0" fontId="5" fillId="0" borderId="0"/>
    <xf numFmtId="0" fontId="5" fillId="0" borderId="0"/>
    <xf numFmtId="0" fontId="5" fillId="0" borderId="0"/>
    <xf numFmtId="0" fontId="5" fillId="0" borderId="0"/>
    <xf numFmtId="0" fontId="5" fillId="78" borderId="0"/>
    <xf numFmtId="0" fontId="5" fillId="0" borderId="0"/>
    <xf numFmtId="0" fontId="5" fillId="0" borderId="0"/>
    <xf numFmtId="0" fontId="5" fillId="0" borderId="0"/>
    <xf numFmtId="0" fontId="5" fillId="0" borderId="0"/>
    <xf numFmtId="0" fontId="5" fillId="0" borderId="0"/>
    <xf numFmtId="0" fontId="12" fillId="0" borderId="0"/>
    <xf numFmtId="0" fontId="103" fillId="0" borderId="0"/>
    <xf numFmtId="0" fontId="5" fillId="78" borderId="0"/>
    <xf numFmtId="0" fontId="5" fillId="0" borderId="0"/>
    <xf numFmtId="216" fontId="5" fillId="0" borderId="0" applyFill="0" applyBorder="0"/>
    <xf numFmtId="216" fontId="5" fillId="0" borderId="0" applyFill="0" applyBorder="0"/>
    <xf numFmtId="216" fontId="5" fillId="0" borderId="0" applyFill="0" applyBorder="0"/>
    <xf numFmtId="174" fontId="174" fillId="0" borderId="0"/>
    <xf numFmtId="0" fontId="44" fillId="0" borderId="0" applyFill="0" applyBorder="0">
      <alignment vertical="center"/>
    </xf>
    <xf numFmtId="217" fontId="175" fillId="0" borderId="14"/>
    <xf numFmtId="218" fontId="5" fillId="0" borderId="0"/>
    <xf numFmtId="218" fontId="5" fillId="0" borderId="0"/>
    <xf numFmtId="218" fontId="5" fillId="0" borderId="0"/>
    <xf numFmtId="208" fontId="43" fillId="0" borderId="0" applyFill="0" applyBorder="0">
      <alignment horizontal="right" vertical="center"/>
    </xf>
    <xf numFmtId="204" fontId="43" fillId="0" borderId="0" applyFill="0" applyBorder="0">
      <alignment horizontal="right" vertical="center"/>
    </xf>
    <xf numFmtId="203" fontId="43" fillId="0" borderId="0" applyFill="0" applyBorder="0">
      <alignment horizontal="right" vertical="center"/>
    </xf>
    <xf numFmtId="0" fontId="5" fillId="26" borderId="0" applyNumberFormat="0" applyFont="0" applyBorder="0" applyAlignment="0" applyProtection="0"/>
    <xf numFmtId="0" fontId="5" fillId="26" borderId="0" applyNumberFormat="0" applyFont="0" applyBorder="0" applyAlignment="0" applyProtection="0"/>
    <xf numFmtId="0" fontId="5" fillId="32" borderId="0" applyNumberFormat="0" applyFont="0" applyBorder="0" applyAlignment="0" applyProtection="0"/>
    <xf numFmtId="0" fontId="5" fillId="32" borderId="0" applyNumberFormat="0" applyFont="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3" fillId="0" borderId="0" applyNumberFormat="0" applyFill="0" applyBorder="0" applyAlignment="0" applyProtection="0"/>
    <xf numFmtId="0" fontId="5" fillId="0" borderId="0"/>
    <xf numFmtId="0" fontId="110" fillId="0" borderId="0"/>
    <xf numFmtId="0" fontId="176" fillId="0" borderId="0"/>
    <xf numFmtId="15" fontId="5" fillId="0" borderId="0"/>
    <xf numFmtId="15" fontId="5" fillId="0" borderId="0"/>
    <xf numFmtId="15" fontId="5" fillId="0" borderId="0"/>
    <xf numFmtId="10" fontId="5" fillId="0" borderId="0"/>
    <xf numFmtId="10" fontId="5" fillId="0" borderId="0"/>
    <xf numFmtId="10" fontId="5" fillId="0" borderId="0"/>
    <xf numFmtId="0" fontId="177" fillId="82" borderId="12" applyBorder="0" applyProtection="0">
      <alignment horizontal="centerContinuous" vertical="center"/>
    </xf>
    <xf numFmtId="0" fontId="178" fillId="0" borderId="0" applyBorder="0" applyProtection="0">
      <alignment vertical="center"/>
    </xf>
    <xf numFmtId="0" fontId="179" fillId="0" borderId="0">
      <alignment horizontal="left"/>
    </xf>
    <xf numFmtId="0" fontId="179" fillId="0" borderId="31" applyFill="0" applyBorder="0" applyProtection="0">
      <alignment horizontal="left" vertical="top"/>
    </xf>
    <xf numFmtId="49" fontId="5" fillId="0" borderId="0" applyFont="0" applyFill="0" applyBorder="0" applyAlignment="0" applyProtection="0"/>
    <xf numFmtId="0" fontId="180" fillId="0" borderId="0"/>
    <xf numFmtId="49" fontId="5" fillId="0" borderId="0" applyFont="0" applyFill="0" applyBorder="0" applyAlignment="0" applyProtection="0"/>
    <xf numFmtId="0" fontId="181" fillId="0" borderId="0"/>
    <xf numFmtId="0" fontId="181" fillId="0" borderId="0"/>
    <xf numFmtId="0" fontId="180" fillId="0" borderId="0"/>
    <xf numFmtId="215" fontId="182" fillId="0" borderId="0"/>
    <xf numFmtId="0" fontId="183" fillId="0" borderId="0" applyFill="0" applyBorder="0">
      <alignment horizontal="left" vertical="center"/>
      <protection locked="0"/>
    </xf>
    <xf numFmtId="0" fontId="180" fillId="0" borderId="0"/>
    <xf numFmtId="0" fontId="184" fillId="0" borderId="0" applyFill="0" applyBorder="0">
      <alignment horizontal="left" vertical="center"/>
      <protection locked="0"/>
    </xf>
    <xf numFmtId="219" fontId="5" fillId="0" borderId="12" applyBorder="0" applyProtection="0">
      <alignment horizontal="right"/>
    </xf>
    <xf numFmtId="219" fontId="5" fillId="0" borderId="12" applyBorder="0" applyProtection="0">
      <alignment horizontal="right"/>
    </xf>
    <xf numFmtId="219" fontId="5" fillId="0" borderId="12" applyBorder="0" applyProtection="0">
      <alignment horizontal="right"/>
    </xf>
    <xf numFmtId="0" fontId="49" fillId="0" borderId="35" applyNumberFormat="0" applyFill="0" applyAlignment="0" applyProtection="0"/>
    <xf numFmtId="0" fontId="49" fillId="0" borderId="35" applyNumberFormat="0" applyFill="0" applyAlignment="0" applyProtection="0"/>
    <xf numFmtId="0" fontId="12" fillId="0" borderId="0"/>
    <xf numFmtId="0" fontId="177" fillId="82" borderId="12" applyBorder="0" applyProtection="0">
      <alignment horizontal="centerContinuous" vertical="center"/>
    </xf>
    <xf numFmtId="219" fontId="5" fillId="0" borderId="12" applyBorder="0" applyProtection="0">
      <alignment horizontal="right"/>
    </xf>
    <xf numFmtId="219" fontId="5" fillId="0" borderId="12" applyBorder="0" applyProtection="0">
      <alignment horizontal="right"/>
    </xf>
    <xf numFmtId="0" fontId="1" fillId="0" borderId="0">
      <protection locked="0"/>
    </xf>
    <xf numFmtId="220" fontId="5" fillId="100" borderId="82" applyFill="0">
      <alignment horizontal="right" vertical="center" wrapText="1"/>
      <protection locked="0"/>
    </xf>
    <xf numFmtId="220" fontId="11" fillId="99" borderId="81">
      <alignment horizontal="right" vertical="center" wrapText="1"/>
    </xf>
    <xf numFmtId="0" fontId="1" fillId="0" borderId="0"/>
    <xf numFmtId="0" fontId="55" fillId="0" borderId="0"/>
    <xf numFmtId="9" fontId="1" fillId="0" borderId="0" applyFont="0" applyFill="0" applyBorder="0" applyAlignment="0" applyProtection="0"/>
    <xf numFmtId="0" fontId="16" fillId="24" borderId="3" applyNumberFormat="0" applyAlignment="0" applyProtection="0"/>
    <xf numFmtId="0" fontId="5" fillId="0" borderId="0" applyFill="0"/>
    <xf numFmtId="0" fontId="185" fillId="0" borderId="0" applyNumberFormat="0" applyFill="0" applyBorder="0" applyAlignment="0" applyProtection="0">
      <alignment vertical="top"/>
      <protection locked="0"/>
    </xf>
    <xf numFmtId="172" fontId="5" fillId="3" borderId="0" applyFont="0" applyBorder="0">
      <alignment horizontal="right"/>
    </xf>
    <xf numFmtId="174" fontId="5" fillId="3" borderId="0" applyFont="0" applyBorder="0" applyAlignment="0"/>
    <xf numFmtId="166" fontId="5" fillId="2" borderId="0" applyFont="0" applyBorder="0" applyAlignment="0">
      <alignment horizontal="right"/>
      <protection locked="0"/>
    </xf>
    <xf numFmtId="10" fontId="5" fillId="2" borderId="0" applyFont="0" applyBorder="0">
      <alignment horizontal="right"/>
      <protection locked="0"/>
    </xf>
    <xf numFmtId="3" fontId="5" fillId="83" borderId="0" applyFont="0" applyBorder="0">
      <protection locked="0"/>
    </xf>
    <xf numFmtId="174" fontId="161" fillId="83" borderId="0" applyBorder="0" applyAlignment="0">
      <protection locked="0"/>
    </xf>
    <xf numFmtId="174" fontId="186" fillId="112" borderId="0" applyBorder="0" applyAlignment="0"/>
    <xf numFmtId="172" fontId="92" fillId="34" borderId="11" applyFont="0" applyBorder="0" applyAlignment="0"/>
    <xf numFmtId="174" fontId="161" fillId="34" borderId="0" applyFont="0" applyBorder="0" applyAlignment="0"/>
    <xf numFmtId="0" fontId="1" fillId="0" borderId="0">
      <protection locked="0"/>
    </xf>
    <xf numFmtId="0" fontId="1" fillId="0" borderId="0"/>
    <xf numFmtId="0" fontId="1" fillId="0" borderId="0"/>
    <xf numFmtId="0" fontId="1" fillId="55" borderId="0" applyNumberFormat="0" applyBorder="0" applyAlignment="0" applyProtection="0"/>
    <xf numFmtId="0" fontId="1" fillId="29" borderId="0" applyNumberFormat="0" applyBorder="0" applyAlignment="0" applyProtection="0"/>
    <xf numFmtId="166" fontId="5" fillId="34" borderId="0" applyNumberFormat="0" applyFont="0" applyBorder="0" applyAlignment="0">
      <alignment horizontal="right"/>
    </xf>
    <xf numFmtId="0" fontId="15" fillId="32" borderId="44" applyNumberFormat="0" applyAlignment="0" applyProtection="0"/>
    <xf numFmtId="0" fontId="15" fillId="32" borderId="44"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9" fontId="71" fillId="113" borderId="84">
      <alignment horizontal="center" vertical="center" wrapText="1"/>
    </xf>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114" fillId="0" borderId="0" applyNumberFormat="0" applyFill="0" applyBorder="0" applyAlignment="0" applyProtection="0">
      <alignment vertical="top"/>
      <protection locked="0"/>
    </xf>
    <xf numFmtId="0" fontId="159" fillId="0" borderId="0" applyNumberFormat="0" applyFill="0" applyBorder="0" applyAlignment="0" applyProtection="0"/>
    <xf numFmtId="0" fontId="116" fillId="0" borderId="0" applyNumberFormat="0" applyFill="0" applyBorder="0" applyAlignment="0" applyProtection="0">
      <alignment vertical="top"/>
      <protection locked="0"/>
    </xf>
    <xf numFmtId="166" fontId="5" fillId="36" borderId="0" applyFont="0" applyBorder="0" applyAlignment="0">
      <alignment horizontal="right"/>
      <protection locked="0"/>
    </xf>
    <xf numFmtId="175" fontId="5" fillId="37" borderId="0" applyFont="0" applyBorder="0">
      <alignment horizontal="right"/>
      <protection locked="0"/>
    </xf>
    <xf numFmtId="220" fontId="1" fillId="100" borderId="81">
      <protection locked="0"/>
    </xf>
    <xf numFmtId="220" fontId="1" fillId="100" borderId="8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220" fontId="1" fillId="99" borderId="81"/>
    <xf numFmtId="220" fontId="1" fillId="99" borderId="81"/>
    <xf numFmtId="0" fontId="5" fillId="0" borderId="0"/>
    <xf numFmtId="0" fontId="5" fillId="78" borderId="0"/>
    <xf numFmtId="0" fontId="5" fillId="0" borderId="0"/>
    <xf numFmtId="0" fontId="5" fillId="0" borderId="0"/>
    <xf numFmtId="0" fontId="5" fillId="0" borderId="0"/>
    <xf numFmtId="0" fontId="5" fillId="0" borderId="0"/>
    <xf numFmtId="0" fontId="1" fillId="0" borderId="0"/>
    <xf numFmtId="0" fontId="5" fillId="78" borderId="0"/>
    <xf numFmtId="0" fontId="5" fillId="78" borderId="0"/>
    <xf numFmtId="0" fontId="5" fillId="0" borderId="0"/>
    <xf numFmtId="0" fontId="12" fillId="0" borderId="0"/>
    <xf numFmtId="0" fontId="12" fillId="0" borderId="0"/>
    <xf numFmtId="0" fontId="5"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5" fillId="0" borderId="0"/>
    <xf numFmtId="0" fontId="5" fillId="78" borderId="0"/>
    <xf numFmtId="0" fontId="1" fillId="0" borderId="0"/>
    <xf numFmtId="0" fontId="1" fillId="0" borderId="0"/>
    <xf numFmtId="0" fontId="5" fillId="0" borderId="0"/>
    <xf numFmtId="0" fontId="5"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25" fillId="32" borderId="46" applyNumberFormat="0" applyAlignment="0" applyProtection="0"/>
    <xf numFmtId="0" fontId="25" fillId="32"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220" fontId="162" fillId="100" borderId="83">
      <alignment horizontal="right" indent="2"/>
      <protection locked="0"/>
    </xf>
    <xf numFmtId="0" fontId="5" fillId="0" borderId="0"/>
    <xf numFmtId="0" fontId="27" fillId="0" borderId="36" applyNumberFormat="0" applyFill="0" applyAlignment="0" applyProtection="0"/>
    <xf numFmtId="0" fontId="27" fillId="0" borderId="36" applyNumberFormat="0" applyFill="0" applyAlignment="0" applyProtection="0"/>
    <xf numFmtId="0" fontId="1" fillId="0" borderId="0"/>
    <xf numFmtId="0" fontId="13" fillId="17"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43" fontId="5" fillId="0" borderId="0" applyFont="0" applyFill="0" applyBorder="0" applyAlignment="0" applyProtection="0"/>
    <xf numFmtId="0" fontId="5" fillId="0" borderId="0"/>
    <xf numFmtId="0" fontId="5" fillId="0" borderId="0" applyFill="0"/>
    <xf numFmtId="0" fontId="5" fillId="78" borderId="0"/>
    <xf numFmtId="0" fontId="5" fillId="78" borderId="0"/>
    <xf numFmtId="0" fontId="5" fillId="78" borderId="0"/>
    <xf numFmtId="9" fontId="5" fillId="0" borderId="0" applyFont="0" applyFill="0" applyBorder="0" applyAlignment="0" applyProtection="0"/>
    <xf numFmtId="9" fontId="5"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 fillId="0" borderId="0"/>
    <xf numFmtId="0" fontId="1" fillId="0" borderId="0"/>
    <xf numFmtId="0" fontId="176" fillId="0" borderId="0" applyFill="0" applyBorder="0">
      <alignment horizontal="left" vertical="center"/>
    </xf>
    <xf numFmtId="0" fontId="43" fillId="0" borderId="0"/>
    <xf numFmtId="43" fontId="187" fillId="0" borderId="0" applyFont="0" applyFill="0" applyBorder="0" applyAlignment="0" applyProtection="0"/>
    <xf numFmtId="0" fontId="187" fillId="0" borderId="0"/>
    <xf numFmtId="204" fontId="139" fillId="89" borderId="16">
      <alignment horizontal="right" vertical="center"/>
      <protection locked="0"/>
    </xf>
    <xf numFmtId="0" fontId="10" fillId="0" borderId="0"/>
    <xf numFmtId="9" fontId="10" fillId="0" borderId="0" applyFont="0" applyFill="0" applyBorder="0" applyAlignment="0" applyProtection="0"/>
    <xf numFmtId="44" fontId="10" fillId="0" borderId="0" applyFont="0" applyFill="0" applyBorder="0" applyAlignment="0" applyProtection="0"/>
    <xf numFmtId="0" fontId="188" fillId="4" borderId="0">
      <alignment vertical="top" wrapText="1"/>
    </xf>
    <xf numFmtId="10" fontId="11" fillId="4" borderId="1">
      <alignment vertical="top" wrapText="1"/>
    </xf>
    <xf numFmtId="0" fontId="90" fillId="4" borderId="0">
      <alignment vertical="top" wrapText="1"/>
    </xf>
    <xf numFmtId="0" fontId="159" fillId="0" borderId="0" applyNumberFormat="0" applyFill="0" applyBorder="0" applyAlignment="0" applyProtection="0"/>
    <xf numFmtId="0" fontId="191" fillId="0" borderId="0"/>
  </cellStyleXfs>
  <cellXfs count="403">
    <xf numFmtId="0" fontId="0" fillId="0" borderId="0" xfId="0"/>
    <xf numFmtId="170" fontId="0" fillId="0" borderId="0" xfId="0" applyNumberFormat="1" applyBorder="1"/>
    <xf numFmtId="170" fontId="0" fillId="0" borderId="0" xfId="1" applyNumberFormat="1" applyFont="1" applyBorder="1"/>
    <xf numFmtId="0" fontId="0" fillId="0" borderId="0" xfId="0"/>
    <xf numFmtId="0" fontId="0" fillId="0" borderId="0" xfId="0" applyBorder="1"/>
    <xf numFmtId="0" fontId="3" fillId="0" borderId="0" xfId="0" applyFont="1"/>
    <xf numFmtId="0" fontId="0" fillId="0" borderId="0" xfId="0" applyFill="1" applyBorder="1"/>
    <xf numFmtId="0" fontId="0" fillId="0" borderId="0" xfId="0" applyFont="1"/>
    <xf numFmtId="8" fontId="0" fillId="0" borderId="0" xfId="0" applyNumberFormat="1" applyBorder="1"/>
    <xf numFmtId="170" fontId="0" fillId="0" borderId="0" xfId="1" applyNumberFormat="1" applyFont="1"/>
    <xf numFmtId="0" fontId="0" fillId="0" borderId="11" xfId="0" applyBorder="1"/>
    <xf numFmtId="0" fontId="0" fillId="0" borderId="12" xfId="0" applyBorder="1"/>
    <xf numFmtId="170" fontId="0" fillId="0" borderId="12" xfId="0" applyNumberFormat="1" applyBorder="1"/>
    <xf numFmtId="0" fontId="0" fillId="0" borderId="14" xfId="0" applyFill="1" applyBorder="1"/>
    <xf numFmtId="0" fontId="0" fillId="0" borderId="0" xfId="0"/>
    <xf numFmtId="8" fontId="0" fillId="0" borderId="0" xfId="0" applyNumberFormat="1"/>
    <xf numFmtId="0" fontId="0" fillId="0" borderId="0" xfId="0"/>
    <xf numFmtId="0" fontId="0" fillId="0" borderId="14" xfId="0" applyBorder="1"/>
    <xf numFmtId="0" fontId="0" fillId="0" borderId="0" xfId="0" applyBorder="1"/>
    <xf numFmtId="0" fontId="9" fillId="0" borderId="0" xfId="0" applyFont="1"/>
    <xf numFmtId="8" fontId="0" fillId="0" borderId="0" xfId="0" applyNumberFormat="1"/>
    <xf numFmtId="44" fontId="3" fillId="0" borderId="0" xfId="98" applyFont="1"/>
    <xf numFmtId="44" fontId="3" fillId="0" borderId="0" xfId="0" applyNumberFormat="1" applyFont="1"/>
    <xf numFmtId="0" fontId="3" fillId="0" borderId="0" xfId="0" applyFont="1"/>
    <xf numFmtId="44" fontId="0" fillId="0" borderId="0" xfId="98" applyFont="1"/>
    <xf numFmtId="0" fontId="0" fillId="0" borderId="0" xfId="0" applyFont="1" applyAlignment="1">
      <alignment wrapText="1"/>
    </xf>
    <xf numFmtId="0" fontId="37" fillId="0" borderId="0" xfId="0" applyFont="1"/>
    <xf numFmtId="0" fontId="38" fillId="0" borderId="0" xfId="0" applyFont="1"/>
    <xf numFmtId="0" fontId="39" fillId="0" borderId="0" xfId="0" applyFont="1"/>
    <xf numFmtId="0" fontId="40" fillId="0" borderId="0" xfId="0" applyFont="1"/>
    <xf numFmtId="0" fontId="35" fillId="27" borderId="12" xfId="0" applyFont="1" applyFill="1" applyBorder="1" applyAlignment="1">
      <alignment horizontal="right"/>
    </xf>
    <xf numFmtId="170" fontId="35" fillId="27" borderId="12" xfId="0" applyNumberFormat="1" applyFont="1" applyFill="1" applyBorder="1" applyAlignment="1">
      <alignment horizontal="right"/>
    </xf>
    <xf numFmtId="0" fontId="0" fillId="0" borderId="25" xfId="0" applyBorder="1"/>
    <xf numFmtId="0" fontId="0" fillId="0" borderId="15" xfId="0" applyBorder="1"/>
    <xf numFmtId="0" fontId="36" fillId="27" borderId="0" xfId="0" applyFont="1" applyFill="1"/>
    <xf numFmtId="0" fontId="35" fillId="27" borderId="0" xfId="0" applyFont="1" applyFill="1"/>
    <xf numFmtId="0" fontId="35" fillId="27" borderId="0" xfId="0" applyFont="1" applyFill="1" applyAlignment="1">
      <alignment horizontal="center"/>
    </xf>
    <xf numFmtId="0" fontId="35" fillId="27" borderId="26" xfId="0" applyFont="1" applyFill="1" applyBorder="1"/>
    <xf numFmtId="0" fontId="35" fillId="27" borderId="25" xfId="0" applyFont="1" applyFill="1" applyBorder="1"/>
    <xf numFmtId="170" fontId="35" fillId="27" borderId="13" xfId="0" applyNumberFormat="1" applyFont="1" applyFill="1" applyBorder="1" applyAlignment="1">
      <alignment horizontal="right"/>
    </xf>
    <xf numFmtId="0" fontId="35" fillId="27" borderId="13" xfId="0" applyFont="1" applyFill="1" applyBorder="1" applyAlignment="1">
      <alignment horizontal="right"/>
    </xf>
    <xf numFmtId="0" fontId="35" fillId="27" borderId="27" xfId="0" applyFont="1" applyFill="1" applyBorder="1" applyAlignment="1">
      <alignment horizontal="right"/>
    </xf>
    <xf numFmtId="0" fontId="0" fillId="0" borderId="15" xfId="0" applyFill="1" applyBorder="1"/>
    <xf numFmtId="0" fontId="35" fillId="27" borderId="28" xfId="0" applyFont="1" applyFill="1" applyBorder="1" applyAlignment="1">
      <alignment horizontal="right"/>
    </xf>
    <xf numFmtId="170" fontId="35" fillId="27" borderId="30" xfId="0" applyNumberFormat="1" applyFont="1" applyFill="1" applyBorder="1" applyAlignment="1">
      <alignment horizontal="right"/>
    </xf>
    <xf numFmtId="0" fontId="35" fillId="27" borderId="30" xfId="0" applyFont="1" applyFill="1" applyBorder="1" applyAlignment="1">
      <alignment horizontal="right"/>
    </xf>
    <xf numFmtId="0" fontId="35" fillId="27" borderId="23" xfId="0" applyFont="1" applyFill="1" applyBorder="1" applyAlignment="1">
      <alignment horizontal="right"/>
    </xf>
    <xf numFmtId="0" fontId="0" fillId="0" borderId="26" xfId="0" applyBorder="1"/>
    <xf numFmtId="0" fontId="35" fillId="27" borderId="0" xfId="0" applyFont="1" applyFill="1" applyAlignment="1">
      <alignment wrapText="1"/>
    </xf>
    <xf numFmtId="0" fontId="35" fillId="27" borderId="0" xfId="0" applyFont="1" applyFill="1" applyBorder="1" applyAlignment="1">
      <alignment horizontal="center" wrapText="1"/>
    </xf>
    <xf numFmtId="0" fontId="11" fillId="4" borderId="21" xfId="30" applyFont="1" applyFill="1" applyBorder="1" applyAlignment="1">
      <alignment horizontal="left" vertical="top"/>
    </xf>
    <xf numFmtId="0" fontId="35" fillId="0" borderId="0" xfId="0" applyFont="1" applyFill="1"/>
    <xf numFmtId="173" fontId="0" fillId="0" borderId="0" xfId="0" applyNumberFormat="1" applyBorder="1"/>
    <xf numFmtId="0" fontId="0" fillId="0" borderId="0" xfId="0"/>
    <xf numFmtId="0" fontId="0" fillId="0" borderId="0" xfId="0" applyAlignment="1">
      <alignment wrapText="1"/>
    </xf>
    <xf numFmtId="44" fontId="0" fillId="0" borderId="0" xfId="0" applyNumberFormat="1"/>
    <xf numFmtId="0" fontId="10" fillId="0" borderId="0" xfId="203" applyAlignment="1">
      <alignment wrapText="1"/>
    </xf>
    <xf numFmtId="0" fontId="10" fillId="0" borderId="0" xfId="203"/>
    <xf numFmtId="0" fontId="11" fillId="4" borderId="0" xfId="203" applyFont="1" applyFill="1" applyBorder="1"/>
    <xf numFmtId="0" fontId="73" fillId="4" borderId="0" xfId="203" applyFont="1" applyFill="1" applyAlignment="1">
      <alignment horizontal="left"/>
    </xf>
    <xf numFmtId="0" fontId="11" fillId="4" borderId="0" xfId="203" applyFont="1" applyFill="1" applyBorder="1" applyAlignment="1">
      <alignment horizontal="left" vertical="top" wrapText="1"/>
    </xf>
    <xf numFmtId="0" fontId="74" fillId="4" borderId="48" xfId="203" applyFont="1" applyFill="1" applyBorder="1"/>
    <xf numFmtId="0" fontId="11" fillId="4" borderId="52" xfId="203" applyFont="1" applyFill="1" applyBorder="1"/>
    <xf numFmtId="0" fontId="11" fillId="4" borderId="49" xfId="203" applyFont="1" applyFill="1" applyBorder="1"/>
    <xf numFmtId="0" fontId="74" fillId="4" borderId="53" xfId="203" applyFont="1" applyFill="1" applyBorder="1"/>
    <xf numFmtId="0" fontId="11" fillId="4" borderId="50" xfId="203" applyFont="1" applyFill="1" applyBorder="1"/>
    <xf numFmtId="0" fontId="11" fillId="4" borderId="53" xfId="203" applyFont="1" applyFill="1" applyBorder="1"/>
    <xf numFmtId="0" fontId="11" fillId="4" borderId="54" xfId="203" applyFont="1" applyFill="1" applyBorder="1"/>
    <xf numFmtId="0" fontId="11" fillId="4" borderId="55" xfId="203" applyFont="1" applyFill="1" applyBorder="1"/>
    <xf numFmtId="0" fontId="11" fillId="4" borderId="51" xfId="203" applyFont="1" applyFill="1" applyBorder="1"/>
    <xf numFmtId="0" fontId="75" fillId="4" borderId="53" xfId="203" applyFont="1" applyFill="1" applyBorder="1" applyAlignment="1">
      <alignment horizontal="left" vertical="top" wrapText="1"/>
    </xf>
    <xf numFmtId="0" fontId="11" fillId="4" borderId="50" xfId="203" applyFont="1" applyFill="1" applyBorder="1" applyAlignment="1">
      <alignment horizontal="left" vertical="top" wrapText="1"/>
    </xf>
    <xf numFmtId="0" fontId="11" fillId="4" borderId="53" xfId="203" applyFont="1" applyFill="1" applyBorder="1" applyAlignment="1">
      <alignment horizontal="left" vertical="top" wrapText="1"/>
    </xf>
    <xf numFmtId="0" fontId="35" fillId="27" borderId="24" xfId="0" applyFont="1" applyFill="1" applyBorder="1"/>
    <xf numFmtId="0" fontId="0" fillId="0" borderId="24" xfId="0" applyBorder="1"/>
    <xf numFmtId="0" fontId="35" fillId="27" borderId="30" xfId="0" applyFont="1" applyFill="1" applyBorder="1"/>
    <xf numFmtId="0" fontId="35" fillId="27" borderId="13" xfId="0" applyFont="1" applyFill="1" applyBorder="1"/>
    <xf numFmtId="0" fontId="35" fillId="27" borderId="29" xfId="0" applyFont="1" applyFill="1" applyBorder="1"/>
    <xf numFmtId="0" fontId="0" fillId="0" borderId="28" xfId="0" applyBorder="1"/>
    <xf numFmtId="8" fontId="0" fillId="0" borderId="0" xfId="0" applyNumberFormat="1" applyFill="1" applyBorder="1"/>
    <xf numFmtId="0" fontId="0" fillId="0" borderId="0" xfId="0"/>
    <xf numFmtId="0" fontId="3" fillId="0" borderId="0" xfId="0" applyFont="1"/>
    <xf numFmtId="2" fontId="0" fillId="0" borderId="0" xfId="0" applyNumberFormat="1"/>
    <xf numFmtId="0" fontId="0" fillId="0" borderId="0" xfId="0" applyAlignment="1">
      <alignment horizontal="left" vertical="top"/>
    </xf>
    <xf numFmtId="0" fontId="0" fillId="0" borderId="0" xfId="0" applyAlignment="1">
      <alignment horizontal="left" vertical="top" wrapText="1"/>
    </xf>
    <xf numFmtId="0" fontId="9" fillId="0" borderId="0" xfId="0" applyFont="1" applyAlignment="1">
      <alignment horizontal="left" vertical="top"/>
    </xf>
    <xf numFmtId="0" fontId="3" fillId="0" borderId="0" xfId="0" applyFont="1" applyAlignment="1">
      <alignment horizontal="left" vertical="top"/>
    </xf>
    <xf numFmtId="0" fontId="0" fillId="0" borderId="0" xfId="0" applyBorder="1" applyAlignment="1">
      <alignment horizontal="left" vertical="top"/>
    </xf>
    <xf numFmtId="2" fontId="0" fillId="0" borderId="0" xfId="0" applyNumberFormat="1" applyBorder="1" applyAlignment="1">
      <alignment horizontal="left" vertical="top"/>
    </xf>
    <xf numFmtId="44" fontId="0" fillId="0" borderId="0" xfId="98" applyFont="1" applyBorder="1" applyAlignment="1">
      <alignment horizontal="left" vertical="top"/>
    </xf>
    <xf numFmtId="0" fontId="0" fillId="0" borderId="0" xfId="0" applyFill="1" applyBorder="1" applyAlignment="1">
      <alignment horizontal="left" vertical="top"/>
    </xf>
    <xf numFmtId="0" fontId="0" fillId="0" borderId="0" xfId="0" applyFill="1" applyAlignment="1">
      <alignment horizontal="left" vertical="top"/>
    </xf>
    <xf numFmtId="2" fontId="0" fillId="0" borderId="0" xfId="0" applyNumberFormat="1" applyFill="1" applyBorder="1" applyAlignment="1">
      <alignment horizontal="left" vertical="top"/>
    </xf>
    <xf numFmtId="44" fontId="0" fillId="0" borderId="0" xfId="98" applyFont="1" applyFill="1" applyBorder="1" applyAlignment="1">
      <alignment horizontal="left" vertical="top"/>
    </xf>
    <xf numFmtId="0" fontId="0" fillId="0" borderId="0" xfId="0" applyFill="1" applyBorder="1" applyAlignment="1">
      <alignment horizontal="left" vertical="top" wrapText="1"/>
    </xf>
    <xf numFmtId="0" fontId="0" fillId="0" borderId="78" xfId="0" applyBorder="1" applyAlignment="1">
      <alignment horizontal="left" vertical="top"/>
    </xf>
    <xf numFmtId="0" fontId="0" fillId="0" borderId="78" xfId="0" applyFill="1" applyBorder="1" applyAlignment="1">
      <alignment horizontal="left" vertical="top"/>
    </xf>
    <xf numFmtId="202" fontId="0" fillId="0" borderId="0" xfId="0" applyNumberFormat="1" applyFill="1" applyBorder="1" applyAlignment="1">
      <alignment horizontal="left" vertical="top"/>
    </xf>
    <xf numFmtId="10" fontId="0" fillId="0" borderId="0" xfId="0" applyNumberFormat="1" applyFill="1" applyBorder="1"/>
    <xf numFmtId="0" fontId="0" fillId="0" borderId="31" xfId="0" applyFill="1" applyBorder="1"/>
    <xf numFmtId="0" fontId="0" fillId="0" borderId="0" xfId="0"/>
    <xf numFmtId="210" fontId="0" fillId="0" borderId="0" xfId="0" applyNumberFormat="1" applyFill="1" applyBorder="1" applyAlignment="1">
      <alignment horizontal="left" vertical="top"/>
    </xf>
    <xf numFmtId="0" fontId="35" fillId="27" borderId="0" xfId="0" applyFont="1" applyFill="1" applyBorder="1" applyAlignment="1">
      <alignment horizontal="left" vertical="top" wrapText="1"/>
    </xf>
    <xf numFmtId="44" fontId="0" fillId="0" borderId="11" xfId="98" applyFont="1" applyBorder="1" applyAlignment="1">
      <alignment horizontal="left" vertical="top"/>
    </xf>
    <xf numFmtId="44" fontId="0" fillId="0" borderId="11" xfId="98" applyFont="1" applyFill="1" applyBorder="1" applyAlignment="1">
      <alignment horizontal="left" vertical="top"/>
    </xf>
    <xf numFmtId="0" fontId="35" fillId="27" borderId="79" xfId="0" applyFont="1" applyFill="1" applyBorder="1" applyAlignment="1">
      <alignment horizontal="left" vertical="top" wrapText="1"/>
    </xf>
    <xf numFmtId="0" fontId="35" fillId="27" borderId="30" xfId="0" applyFont="1" applyFill="1" applyBorder="1" applyAlignment="1">
      <alignment horizontal="left" vertical="top" wrapText="1"/>
    </xf>
    <xf numFmtId="0" fontId="35" fillId="27" borderId="23" xfId="0" applyFont="1" applyFill="1" applyBorder="1" applyAlignment="1">
      <alignment horizontal="left" vertical="top" wrapText="1"/>
    </xf>
    <xf numFmtId="0" fontId="35" fillId="27" borderId="79" xfId="0" applyFont="1" applyFill="1" applyBorder="1" applyAlignment="1">
      <alignment horizontal="left" vertical="top"/>
    </xf>
    <xf numFmtId="0" fontId="35" fillId="27" borderId="30" xfId="0" applyFont="1" applyFill="1" applyBorder="1" applyAlignment="1">
      <alignment horizontal="left" vertical="top"/>
    </xf>
    <xf numFmtId="0" fontId="0" fillId="0" borderId="31" xfId="0" applyBorder="1" applyAlignment="1">
      <alignment horizontal="left" vertical="top"/>
    </xf>
    <xf numFmtId="0" fontId="0" fillId="0" borderId="11" xfId="0" applyBorder="1" applyAlignment="1">
      <alignment horizontal="left" vertical="top"/>
    </xf>
    <xf numFmtId="0" fontId="0" fillId="0" borderId="11" xfId="0" applyFill="1" applyBorder="1" applyAlignment="1">
      <alignment horizontal="left" vertical="top"/>
    </xf>
    <xf numFmtId="0" fontId="0" fillId="0" borderId="31" xfId="0" applyFill="1" applyBorder="1" applyAlignment="1">
      <alignment horizontal="left" vertical="top"/>
    </xf>
    <xf numFmtId="44" fontId="0" fillId="0" borderId="31" xfId="98" applyFont="1" applyFill="1" applyBorder="1" applyAlignment="1">
      <alignment horizontal="left" vertical="top"/>
    </xf>
    <xf numFmtId="44" fontId="158" fillId="0" borderId="0" xfId="98" applyFont="1" applyBorder="1" applyAlignment="1">
      <alignment horizontal="left" vertical="top"/>
    </xf>
    <xf numFmtId="44" fontId="158" fillId="0" borderId="0" xfId="98" applyFont="1" applyFill="1" applyBorder="1" applyAlignment="1">
      <alignment horizontal="left" vertical="top"/>
    </xf>
    <xf numFmtId="0" fontId="3" fillId="0" borderId="0" xfId="0" applyFont="1" applyAlignment="1">
      <alignment horizontal="left" indent="1"/>
    </xf>
    <xf numFmtId="0" fontId="0" fillId="0" borderId="0" xfId="0"/>
    <xf numFmtId="0" fontId="0" fillId="0" borderId="0" xfId="0" applyBorder="1"/>
    <xf numFmtId="44" fontId="0" fillId="0" borderId="0" xfId="98" applyFont="1"/>
    <xf numFmtId="0" fontId="35" fillId="27" borderId="0" xfId="0" applyFont="1" applyFill="1" applyBorder="1" applyAlignment="1">
      <alignment horizontal="center" wrapText="1"/>
    </xf>
    <xf numFmtId="0" fontId="0" fillId="0" borderId="0" xfId="0"/>
    <xf numFmtId="0" fontId="35" fillId="0" borderId="0" xfId="0" applyFont="1" applyFill="1" applyBorder="1" applyAlignment="1">
      <alignment horizontal="center" vertical="center"/>
    </xf>
    <xf numFmtId="0" fontId="3" fillId="0" borderId="0" xfId="0" applyFont="1" applyBorder="1" applyAlignment="1">
      <alignment horizontal="center"/>
    </xf>
    <xf numFmtId="170" fontId="0" fillId="0" borderId="0" xfId="1" applyNumberFormat="1" applyFont="1" applyFill="1" applyBorder="1"/>
    <xf numFmtId="0" fontId="35" fillId="0" borderId="0" xfId="0" applyFont="1" applyFill="1" applyBorder="1" applyAlignment="1">
      <alignment horizontal="right"/>
    </xf>
    <xf numFmtId="170" fontId="0" fillId="0" borderId="0" xfId="1" applyNumberFormat="1" applyFont="1" applyFill="1"/>
    <xf numFmtId="170" fontId="0" fillId="0" borderId="0" xfId="0" applyNumberFormat="1" applyFill="1" applyBorder="1"/>
    <xf numFmtId="0" fontId="0" fillId="0" borderId="0" xfId="0" applyFill="1"/>
    <xf numFmtId="10" fontId="0" fillId="0" borderId="0" xfId="0" applyNumberFormat="1" applyFill="1" applyBorder="1" applyAlignment="1">
      <alignment vertical="center"/>
    </xf>
    <xf numFmtId="10" fontId="0" fillId="0" borderId="0" xfId="1" applyNumberFormat="1" applyFont="1" applyFill="1" applyBorder="1"/>
    <xf numFmtId="0" fontId="35" fillId="27" borderId="26" xfId="0" applyFont="1" applyFill="1" applyBorder="1" applyAlignment="1">
      <alignment horizontal="center" wrapText="1"/>
    </xf>
    <xf numFmtId="0" fontId="35" fillId="27" borderId="0" xfId="0" applyFont="1" applyFill="1" applyBorder="1" applyAlignment="1">
      <alignment horizontal="center"/>
    </xf>
    <xf numFmtId="44" fontId="0" fillId="0" borderId="13" xfId="98" applyFont="1" applyFill="1" applyBorder="1" applyAlignment="1">
      <alignment horizontal="left" vertical="top"/>
    </xf>
    <xf numFmtId="0" fontId="35" fillId="27" borderId="26" xfId="0" applyFont="1" applyFill="1" applyBorder="1" applyAlignment="1">
      <alignment horizontal="center" vertical="top" wrapText="1"/>
    </xf>
    <xf numFmtId="0" fontId="35" fillId="27" borderId="0" xfId="0" applyFont="1" applyFill="1" applyBorder="1" applyAlignment="1">
      <alignment horizontal="center" wrapText="1"/>
    </xf>
    <xf numFmtId="10" fontId="0" fillId="0" borderId="12" xfId="1" applyNumberFormat="1" applyFont="1" applyFill="1" applyBorder="1"/>
    <xf numFmtId="0" fontId="35" fillId="27" borderId="14" xfId="0" applyFont="1" applyFill="1" applyBorder="1" applyAlignment="1">
      <alignment horizontal="center" wrapText="1"/>
    </xf>
    <xf numFmtId="44" fontId="0" fillId="0" borderId="14" xfId="98" applyFont="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 fillId="0" borderId="0" xfId="0" applyFont="1" applyFill="1" applyAlignment="1">
      <alignment horizontal="left" vertical="top"/>
    </xf>
    <xf numFmtId="0" fontId="0" fillId="0" borderId="0" xfId="0" applyFill="1" applyAlignment="1">
      <alignment wrapText="1"/>
    </xf>
    <xf numFmtId="44" fontId="0" fillId="0" borderId="0" xfId="98" applyFont="1" applyFill="1"/>
    <xf numFmtId="0" fontId="0" fillId="0" borderId="12" xfId="0" applyFill="1" applyBorder="1"/>
    <xf numFmtId="0" fontId="35" fillId="27" borderId="0" xfId="0" applyFont="1" applyFill="1" applyBorder="1" applyAlignment="1">
      <alignment horizontal="center" wrapText="1"/>
    </xf>
    <xf numFmtId="44" fontId="41" fillId="0" borderId="0" xfId="98" applyFont="1" applyBorder="1" applyAlignment="1">
      <alignment horizontal="left" vertical="top"/>
    </xf>
    <xf numFmtId="0" fontId="35" fillId="27" borderId="29" xfId="0" applyFont="1" applyFill="1" applyBorder="1" applyAlignment="1">
      <alignment horizontal="left" vertical="top" wrapText="1"/>
    </xf>
    <xf numFmtId="44" fontId="158" fillId="0" borderId="11" xfId="98" applyFont="1" applyBorder="1" applyAlignment="1">
      <alignment horizontal="left" vertical="top"/>
    </xf>
    <xf numFmtId="44" fontId="158" fillId="0" borderId="11" xfId="98" applyFont="1" applyFill="1" applyBorder="1" applyAlignment="1">
      <alignment horizontal="left" vertical="top"/>
    </xf>
    <xf numFmtId="44" fontId="0" fillId="0" borderId="27" xfId="98" applyFont="1" applyFill="1" applyBorder="1" applyAlignment="1">
      <alignment horizontal="left" vertical="top"/>
    </xf>
    <xf numFmtId="0" fontId="41" fillId="0" borderId="0" xfId="0" applyFont="1"/>
    <xf numFmtId="0" fontId="71" fillId="0" borderId="0" xfId="0" applyFont="1"/>
    <xf numFmtId="0" fontId="0" fillId="0" borderId="0" xfId="0" applyFont="1" applyAlignment="1">
      <alignment horizontal="left" wrapText="1" indent="1"/>
    </xf>
    <xf numFmtId="0" fontId="3" fillId="0" borderId="0" xfId="0" applyFont="1" applyAlignment="1">
      <alignment horizontal="right" indent="1"/>
    </xf>
    <xf numFmtId="0" fontId="3" fillId="0" borderId="0" xfId="0" applyFont="1" applyAlignment="1">
      <alignment horizontal="right" wrapText="1" indent="1"/>
    </xf>
    <xf numFmtId="9" fontId="0" fillId="0" borderId="0" xfId="1" applyFont="1"/>
    <xf numFmtId="0" fontId="3" fillId="0" borderId="26" xfId="0" applyFont="1" applyBorder="1"/>
    <xf numFmtId="0" fontId="35" fillId="27" borderId="30" xfId="0" applyFont="1" applyFill="1" applyBorder="1" applyAlignment="1">
      <alignment horizontal="center"/>
    </xf>
    <xf numFmtId="0" fontId="35" fillId="27" borderId="23" xfId="0" applyFont="1" applyFill="1" applyBorder="1" applyAlignment="1">
      <alignment horizontal="center"/>
    </xf>
    <xf numFmtId="0" fontId="35" fillId="27" borderId="25" xfId="0" applyFont="1" applyFill="1" applyBorder="1" applyAlignment="1">
      <alignment horizontal="center" wrapText="1"/>
    </xf>
    <xf numFmtId="0" fontId="0" fillId="0" borderId="13" xfId="0" applyFont="1" applyFill="1" applyBorder="1"/>
    <xf numFmtId="0" fontId="35" fillId="27" borderId="25" xfId="0" applyFont="1" applyFill="1" applyBorder="1" applyAlignment="1">
      <alignment wrapText="1"/>
    </xf>
    <xf numFmtId="0" fontId="0" fillId="0" borderId="25" xfId="0" applyFont="1" applyFill="1" applyBorder="1"/>
    <xf numFmtId="0" fontId="0" fillId="0" borderId="0" xfId="0"/>
    <xf numFmtId="44" fontId="0" fillId="0" borderId="0" xfId="0" applyNumberFormat="1" applyFill="1" applyAlignment="1">
      <alignment horizontal="left" vertical="top"/>
    </xf>
    <xf numFmtId="8" fontId="3" fillId="0" borderId="0" xfId="0" applyNumberFormat="1" applyFont="1"/>
    <xf numFmtId="44" fontId="0" fillId="114" borderId="14" xfId="98" applyFont="1" applyFill="1" applyBorder="1"/>
    <xf numFmtId="0" fontId="41" fillId="0" borderId="0" xfId="0" applyFont="1" applyFill="1" applyAlignment="1"/>
    <xf numFmtId="0" fontId="0" fillId="0" borderId="0" xfId="0" applyFont="1" applyFill="1"/>
    <xf numFmtId="10" fontId="3" fillId="0" borderId="25" xfId="1" applyNumberFormat="1" applyFont="1" applyFill="1" applyBorder="1"/>
    <xf numFmtId="10" fontId="3" fillId="0" borderId="15" xfId="1" applyNumberFormat="1" applyFont="1" applyFill="1" applyBorder="1"/>
    <xf numFmtId="10" fontId="3" fillId="0" borderId="0" xfId="1" applyNumberFormat="1" applyFont="1" applyFill="1" applyBorder="1"/>
    <xf numFmtId="174" fontId="0" fillId="0" borderId="0" xfId="0" applyNumberFormat="1" applyBorder="1"/>
    <xf numFmtId="174" fontId="0" fillId="0" borderId="0" xfId="1" applyNumberFormat="1" applyFont="1" applyFill="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5" fillId="27" borderId="29" xfId="0" applyFont="1" applyFill="1" applyBorder="1" applyAlignment="1">
      <alignment horizontal="center"/>
    </xf>
    <xf numFmtId="0" fontId="35" fillId="27" borderId="13" xfId="0" applyFont="1" applyFill="1" applyBorder="1" applyAlignment="1">
      <alignment horizontal="center"/>
    </xf>
    <xf numFmtId="0" fontId="35" fillId="27" borderId="27" xfId="0" applyFont="1" applyFill="1" applyBorder="1" applyAlignment="1">
      <alignment horizontal="center"/>
    </xf>
    <xf numFmtId="10" fontId="0" fillId="0" borderId="13" xfId="1" applyNumberFormat="1" applyFont="1" applyFill="1" applyBorder="1"/>
    <xf numFmtId="0" fontId="35" fillId="27" borderId="0" xfId="0" applyFont="1" applyFill="1" applyBorder="1" applyAlignment="1">
      <alignment horizontal="left"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11" fillId="4" borderId="0" xfId="36125" applyFont="1" applyFill="1" applyBorder="1" applyAlignment="1"/>
    <xf numFmtId="0" fontId="11" fillId="4" borderId="55" xfId="36125" applyFont="1" applyFill="1" applyBorder="1" applyAlignment="1"/>
    <xf numFmtId="0" fontId="11" fillId="4" borderId="53" xfId="36125" applyFont="1" applyFill="1" applyBorder="1" applyAlignment="1"/>
    <xf numFmtId="0" fontId="11" fillId="4" borderId="54" xfId="36125" applyFont="1" applyFill="1" applyBorder="1" applyAlignment="1"/>
    <xf numFmtId="0" fontId="0" fillId="0" borderId="79" xfId="0" applyFill="1" applyBorder="1" applyAlignment="1">
      <alignment horizontal="left" vertical="top" wrapText="1"/>
    </xf>
    <xf numFmtId="0" fontId="0" fillId="0" borderId="30" xfId="0" applyBorder="1" applyAlignment="1">
      <alignment wrapText="1"/>
    </xf>
    <xf numFmtId="0" fontId="11" fillId="4" borderId="49" xfId="36125" applyFont="1" applyFill="1" applyBorder="1" applyAlignment="1"/>
    <xf numFmtId="0" fontId="11" fillId="4" borderId="52" xfId="36125" applyFont="1" applyFill="1" applyBorder="1" applyAlignment="1"/>
    <xf numFmtId="44" fontId="3" fillId="0" borderId="23" xfId="98" applyFont="1" applyFill="1" applyBorder="1" applyAlignment="1">
      <alignment horizontal="left" vertical="top"/>
    </xf>
    <xf numFmtId="202" fontId="0" fillId="0" borderId="30" xfId="0" applyNumberFormat="1" applyFill="1" applyBorder="1" applyAlignment="1">
      <alignment horizontal="left" vertical="top"/>
    </xf>
    <xf numFmtId="0" fontId="0" fillId="0" borderId="79" xfId="0" applyFill="1" applyBorder="1" applyAlignment="1">
      <alignment horizontal="left" vertical="top"/>
    </xf>
    <xf numFmtId="44" fontId="0" fillId="0" borderId="23" xfId="98" applyFont="1" applyFill="1" applyBorder="1" applyAlignment="1">
      <alignment horizontal="left" vertical="top"/>
    </xf>
    <xf numFmtId="44" fontId="0" fillId="0" borderId="30" xfId="98" applyFont="1" applyFill="1" applyBorder="1" applyAlignment="1">
      <alignment horizontal="left" vertical="top"/>
    </xf>
    <xf numFmtId="2" fontId="0" fillId="0" borderId="30" xfId="0" applyNumberFormat="1" applyFill="1" applyBorder="1" applyAlignment="1">
      <alignment horizontal="left" vertical="top"/>
    </xf>
    <xf numFmtId="0" fontId="0" fillId="0" borderId="23" xfId="0" applyFill="1" applyBorder="1" applyAlignment="1">
      <alignment horizontal="left" vertical="top"/>
    </xf>
    <xf numFmtId="0" fontId="0" fillId="0" borderId="30" xfId="0" applyFill="1" applyBorder="1" applyAlignment="1">
      <alignment horizontal="left" vertical="top"/>
    </xf>
    <xf numFmtId="0" fontId="0" fillId="0" borderId="30" xfId="0" applyFill="1" applyBorder="1" applyAlignment="1">
      <alignment horizontal="left" vertical="top" wrapText="1"/>
    </xf>
    <xf numFmtId="0" fontId="11" fillId="4" borderId="51" xfId="36125" applyFont="1" applyFill="1" applyBorder="1" applyAlignment="1"/>
    <xf numFmtId="0" fontId="11" fillId="4" borderId="50" xfId="36125" applyFont="1" applyFill="1" applyBorder="1" applyAlignment="1"/>
    <xf numFmtId="44" fontId="0" fillId="0" borderId="79" xfId="98" applyFont="1" applyFill="1" applyBorder="1" applyAlignment="1">
      <alignment horizontal="left" vertical="top"/>
    </xf>
    <xf numFmtId="0" fontId="74" fillId="4" borderId="48" xfId="36125" applyFont="1" applyFill="1" applyBorder="1" applyAlignment="1"/>
    <xf numFmtId="0" fontId="10" fillId="0" borderId="0" xfId="36125"/>
    <xf numFmtId="0" fontId="11" fillId="4" borderId="0" xfId="36125" applyFont="1" applyFill="1" applyBorder="1"/>
    <xf numFmtId="0" fontId="73" fillId="4" borderId="0" xfId="36125" applyFont="1" applyFill="1" applyAlignment="1">
      <alignment horizontal="left"/>
    </xf>
    <xf numFmtId="0" fontId="74" fillId="4" borderId="48" xfId="36125" applyFont="1" applyFill="1" applyBorder="1"/>
    <xf numFmtId="0" fontId="11" fillId="4" borderId="52" xfId="36125" applyFont="1" applyFill="1" applyBorder="1"/>
    <xf numFmtId="0" fontId="11" fillId="4" borderId="49" xfId="36125" applyFont="1" applyFill="1" applyBorder="1"/>
    <xf numFmtId="0" fontId="74" fillId="4" borderId="53" xfId="36125" applyFont="1" applyFill="1" applyBorder="1"/>
    <xf numFmtId="0" fontId="11" fillId="4" borderId="50" xfId="36125" applyFont="1" applyFill="1" applyBorder="1"/>
    <xf numFmtId="0" fontId="11" fillId="4" borderId="53" xfId="36125" applyFont="1" applyFill="1" applyBorder="1"/>
    <xf numFmtId="0" fontId="11" fillId="4" borderId="54" xfId="36125" applyFont="1" applyFill="1" applyBorder="1"/>
    <xf numFmtId="0" fontId="11" fillId="4" borderId="55" xfId="36125" applyFont="1" applyFill="1" applyBorder="1"/>
    <xf numFmtId="0" fontId="11" fillId="4" borderId="51" xfId="36125" applyFont="1" applyFill="1" applyBorder="1"/>
    <xf numFmtId="0" fontId="189" fillId="0" borderId="0" xfId="0" applyFont="1"/>
    <xf numFmtId="0" fontId="190" fillId="0" borderId="0" xfId="36131" applyFont="1"/>
    <xf numFmtId="0" fontId="35" fillId="27" borderId="23" xfId="0" applyFont="1" applyFill="1" applyBorder="1" applyAlignment="1">
      <alignment horizontal="center" vertical="top" wrapText="1"/>
    </xf>
    <xf numFmtId="0" fontId="0" fillId="0" borderId="30" xfId="0" applyFill="1" applyBorder="1" applyAlignment="1">
      <alignment wrapText="1"/>
    </xf>
    <xf numFmtId="0" fontId="0" fillId="0" borderId="25" xfId="0" applyFont="1" applyFill="1" applyBorder="1" applyAlignment="1">
      <alignment wrapText="1"/>
    </xf>
    <xf numFmtId="44" fontId="3" fillId="0" borderId="25" xfId="98" applyFont="1" applyFill="1" applyBorder="1"/>
    <xf numFmtId="0" fontId="0" fillId="0" borderId="14" xfId="0" applyFont="1" applyFill="1" applyBorder="1" applyAlignment="1">
      <alignment wrapText="1"/>
    </xf>
    <xf numFmtId="0" fontId="0" fillId="0" borderId="0" xfId="0" applyFont="1" applyFill="1" applyBorder="1"/>
    <xf numFmtId="44" fontId="0" fillId="0" borderId="0" xfId="98" applyFont="1" applyFill="1" applyBorder="1"/>
    <xf numFmtId="44" fontId="3" fillId="0" borderId="14" xfId="98" applyFont="1" applyFill="1" applyBorder="1"/>
    <xf numFmtId="0" fontId="0" fillId="0" borderId="15" xfId="0" applyFont="1" applyFill="1" applyBorder="1" applyAlignment="1">
      <alignment wrapText="1"/>
    </xf>
    <xf numFmtId="0" fontId="0" fillId="0" borderId="12" xfId="0" applyFont="1" applyFill="1" applyBorder="1"/>
    <xf numFmtId="44" fontId="0" fillId="0" borderId="12" xfId="98" applyFont="1" applyFill="1" applyBorder="1"/>
    <xf numFmtId="44" fontId="3" fillId="0" borderId="15" xfId="98" applyFont="1" applyFill="1" applyBorder="1"/>
    <xf numFmtId="0" fontId="0" fillId="0" borderId="25" xfId="0" applyFill="1" applyBorder="1" applyAlignment="1">
      <alignment wrapText="1"/>
    </xf>
    <xf numFmtId="0" fontId="0" fillId="0" borderId="13" xfId="0" applyFill="1" applyBorder="1"/>
    <xf numFmtId="44" fontId="0" fillId="0" borderId="11" xfId="98" applyFont="1" applyFill="1" applyBorder="1"/>
    <xf numFmtId="44" fontId="0" fillId="0" borderId="28" xfId="98" applyFont="1" applyFill="1" applyBorder="1"/>
    <xf numFmtId="0" fontId="0" fillId="0" borderId="31" xfId="0" applyBorder="1"/>
    <xf numFmtId="44" fontId="3" fillId="0" borderId="11" xfId="98" applyFont="1" applyFill="1" applyBorder="1"/>
    <xf numFmtId="0" fontId="0" fillId="0" borderId="0" xfId="0" applyFont="1" applyFill="1" applyBorder="1" applyAlignment="1">
      <alignment wrapText="1"/>
    </xf>
    <xf numFmtId="44" fontId="3" fillId="0" borderId="0" xfId="98" applyFont="1" applyFill="1" applyBorder="1"/>
    <xf numFmtId="0" fontId="35" fillId="27" borderId="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44" fontId="3" fillId="0" borderId="11" xfId="98" applyFont="1" applyFill="1" applyBorder="1" applyAlignment="1">
      <alignment horizontal="left" vertical="top"/>
    </xf>
    <xf numFmtId="9" fontId="0" fillId="0" borderId="29" xfId="98" applyNumberFormat="1" applyFont="1" applyFill="1" applyBorder="1" applyAlignment="1">
      <alignment horizontal="center" vertical="top"/>
    </xf>
    <xf numFmtId="9" fontId="0" fillId="0" borderId="31" xfId="98" applyNumberFormat="1" applyFont="1" applyFill="1" applyBorder="1" applyAlignment="1">
      <alignment horizontal="center" vertical="top"/>
    </xf>
    <xf numFmtId="0" fontId="0" fillId="100" borderId="0" xfId="0" applyFill="1" applyBorder="1" applyAlignment="1">
      <alignment horizontal="left" vertical="top"/>
    </xf>
    <xf numFmtId="44" fontId="0" fillId="100" borderId="31" xfId="98" applyFont="1" applyFill="1" applyBorder="1" applyAlignment="1">
      <alignment horizontal="left" vertical="top"/>
    </xf>
    <xf numFmtId="44" fontId="0" fillId="100" borderId="0" xfId="98" applyFont="1" applyFill="1" applyBorder="1" applyAlignment="1">
      <alignment horizontal="left" vertical="top"/>
    </xf>
    <xf numFmtId="0" fontId="0" fillId="100" borderId="0" xfId="0" applyFill="1" applyAlignment="1">
      <alignment horizontal="left" vertical="top"/>
    </xf>
    <xf numFmtId="0" fontId="0" fillId="100" borderId="31" xfId="0" applyFill="1" applyBorder="1" applyAlignment="1">
      <alignment horizontal="left" vertical="top" wrapText="1"/>
    </xf>
    <xf numFmtId="2" fontId="0" fillId="100" borderId="0" xfId="0" applyNumberFormat="1" applyFill="1" applyBorder="1" applyAlignment="1">
      <alignment horizontal="left" vertical="top"/>
    </xf>
    <xf numFmtId="202" fontId="0" fillId="100" borderId="0" xfId="0" applyNumberFormat="1" applyFill="1" applyBorder="1" applyAlignment="1">
      <alignment horizontal="left" vertical="top"/>
    </xf>
    <xf numFmtId="0" fontId="0" fillId="100" borderId="0" xfId="0" applyFill="1" applyBorder="1" applyAlignment="1">
      <alignment horizontal="left" vertical="top" wrapText="1"/>
    </xf>
    <xf numFmtId="0" fontId="0" fillId="100" borderId="31" xfId="0" applyFill="1" applyBorder="1" applyAlignment="1">
      <alignment horizontal="left" vertical="top"/>
    </xf>
    <xf numFmtId="0" fontId="0" fillId="100" borderId="0" xfId="0" applyFont="1" applyFill="1" applyBorder="1" applyAlignment="1">
      <alignment horizontal="left" vertical="top" wrapText="1"/>
    </xf>
    <xf numFmtId="0" fontId="0" fillId="100" borderId="11" xfId="0" applyFill="1" applyBorder="1" applyAlignment="1">
      <alignment horizontal="left" vertical="top"/>
    </xf>
    <xf numFmtId="0" fontId="0" fillId="100" borderId="0" xfId="0" applyFill="1"/>
    <xf numFmtId="0" fontId="0" fillId="100" borderId="0" xfId="0" applyFill="1" applyAlignment="1">
      <alignment wrapText="1"/>
    </xf>
    <xf numFmtId="0" fontId="0" fillId="100" borderId="0" xfId="0" applyFill="1" applyAlignment="1">
      <alignment horizontal="left" vertical="top" wrapText="1"/>
    </xf>
    <xf numFmtId="9" fontId="0" fillId="100" borderId="0" xfId="1" applyFont="1" applyFill="1" applyBorder="1" applyAlignment="1">
      <alignment horizontal="center" vertical="top"/>
    </xf>
    <xf numFmtId="9" fontId="0" fillId="0" borderId="31" xfId="1" applyFont="1" applyFill="1" applyBorder="1" applyAlignment="1">
      <alignment horizontal="center" vertical="top"/>
    </xf>
    <xf numFmtId="0" fontId="35" fillId="27" borderId="11" xfId="0" applyFont="1" applyFill="1" applyBorder="1" applyAlignment="1">
      <alignment horizontal="left" vertical="top" wrapText="1"/>
    </xf>
    <xf numFmtId="0" fontId="35" fillId="27" borderId="31" xfId="0" applyFont="1" applyFill="1" applyBorder="1" applyAlignment="1">
      <alignment horizontal="left" vertical="top" wrapText="1"/>
    </xf>
    <xf numFmtId="9" fontId="0" fillId="100" borderId="13" xfId="1" applyFont="1" applyFill="1" applyBorder="1" applyAlignment="1">
      <alignment horizontal="center" vertical="top"/>
    </xf>
    <xf numFmtId="9" fontId="0" fillId="100" borderId="0" xfId="98" applyNumberFormat="1" applyFont="1" applyFill="1" applyBorder="1" applyAlignment="1">
      <alignment horizontal="center" vertical="top"/>
    </xf>
    <xf numFmtId="0" fontId="3" fillId="100" borderId="31" xfId="0" applyFont="1" applyFill="1" applyBorder="1" applyAlignment="1">
      <alignment horizontal="left" vertical="top"/>
    </xf>
    <xf numFmtId="1" fontId="0" fillId="100" borderId="0" xfId="0" applyNumberFormat="1" applyFill="1" applyBorder="1" applyAlignment="1">
      <alignment horizontal="left" vertical="top"/>
    </xf>
    <xf numFmtId="0" fontId="41" fillId="100" borderId="0" xfId="0" applyFont="1" applyFill="1" applyBorder="1" applyAlignment="1">
      <alignment horizontal="left" vertical="top" wrapText="1"/>
    </xf>
    <xf numFmtId="0" fontId="0" fillId="0" borderId="0" xfId="0"/>
    <xf numFmtId="0" fontId="0" fillId="0" borderId="0" xfId="0" applyAlignment="1">
      <alignment wrapText="1"/>
    </xf>
    <xf numFmtId="0" fontId="35" fillId="115" borderId="0" xfId="0" applyFont="1" applyFill="1"/>
    <xf numFmtId="0" fontId="35" fillId="116" borderId="0" xfId="0" applyFont="1" applyFill="1"/>
    <xf numFmtId="0" fontId="35" fillId="116" borderId="0" xfId="0" applyFont="1" applyFill="1" applyAlignment="1">
      <alignment horizontal="center"/>
    </xf>
    <xf numFmtId="0" fontId="11" fillId="100" borderId="21" xfId="30" applyFont="1" applyFill="1" applyBorder="1" applyAlignment="1">
      <alignment horizontal="right" vertical="top"/>
    </xf>
    <xf numFmtId="8" fontId="0" fillId="100" borderId="0" xfId="0" applyNumberFormat="1" applyFill="1" applyBorder="1"/>
    <xf numFmtId="8" fontId="0" fillId="100" borderId="0" xfId="0" applyNumberFormat="1" applyFill="1"/>
    <xf numFmtId="0" fontId="9" fillId="100" borderId="0" xfId="0" applyFont="1" applyFill="1" applyBorder="1" applyAlignment="1">
      <alignment horizontal="left" vertical="top"/>
    </xf>
    <xf numFmtId="17" fontId="0" fillId="0" borderId="0" xfId="0" applyNumberFormat="1"/>
    <xf numFmtId="0" fontId="192" fillId="0" borderId="0" xfId="0" applyFont="1"/>
    <xf numFmtId="221" fontId="0" fillId="0" borderId="27" xfId="0" applyNumberFormat="1" applyFill="1" applyBorder="1" applyAlignment="1">
      <alignment horizontal="left" vertical="top"/>
    </xf>
    <xf numFmtId="221" fontId="0" fillId="0" borderId="11" xfId="0" applyNumberFormat="1" applyFill="1" applyBorder="1" applyAlignment="1">
      <alignment horizontal="left" vertical="top"/>
    </xf>
    <xf numFmtId="221" fontId="0" fillId="0" borderId="11" xfId="98" applyNumberFormat="1" applyFont="1" applyFill="1" applyBorder="1" applyAlignment="1">
      <alignment horizontal="left" vertical="top"/>
    </xf>
    <xf numFmtId="10" fontId="0" fillId="100" borderId="12" xfId="1" applyNumberFormat="1" applyFont="1" applyFill="1" applyBorder="1"/>
    <xf numFmtId="170" fontId="0" fillId="100" borderId="12" xfId="1" applyNumberFormat="1" applyFont="1" applyFill="1" applyBorder="1"/>
    <xf numFmtId="170" fontId="0" fillId="100" borderId="30" xfId="1" applyNumberFormat="1" applyFont="1" applyFill="1" applyBorder="1"/>
    <xf numFmtId="170" fontId="0" fillId="100" borderId="13" xfId="0" applyNumberFormat="1" applyFill="1" applyBorder="1"/>
    <xf numFmtId="170" fontId="0" fillId="100" borderId="0" xfId="0" applyNumberFormat="1" applyFill="1" applyBorder="1"/>
    <xf numFmtId="10" fontId="0" fillId="100" borderId="31" xfId="0" applyNumberFormat="1" applyFill="1" applyBorder="1"/>
    <xf numFmtId="10" fontId="0" fillId="100" borderId="0" xfId="0" applyNumberFormat="1" applyFill="1" applyBorder="1"/>
    <xf numFmtId="10" fontId="0" fillId="100" borderId="11" xfId="0" applyNumberFormat="1" applyFill="1" applyBorder="1"/>
    <xf numFmtId="10" fontId="0" fillId="100" borderId="24" xfId="0" applyNumberFormat="1" applyFill="1" applyBorder="1"/>
    <xf numFmtId="10" fontId="0" fillId="100" borderId="12" xfId="0" applyNumberFormat="1" applyFill="1" applyBorder="1"/>
    <xf numFmtId="10" fontId="0" fillId="100" borderId="28" xfId="0" applyNumberFormat="1" applyFill="1" applyBorder="1"/>
    <xf numFmtId="10" fontId="0" fillId="100" borderId="29" xfId="0" applyNumberFormat="1" applyFill="1" applyBorder="1"/>
    <xf numFmtId="10" fontId="0" fillId="100" borderId="13" xfId="0" applyNumberFormat="1" applyFill="1" applyBorder="1"/>
    <xf numFmtId="10" fontId="0" fillId="100" borderId="27" xfId="0" applyNumberFormat="1" applyFill="1" applyBorder="1"/>
    <xf numFmtId="10" fontId="0" fillId="100" borderId="24" xfId="0" applyNumberFormat="1" applyFill="1" applyBorder="1" applyAlignment="1">
      <alignment vertical="center"/>
    </xf>
    <xf numFmtId="10" fontId="0" fillId="100" borderId="12" xfId="0" applyNumberFormat="1" applyFill="1" applyBorder="1" applyAlignment="1">
      <alignment vertical="center"/>
    </xf>
    <xf numFmtId="10" fontId="0" fillId="100" borderId="28" xfId="0" applyNumberFormat="1" applyFill="1" applyBorder="1" applyAlignment="1">
      <alignment vertical="center"/>
    </xf>
    <xf numFmtId="174" fontId="0" fillId="100" borderId="0" xfId="0" applyNumberFormat="1" applyFill="1" applyBorder="1"/>
    <xf numFmtId="174" fontId="0" fillId="100" borderId="0" xfId="1" applyNumberFormat="1" applyFont="1" applyFill="1" applyBorder="1"/>
    <xf numFmtId="174" fontId="0" fillId="100" borderId="11" xfId="1" applyNumberFormat="1" applyFont="1" applyFill="1" applyBorder="1"/>
    <xf numFmtId="174" fontId="0" fillId="100" borderId="80" xfId="1" applyNumberFormat="1" applyFont="1" applyFill="1" applyBorder="1"/>
    <xf numFmtId="174" fontId="0" fillId="100" borderId="12" xfId="0" applyNumberFormat="1" applyFill="1" applyBorder="1"/>
    <xf numFmtId="174" fontId="0" fillId="100" borderId="12" xfId="1" applyNumberFormat="1" applyFont="1" applyFill="1" applyBorder="1"/>
    <xf numFmtId="174" fontId="0" fillId="100" borderId="28" xfId="1" applyNumberFormat="1" applyFont="1" applyFill="1" applyBorder="1"/>
    <xf numFmtId="10" fontId="3" fillId="0" borderId="14" xfId="1" applyNumberFormat="1" applyFont="1" applyFill="1" applyBorder="1"/>
    <xf numFmtId="0" fontId="0" fillId="39" borderId="0" xfId="0" applyFill="1" applyAlignment="1">
      <alignment horizontal="left" vertical="top"/>
    </xf>
    <xf numFmtId="0" fontId="0" fillId="39" borderId="0" xfId="0" applyFill="1" applyAlignment="1">
      <alignment horizontal="left" vertical="top" wrapText="1"/>
    </xf>
    <xf numFmtId="0" fontId="41" fillId="39" borderId="0" xfId="0" applyFont="1" applyFill="1" applyAlignment="1">
      <alignment horizontal="left" vertical="top"/>
    </xf>
    <xf numFmtId="0" fontId="0" fillId="39" borderId="11" xfId="0" applyFill="1" applyBorder="1" applyAlignment="1">
      <alignment horizontal="left" vertical="top"/>
    </xf>
    <xf numFmtId="0" fontId="0" fillId="39" borderId="31" xfId="0" applyFill="1" applyBorder="1" applyAlignment="1">
      <alignment horizontal="left" vertical="top"/>
    </xf>
    <xf numFmtId="0" fontId="0" fillId="39" borderId="0" xfId="0" applyFill="1" applyBorder="1" applyAlignment="1">
      <alignment horizontal="left" vertical="top"/>
    </xf>
    <xf numFmtId="44" fontId="0" fillId="39" borderId="0" xfId="0" applyNumberFormat="1" applyFill="1" applyAlignment="1">
      <alignment horizontal="left" vertical="top"/>
    </xf>
    <xf numFmtId="0" fontId="4" fillId="0" borderId="0" xfId="0" applyFont="1"/>
    <xf numFmtId="170" fontId="0" fillId="0" borderId="30" xfId="1" applyNumberFormat="1" applyFont="1" applyFill="1" applyBorder="1"/>
    <xf numFmtId="0" fontId="0" fillId="0" borderId="0" xfId="0" applyAlignment="1"/>
    <xf numFmtId="0" fontId="3" fillId="0" borderId="0" xfId="0" applyFont="1" applyFill="1" applyBorder="1" applyAlignment="1">
      <alignment horizontal="left" vertical="top" wrapText="1"/>
    </xf>
    <xf numFmtId="44" fontId="0" fillId="100" borderId="13" xfId="98" applyFont="1" applyFill="1" applyBorder="1"/>
    <xf numFmtId="44" fontId="0" fillId="100" borderId="0" xfId="98" applyFont="1" applyFill="1" applyBorder="1"/>
    <xf numFmtId="44" fontId="0" fillId="100" borderId="12" xfId="98" applyFont="1" applyFill="1" applyBorder="1"/>
    <xf numFmtId="0" fontId="196" fillId="0" borderId="0" xfId="0" applyFont="1"/>
    <xf numFmtId="0" fontId="195" fillId="0" borderId="0" xfId="0" applyFont="1"/>
    <xf numFmtId="0" fontId="197" fillId="0" borderId="0" xfId="0" applyFont="1"/>
    <xf numFmtId="10" fontId="197" fillId="0" borderId="0" xfId="0" applyNumberFormat="1" applyFont="1"/>
    <xf numFmtId="0" fontId="198" fillId="0" borderId="0" xfId="0" applyFont="1"/>
    <xf numFmtId="10" fontId="192" fillId="0" borderId="0" xfId="0" applyNumberFormat="1" applyFont="1" applyFill="1" applyBorder="1"/>
    <xf numFmtId="10" fontId="0" fillId="0" borderId="0" xfId="0" applyNumberFormat="1" applyFont="1" applyFill="1" applyBorder="1"/>
    <xf numFmtId="0" fontId="3" fillId="0" borderId="0" xfId="0" applyFont="1" applyFill="1"/>
    <xf numFmtId="0" fontId="0" fillId="0" borderId="0" xfId="0" applyFill="1" applyAlignment="1">
      <alignment horizontal="center"/>
    </xf>
    <xf numFmtId="8" fontId="3" fillId="0" borderId="0" xfId="0" applyNumberFormat="1" applyFont="1" applyFill="1"/>
    <xf numFmtId="8" fontId="0" fillId="0" borderId="0" xfId="0" applyNumberFormat="1" applyFill="1"/>
    <xf numFmtId="0" fontId="192" fillId="0" borderId="0" xfId="0" applyFont="1" applyFill="1"/>
    <xf numFmtId="44" fontId="0" fillId="100" borderId="13" xfId="98" applyNumberFormat="1" applyFont="1" applyFill="1" applyBorder="1"/>
    <xf numFmtId="44" fontId="0" fillId="100" borderId="27" xfId="98" applyFont="1" applyFill="1" applyBorder="1"/>
    <xf numFmtId="0" fontId="3" fillId="0" borderId="0" xfId="0" applyFont="1" applyFill="1" applyBorder="1" applyAlignment="1" applyProtection="1">
      <protection locked="0"/>
    </xf>
    <xf numFmtId="44" fontId="0" fillId="0" borderId="0" xfId="0" applyNumberFormat="1" applyFont="1"/>
    <xf numFmtId="9" fontId="0" fillId="0" borderId="0" xfId="0" applyNumberFormat="1" applyFont="1"/>
    <xf numFmtId="0" fontId="0" fillId="4" borderId="0" xfId="0" applyFont="1" applyFill="1"/>
    <xf numFmtId="0" fontId="0" fillId="0" borderId="14" xfId="0" applyFont="1" applyBorder="1"/>
    <xf numFmtId="0" fontId="0" fillId="0" borderId="0" xfId="0" applyFont="1" applyBorder="1"/>
    <xf numFmtId="44" fontId="0" fillId="4" borderId="0" xfId="0" applyNumberFormat="1" applyFont="1" applyFill="1" applyBorder="1"/>
    <xf numFmtId="0" fontId="0" fillId="0" borderId="15" xfId="0" applyFont="1" applyBorder="1"/>
    <xf numFmtId="0" fontId="0" fillId="0" borderId="12" xfId="0" applyFont="1" applyBorder="1"/>
    <xf numFmtId="0" fontId="3" fillId="0" borderId="0" xfId="0" applyFont="1" applyFill="1" applyBorder="1" applyAlignment="1" applyProtection="1">
      <alignment wrapText="1"/>
      <protection locked="0"/>
    </xf>
    <xf numFmtId="0" fontId="0" fillId="0" borderId="0" xfId="0" applyFont="1" applyFill="1" applyBorder="1" applyProtection="1">
      <protection locked="0"/>
    </xf>
    <xf numFmtId="44" fontId="0" fillId="100" borderId="0" xfId="98" applyFont="1" applyFill="1" applyBorder="1" applyProtection="1">
      <protection locked="0"/>
    </xf>
    <xf numFmtId="44" fontId="0" fillId="0" borderId="0" xfId="98" applyFont="1" applyFill="1" applyBorder="1" applyProtection="1">
      <protection locked="0"/>
    </xf>
    <xf numFmtId="0" fontId="3" fillId="0" borderId="0" xfId="0" applyFont="1" applyFill="1" applyBorder="1" applyProtection="1">
      <protection locked="0"/>
    </xf>
    <xf numFmtId="2" fontId="0" fillId="100" borderId="0" xfId="0" applyNumberFormat="1" applyFill="1"/>
    <xf numFmtId="2" fontId="11" fillId="100" borderId="21" xfId="30" applyNumberFormat="1" applyFont="1" applyFill="1" applyBorder="1" applyAlignment="1">
      <alignment horizontal="right" vertical="top"/>
    </xf>
    <xf numFmtId="0" fontId="35" fillId="27" borderId="0" xfId="0" applyFont="1" applyFill="1" applyBorder="1" applyAlignment="1">
      <alignment horizontal="left"/>
    </xf>
    <xf numFmtId="0" fontId="0" fillId="0" borderId="0" xfId="0" applyFont="1" applyFill="1" applyAlignment="1">
      <alignment horizontal="center"/>
    </xf>
    <xf numFmtId="0" fontId="35" fillId="27" borderId="79" xfId="0" applyFont="1" applyFill="1" applyBorder="1" applyAlignment="1">
      <alignment horizontal="center" vertical="center"/>
    </xf>
    <xf numFmtId="0" fontId="35" fillId="27" borderId="30" xfId="0" applyFont="1" applyFill="1" applyBorder="1" applyAlignment="1">
      <alignment horizontal="center" vertical="center"/>
    </xf>
    <xf numFmtId="0" fontId="35" fillId="27" borderId="23" xfId="0" applyFont="1" applyFill="1" applyBorder="1" applyAlignment="1">
      <alignment horizontal="center" vertical="center"/>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xf>
    <xf numFmtId="0" fontId="35" fillId="27" borderId="30" xfId="0" applyFont="1" applyFill="1" applyBorder="1" applyAlignment="1">
      <alignment horizontal="center" vertical="top"/>
    </xf>
    <xf numFmtId="0" fontId="35" fillId="27" borderId="23" xfId="0" applyFont="1" applyFill="1" applyBorder="1" applyAlignment="1">
      <alignment horizontal="center" vertical="top"/>
    </xf>
    <xf numFmtId="44" fontId="9" fillId="117" borderId="0" xfId="98" applyFont="1" applyFill="1" applyBorder="1"/>
    <xf numFmtId="44" fontId="9" fillId="117" borderId="0" xfId="98" applyFont="1" applyFill="1"/>
    <xf numFmtId="44" fontId="0" fillId="117" borderId="0" xfId="98" applyFont="1" applyFill="1"/>
    <xf numFmtId="44" fontId="0" fillId="117" borderId="0" xfId="98" applyFont="1" applyFill="1" applyBorder="1"/>
    <xf numFmtId="44" fontId="3" fillId="117" borderId="0" xfId="98" applyFont="1" applyFill="1"/>
    <xf numFmtId="0" fontId="0" fillId="117" borderId="0" xfId="0" applyFont="1" applyFill="1" applyAlignment="1">
      <alignment horizontal="right"/>
    </xf>
    <xf numFmtId="0" fontId="0" fillId="117" borderId="0" xfId="0" applyFont="1" applyFill="1" applyAlignment="1">
      <alignment horizontal="right" indent="1"/>
    </xf>
    <xf numFmtId="44" fontId="0" fillId="117" borderId="12" xfId="98" applyFont="1" applyFill="1" applyBorder="1"/>
    <xf numFmtId="0" fontId="0" fillId="117" borderId="0" xfId="0" applyFont="1" applyFill="1" applyAlignment="1">
      <alignment horizontal="right" wrapText="1" indent="1"/>
    </xf>
    <xf numFmtId="44" fontId="3" fillId="117" borderId="0" xfId="0" applyNumberFormat="1" applyFont="1" applyFill="1"/>
    <xf numFmtId="44" fontId="0" fillId="117" borderId="0" xfId="0" applyNumberFormat="1" applyFont="1" applyFill="1" applyBorder="1"/>
    <xf numFmtId="44" fontId="0" fillId="117" borderId="12" xfId="0" applyNumberFormat="1" applyFont="1" applyFill="1" applyBorder="1"/>
    <xf numFmtId="44" fontId="0" fillId="117" borderId="30" xfId="0" applyNumberFormat="1" applyFont="1" applyFill="1" applyBorder="1"/>
    <xf numFmtId="0" fontId="0" fillId="117" borderId="0" xfId="0" applyFont="1" applyFill="1"/>
    <xf numFmtId="8" fontId="0" fillId="117" borderId="0" xfId="0" applyNumberFormat="1" applyFont="1" applyFill="1"/>
    <xf numFmtId="8" fontId="0" fillId="117" borderId="12" xfId="0" applyNumberFormat="1" applyFont="1" applyFill="1" applyBorder="1"/>
    <xf numFmtId="8" fontId="3" fillId="117" borderId="0" xfId="0" applyNumberFormat="1" applyFont="1" applyFill="1"/>
    <xf numFmtId="0" fontId="199" fillId="0" borderId="0" xfId="0" applyFont="1"/>
    <xf numFmtId="0" fontId="3" fillId="0" borderId="12" xfId="0" applyFont="1" applyBorder="1" applyAlignment="1">
      <alignment horizontal="center"/>
    </xf>
    <xf numFmtId="0" fontId="11" fillId="4" borderId="53" xfId="203" applyFont="1" applyFill="1" applyBorder="1" applyAlignment="1">
      <alignment horizontal="left" vertical="top" wrapText="1"/>
    </xf>
    <xf numFmtId="0" fontId="11" fillId="4" borderId="0" xfId="203" applyFont="1" applyFill="1" applyBorder="1" applyAlignment="1">
      <alignment horizontal="left" vertical="top" wrapText="1"/>
    </xf>
    <xf numFmtId="0" fontId="11" fillId="4" borderId="50" xfId="203" applyFont="1" applyFill="1" applyBorder="1" applyAlignment="1">
      <alignment horizontal="left" vertical="top" wrapText="1"/>
    </xf>
    <xf numFmtId="0" fontId="75" fillId="4" borderId="53" xfId="203" applyFont="1" applyFill="1" applyBorder="1" applyAlignment="1">
      <alignment horizontal="left" vertical="top" wrapText="1"/>
    </xf>
    <xf numFmtId="0" fontId="75" fillId="4" borderId="0" xfId="203" applyFont="1" applyFill="1" applyBorder="1" applyAlignment="1">
      <alignment horizontal="left" vertical="top" wrapText="1"/>
    </xf>
    <xf numFmtId="0" fontId="75" fillId="4" borderId="50" xfId="203" applyFont="1" applyFill="1" applyBorder="1" applyAlignment="1">
      <alignment horizontal="left" vertical="top" wrapText="1"/>
    </xf>
    <xf numFmtId="0" fontId="11" fillId="4" borderId="53" xfId="36125" applyFont="1" applyFill="1" applyBorder="1" applyAlignment="1">
      <alignment horizontal="left" vertical="top" wrapText="1"/>
    </xf>
    <xf numFmtId="0" fontId="11" fillId="4" borderId="0" xfId="36125" applyFont="1" applyFill="1" applyBorder="1" applyAlignment="1">
      <alignment horizontal="left" vertical="top" wrapText="1"/>
    </xf>
    <xf numFmtId="0" fontId="11" fillId="4" borderId="50" xfId="36125" applyFont="1" applyFill="1" applyBorder="1" applyAlignment="1">
      <alignment horizontal="left" vertical="top" wrapText="1"/>
    </xf>
    <xf numFmtId="0" fontId="75" fillId="4" borderId="53" xfId="36125" applyFont="1" applyFill="1" applyBorder="1" applyAlignment="1">
      <alignment horizontal="left" vertical="top"/>
    </xf>
    <xf numFmtId="0" fontId="11" fillId="4" borderId="0" xfId="36125" applyFont="1" applyFill="1" applyBorder="1" applyAlignment="1">
      <alignment horizontal="left" vertical="top"/>
    </xf>
    <xf numFmtId="0" fontId="11" fillId="4" borderId="50" xfId="36125" applyFont="1" applyFill="1" applyBorder="1" applyAlignment="1">
      <alignment horizontal="left" vertical="top"/>
    </xf>
    <xf numFmtId="0" fontId="75" fillId="4" borderId="0" xfId="36125" applyFont="1" applyFill="1" applyBorder="1" applyAlignment="1">
      <alignment horizontal="left" vertical="top"/>
    </xf>
    <xf numFmtId="0" fontId="75" fillId="4" borderId="50" xfId="36125" applyFont="1" applyFill="1" applyBorder="1" applyAlignment="1">
      <alignment horizontal="left" vertical="top"/>
    </xf>
    <xf numFmtId="0" fontId="11" fillId="4" borderId="53" xfId="36125" applyFont="1" applyFill="1" applyBorder="1" applyAlignment="1">
      <alignment horizontal="left" vertical="top"/>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12" xfId="0" applyFont="1" applyFill="1" applyBorder="1" applyAlignment="1">
      <alignment horizontal="center" vertical="top" wrapText="1"/>
    </xf>
    <xf numFmtId="0" fontId="35" fillId="27" borderId="23" xfId="0" applyFont="1" applyFill="1" applyBorder="1" applyAlignment="1">
      <alignment horizontal="center" vertical="top" wrapText="1"/>
    </xf>
  </cellXfs>
  <cellStyles count="36133">
    <cellStyle name=" 1" xfId="4"/>
    <cellStyle name=" 1 2" xfId="5"/>
    <cellStyle name=" 1 2 2" xfId="6"/>
    <cellStyle name=" 1 2 3" xfId="7"/>
    <cellStyle name=" 1 3" xfId="8"/>
    <cellStyle name=" 1 3 2" xfId="9"/>
    <cellStyle name=" 1 4" xfId="10"/>
    <cellStyle name=" 1_29(d) - Gas extensions -tariffs" xfId="11"/>
    <cellStyle name="_1-1454114-2008-2009_Revenue_Over_Recovery_Advice_for_AER_recon_to_BS_v3 (2)" xfId="450"/>
    <cellStyle name="_1-1454114-2008-2009_Revenue_Over_Recovery_Advice_for_AER_recon_to_BS_v3 (2) 2" xfId="451"/>
    <cellStyle name="_2009-10 Forecast Balsheet Financial Accounting Inputs Dec 09 L2000 L5010" xfId="452"/>
    <cellStyle name="_2009-10 Forecast Balsheet Financial Accounting Inputs Dec 09 L2000 L5010 2" xfId="453"/>
    <cellStyle name="_2010-11 True Up Calculations" xfId="454"/>
    <cellStyle name="_2010-11 True Up Calculations 2" xfId="455"/>
    <cellStyle name="_3GIS model v2.77_Distribution Business_Retail Fin Perform " xfId="12"/>
    <cellStyle name="_3GIS model v2.77_Fleet Overhead Costs 2_Retail Fin Perform " xfId="13"/>
    <cellStyle name="_3GIS model v2.77_Fleet Overhead Costs_Retail Fin Perform " xfId="14"/>
    <cellStyle name="_3GIS model v2.77_Forecast 2_Retail Fin Perform " xfId="15"/>
    <cellStyle name="_3GIS model v2.77_Forecast_Retail Fin Perform " xfId="16"/>
    <cellStyle name="_3GIS model v2.77_Funding &amp; Cashflow_1_Retail Fin Perform " xfId="17"/>
    <cellStyle name="_3GIS model v2.77_Funding &amp; Cashflow_Retail Fin Perform " xfId="18"/>
    <cellStyle name="_3GIS model v2.77_Group P&amp;L_1_Retail Fin Perform " xfId="19"/>
    <cellStyle name="_3GIS model v2.77_Group P&amp;L_Retail Fin Perform " xfId="20"/>
    <cellStyle name="_3GIS model v2.77_Opening  Detailed BS_Retail Fin Perform " xfId="21"/>
    <cellStyle name="_3GIS model v2.77_OUTPUT DB_Retail Fin Perform " xfId="22"/>
    <cellStyle name="_3GIS model v2.77_OUTPUT EB_Retail Fin Perform " xfId="23"/>
    <cellStyle name="_3GIS model v2.77_Report_Retail Fin Perform " xfId="24"/>
    <cellStyle name="_3GIS model v2.77_Retail Fin Perform " xfId="25"/>
    <cellStyle name="_3GIS model v2.77_Sheet2 2_Retail Fin Perform " xfId="26"/>
    <cellStyle name="_3GIS model v2.77_Sheet2_Retail Fin Perform " xfId="27"/>
    <cellStyle name="_A2620" xfId="456"/>
    <cellStyle name="_A2620 2" xfId="457"/>
    <cellStyle name="_A2995" xfId="458"/>
    <cellStyle name="_A2995 2" xfId="459"/>
    <cellStyle name="_A9100" xfId="460"/>
    <cellStyle name="_A9100 2" xfId="461"/>
    <cellStyle name="_BACKUP" xfId="462"/>
    <cellStyle name="_BACKUP 2" xfId="463"/>
    <cellStyle name="_backup 2 2" xfId="464"/>
    <cellStyle name="_BACKUP 2 3" xfId="465"/>
    <cellStyle name="_BACKUP 2 4" xfId="466"/>
    <cellStyle name="_BACKUP 2 5" xfId="467"/>
    <cellStyle name="_BACKUP 3" xfId="468"/>
    <cellStyle name="_BACKUP 3 2" xfId="469"/>
    <cellStyle name="_BACKUP 3 3" xfId="470"/>
    <cellStyle name="_BACKUP 4" xfId="471"/>
    <cellStyle name="_BACKUP 4 2" xfId="472"/>
    <cellStyle name="_BACKUP 5" xfId="473"/>
    <cellStyle name="_BACKUP 6" xfId="474"/>
    <cellStyle name="_BACKUP 7" xfId="475"/>
    <cellStyle name="_backup_1" xfId="476"/>
    <cellStyle name="_backup_1 2" xfId="477"/>
    <cellStyle name="_backup_1 2 2" xfId="478"/>
    <cellStyle name="_backup_1 2_Monthly Performance Report Sep 1.2" xfId="479"/>
    <cellStyle name="_backup_1 2_Monthly Performance Report Sep 1.2 2" xfId="480"/>
    <cellStyle name="_backup_1 2_Project info 4 forecast May09" xfId="481"/>
    <cellStyle name="_backup_1 2_Project info 4 forecast May09 2" xfId="482"/>
    <cellStyle name="_backup_1 2_Project info 4 forecast May09_Monthly Performance Report Sep 1.2" xfId="483"/>
    <cellStyle name="_backup_1 2_Project info 4 forecast May09_Monthly Performance Report Sep 1.2 2" xfId="484"/>
    <cellStyle name="_backup_1 3" xfId="485"/>
    <cellStyle name="_backup_1 3 2" xfId="486"/>
    <cellStyle name="_backup_1 3_Monthly Performance Report Sep 1.2" xfId="487"/>
    <cellStyle name="_backup_1 3_Monthly Performance Report Sep 1.2 2" xfId="488"/>
    <cellStyle name="_backup_1 3_Project info 4 forecast May09" xfId="489"/>
    <cellStyle name="_backup_1 3_Project info 4 forecast May09 2" xfId="490"/>
    <cellStyle name="_backup_1 3_Project info 4 forecast May09_Monthly Performance Report Sep 1.2" xfId="491"/>
    <cellStyle name="_backup_1 3_Project info 4 forecast May09_Monthly Performance Report Sep 1.2 2" xfId="492"/>
    <cellStyle name="_backup_1 4" xfId="493"/>
    <cellStyle name="_backup_1 4 2" xfId="494"/>
    <cellStyle name="_backup_1 4_Monthly Performance Report Sep 1.2" xfId="495"/>
    <cellStyle name="_backup_1 4_Monthly Performance Report Sep 1.2 2" xfId="496"/>
    <cellStyle name="_backup_1 4_Project info 4 forecast May09" xfId="497"/>
    <cellStyle name="_backup_1 4_Project info 4 forecast May09 2" xfId="498"/>
    <cellStyle name="_backup_1 4_Project info 4 forecast May09_Monthly Performance Report Sep 1.2" xfId="499"/>
    <cellStyle name="_backup_1 4_Project info 4 forecast May09_Monthly Performance Report Sep 1.2 2" xfId="500"/>
    <cellStyle name="_backup_1 5" xfId="501"/>
    <cellStyle name="_backup_1_Monthly Performance Report Sep 1.2" xfId="502"/>
    <cellStyle name="_backup_1_Monthly Performance Report Sep 1.2 2" xfId="503"/>
    <cellStyle name="_BACKUP_Sheet1" xfId="504"/>
    <cellStyle name="_BACKUP_Sheet1 2" xfId="505"/>
    <cellStyle name="_BACKUP_Trend Analysis" xfId="506"/>
    <cellStyle name="_BACKUP_Trend Analysis 2" xfId="507"/>
    <cellStyle name="_Book1" xfId="508"/>
    <cellStyle name="_Capex" xfId="35762"/>
    <cellStyle name="_Capex 2" xfId="35757"/>
    <cellStyle name="_Capex_29(d) - Gas extensions -tariffs" xfId="35761"/>
    <cellStyle name="_Corvu MASTER" xfId="509"/>
    <cellStyle name="_Corvu MASTER 2" xfId="510"/>
    <cellStyle name="_Corvu MASTER 2 2" xfId="511"/>
    <cellStyle name="_Corvu MASTER 2 3" xfId="512"/>
    <cellStyle name="_Corvu MASTER 2 4" xfId="513"/>
    <cellStyle name="_Corvu MASTER 3" xfId="514"/>
    <cellStyle name="_Corvu MASTER 3 2" xfId="515"/>
    <cellStyle name="_Corvu MASTER 4" xfId="516"/>
    <cellStyle name="_Corvu MASTER 4 2" xfId="517"/>
    <cellStyle name="_Corvu MASTER_1" xfId="518"/>
    <cellStyle name="_Corvu MASTER_Sheet1" xfId="519"/>
    <cellStyle name="_Corvu MASTER_Sheet1 2" xfId="520"/>
    <cellStyle name="_Corvu MASTER_Trend Analysis" xfId="521"/>
    <cellStyle name="_Corvu MASTER_Trend Analysis 2" xfId="522"/>
    <cellStyle name="_EGX_PROD_n1454114_v1_2008-2009_Revenue_Over_Recovery_Advice_for_AER_recon_to_BS_v3" xfId="523"/>
    <cellStyle name="_EGX_PROD_n1454114_v1_2008-2009_Revenue_Over_Recovery_Advice_for_AER_recon_to_BS_v3 2" xfId="524"/>
    <cellStyle name="_EGX_PROD_n1754520_v1_Forecast_Balance_Sheet_Inputs_December_2010" xfId="525"/>
    <cellStyle name="_EGX_PROD_n1754520_v1_Forecast_Balance_Sheet_Inputs_December_2010 2" xfId="526"/>
    <cellStyle name="_EGX_PROD_n1930311_v1_Standing_Journal_June_2011" xfId="527"/>
    <cellStyle name="_EGX_PROD_n1930311_v1_Standing_Journal_June_2011 2" xfId="528"/>
    <cellStyle name="_EGX_PROD_n2302729_v1_Finance_Lease_Repayment_December_2011" xfId="529"/>
    <cellStyle name="_EGX_PROD_n2302729_v1_Finance_Lease_Repayment_December_2011 2" xfId="530"/>
    <cellStyle name="_EGX1 GL Recs P1" xfId="531"/>
    <cellStyle name="_EGX1 GL Recs P1 2" xfId="532"/>
    <cellStyle name="_EGX1 GL Recs P11" xfId="533"/>
    <cellStyle name="_EGX1 GL Recs P11 2" xfId="534"/>
    <cellStyle name="_EGX1 GL Recs P12" xfId="535"/>
    <cellStyle name="_EGX1 GL Recs P12 2" xfId="536"/>
    <cellStyle name="_EMS Ops Report Data Aug 2009" xfId="537"/>
    <cellStyle name="_EMS Ops Report Data Aug 2009 2" xfId="538"/>
    <cellStyle name="_EMS Ops Report Data Aug 2009 2 2" xfId="539"/>
    <cellStyle name="_EMS Ops Report Data Aug 2009 2 2 2" xfId="540"/>
    <cellStyle name="_EMS Ops Report Data Aug 2009 2 3" xfId="541"/>
    <cellStyle name="_EMS Ops Report Data Aug 2009 2 4" xfId="542"/>
    <cellStyle name="_EMS Ops Report Data Aug 2009 2 5" xfId="543"/>
    <cellStyle name="_EMS Ops Report Data Aug 2009 3" xfId="544"/>
    <cellStyle name="_EMS Ops Report Data Aug 2009 3 2" xfId="545"/>
    <cellStyle name="_EMS Ops Report Data Aug 2009 3 2 2" xfId="546"/>
    <cellStyle name="_EMS Ops Report Data Aug 2009 3 3" xfId="547"/>
    <cellStyle name="_EMS Ops Report Data Aug 2009 3 3 2" xfId="548"/>
    <cellStyle name="_EMS Ops Report Data Aug 2009 4" xfId="549"/>
    <cellStyle name="_EMS Ops Report Data Aug 2009 4 2" xfId="550"/>
    <cellStyle name="_EMS Ops Report Data Aug 2009 5" xfId="551"/>
    <cellStyle name="_EMS Ops Report Data Aug 2009_ACS Overall" xfId="552"/>
    <cellStyle name="_EMS Ops Report Data Aug 2009_ACS Overall 2" xfId="553"/>
    <cellStyle name="_EMS Ops Report Data Aug 2009_ACS Summary" xfId="554"/>
    <cellStyle name="_EMS Ops Report Data Aug 2009_ACS Summary 2" xfId="555"/>
    <cellStyle name="_EMS Ops Report Data Aug 2009_Monthly Performance Report Sep 1.2" xfId="556"/>
    <cellStyle name="_EMS Ops Report Data Aug 2009_Monthly Performance Report Sep 1.2 2" xfId="557"/>
    <cellStyle name="_EMS Ops Report Data Aug 2009_Non Reg &amp; ACS Summary" xfId="558"/>
    <cellStyle name="_EMS Ops Report Data Aug 2009_Non Reg &amp; ACS Summary 2" xfId="559"/>
    <cellStyle name="_EMS Ops Report Data Aug 2009_Non Reg &amp; ACS Summary 3" xfId="560"/>
    <cellStyle name="_EMS Ops Report Data Aug 2009_YTD comparison Year on Year" xfId="561"/>
    <cellStyle name="_EMS Ops Report Data Aug 2009_YTD comparison Year on Year 2" xfId="562"/>
    <cellStyle name="_Fin900h_ParentProjectTxnsByWork" xfId="563"/>
    <cellStyle name="_JET Long Form Journal Template" xfId="564"/>
    <cellStyle name="_JET Long Form Journal Template 2" xfId="565"/>
    <cellStyle name="_JET Long Form Journal Template 2 2" xfId="566"/>
    <cellStyle name="_JET Long Form Journal Template 2 2 2" xfId="567"/>
    <cellStyle name="_JET Long Form Journal Template 2 2 2 2" xfId="568"/>
    <cellStyle name="_JET Long Form Journal Template 2 3" xfId="569"/>
    <cellStyle name="_JET Long Form Journal Template 2 3 2" xfId="570"/>
    <cellStyle name="_JET Long Form Journal Template 2 4" xfId="571"/>
    <cellStyle name="_JET Long Form Journal Template 2 5" xfId="572"/>
    <cellStyle name="_JET Long Form Journal Template 3" xfId="573"/>
    <cellStyle name="_JET Long Form Journal Template 3 2" xfId="574"/>
    <cellStyle name="_JET Long Form Journal Template 3 2 2" xfId="575"/>
    <cellStyle name="_JET Long Form Journal Template 3 3" xfId="576"/>
    <cellStyle name="_JET Long Form Journal Template 3 3 2" xfId="577"/>
    <cellStyle name="_JET Long Form Journal Template 4" xfId="578"/>
    <cellStyle name="_JET Long Form Journal Template 4 2" xfId="579"/>
    <cellStyle name="_JET Long Form Journal Template 4 3" xfId="580"/>
    <cellStyle name="_JET Long Form Journal Template_ACS Overall" xfId="581"/>
    <cellStyle name="_JET Long Form Journal Template_ACS Overall 2" xfId="582"/>
    <cellStyle name="_JET Long Form Journal Template_ACS Summary" xfId="583"/>
    <cellStyle name="_JET Long Form Journal Template_ACS Summary 2" xfId="584"/>
    <cellStyle name="_JET Long Form Journal Template_Monthly Performance Report Sep 1.2" xfId="585"/>
    <cellStyle name="_JET Long Form Journal Template_Monthly Performance Report Sep 1.2 2" xfId="586"/>
    <cellStyle name="_JET Long Form Journal Template_Non Reg &amp; ACS Summary" xfId="587"/>
    <cellStyle name="_JET Long Form Journal Template_Non Reg &amp; ACS Summary 2" xfId="588"/>
    <cellStyle name="_JET Long Form Journal Template_Non Reg &amp; ACS Summary 3" xfId="589"/>
    <cellStyle name="_JET Long Form Journal Template_Sheet1" xfId="590"/>
    <cellStyle name="_JET Long Form Journal Template_Sheet1 2" xfId="591"/>
    <cellStyle name="_JET Long Form Journal Template_Trend Analysis" xfId="592"/>
    <cellStyle name="_JET Long Form Journal Template_Trend Analysis 2" xfId="593"/>
    <cellStyle name="_JET Long Form Journal Template_YTD comparison Year on Year" xfId="594"/>
    <cellStyle name="_JET Long Form Journal Template_YTD comparison Year on Year 2" xfId="595"/>
    <cellStyle name="_JET Tax Journal Template" xfId="596"/>
    <cellStyle name="_JET Tax Journal Template 2" xfId="597"/>
    <cellStyle name="_JET Tax Journal Template 2 2" xfId="598"/>
    <cellStyle name="_JET Tax Journal Template 2 2 2" xfId="599"/>
    <cellStyle name="_JET Tax Journal Template 2 3" xfId="600"/>
    <cellStyle name="_JET Tax Journal Template 2 4" xfId="601"/>
    <cellStyle name="_JET Tax Journal Template 2 5" xfId="602"/>
    <cellStyle name="_JET Tax Journal Template 3" xfId="603"/>
    <cellStyle name="_JET Tax Journal Template 3 2" xfId="604"/>
    <cellStyle name="_JET Tax Journal Template 3 2 2" xfId="605"/>
    <cellStyle name="_JET Tax Journal Template 3 3" xfId="606"/>
    <cellStyle name="_JET Tax Journal Template 3 3 2" xfId="607"/>
    <cellStyle name="_JET Tax Journal Template 4" xfId="608"/>
    <cellStyle name="_JET Tax Journal Template 4 2" xfId="609"/>
    <cellStyle name="_JET Tax Journal Template 5" xfId="610"/>
    <cellStyle name="_JET Tax Journal Template_ACS Overall" xfId="611"/>
    <cellStyle name="_JET Tax Journal Template_ACS Overall 2" xfId="612"/>
    <cellStyle name="_JET Tax Journal Template_ACS Summary" xfId="613"/>
    <cellStyle name="_JET Tax Journal Template_ACS Summary 2" xfId="614"/>
    <cellStyle name="_JET Tax Journal Template_Monthly Performance Report Sep 1.2" xfId="615"/>
    <cellStyle name="_JET Tax Journal Template_Monthly Performance Report Sep 1.2 2" xfId="616"/>
    <cellStyle name="_JET Tax Journal Template_Non Reg &amp; ACS Summary" xfId="617"/>
    <cellStyle name="_JET Tax Journal Template_Non Reg &amp; ACS Summary 2" xfId="618"/>
    <cellStyle name="_JET Tax Journal Template_Non Reg &amp; ACS Summary 3" xfId="619"/>
    <cellStyle name="_JET Tax Journal Template_YTD comparison Year on Year" xfId="620"/>
    <cellStyle name="_JET Tax Journal Template_YTD comparison Year on Year 2" xfId="621"/>
    <cellStyle name="_Journal" xfId="622"/>
    <cellStyle name="_L002 A2760" xfId="623"/>
    <cellStyle name="_L002 A2760 2" xfId="624"/>
    <cellStyle name="_L002 A5300" xfId="625"/>
    <cellStyle name="_L002 A5300 2" xfId="626"/>
    <cellStyle name="_L002 GL Recs P11" xfId="627"/>
    <cellStyle name="_L002 GL Recs P11 2" xfId="628"/>
    <cellStyle name="_L2015" xfId="629"/>
    <cellStyle name="_L2015 2" xfId="630"/>
    <cellStyle name="_L4079" xfId="631"/>
    <cellStyle name="_L4079 2" xfId="632"/>
    <cellStyle name="_L4079 Toowoomba Provision 1112" xfId="633"/>
    <cellStyle name="_L4079 Toowoomba Provision 1112 2" xfId="634"/>
    <cellStyle name="_L7060" xfId="635"/>
    <cellStyle name="_L7060 2" xfId="636"/>
    <cellStyle name="_L7241" xfId="637"/>
    <cellStyle name="_L7241 2" xfId="638"/>
    <cellStyle name="_Long Form Journal Upload V11 D" xfId="639"/>
    <cellStyle name="_Long Form Journal Upload V11 D 2" xfId="640"/>
    <cellStyle name="_Long Form Journal Upload V11 D 2 2" xfId="641"/>
    <cellStyle name="_Long Form Journal Upload V11 D 2 2 2" xfId="642"/>
    <cellStyle name="_Long Form Journal Upload V11 D 2 2 2 2" xfId="643"/>
    <cellStyle name="_Long Form Journal Upload V11 D 2 3" xfId="644"/>
    <cellStyle name="_Long Form Journal Upload V11 D 2 3 2" xfId="645"/>
    <cellStyle name="_Long Form Journal Upload V11 D 2 4" xfId="646"/>
    <cellStyle name="_Long Form Journal Upload V11 D 2 5" xfId="647"/>
    <cellStyle name="_Long Form Journal Upload V11 D 3" xfId="648"/>
    <cellStyle name="_Long Form Journal Upload V11 D 3 2" xfId="649"/>
    <cellStyle name="_Long Form Journal Upload V11 D 3 2 2" xfId="650"/>
    <cellStyle name="_Long Form Journal Upload V11 D 3 3" xfId="651"/>
    <cellStyle name="_Long Form Journal Upload V11 D 3 3 2" xfId="652"/>
    <cellStyle name="_Long Form Journal Upload V11 D 4" xfId="653"/>
    <cellStyle name="_Long Form Journal Upload V11 D 4 2" xfId="654"/>
    <cellStyle name="_Long Form Journal Upload V11 D 4 3" xfId="655"/>
    <cellStyle name="_Long Form Journal Upload V11 D_ACS Overall" xfId="656"/>
    <cellStyle name="_Long Form Journal Upload V11 D_ACS Overall 2" xfId="657"/>
    <cellStyle name="_Long Form Journal Upload V11 D_ACS Summary" xfId="658"/>
    <cellStyle name="_Long Form Journal Upload V11 D_ACS Summary 2" xfId="659"/>
    <cellStyle name="_Long Form Journal Upload V11 D_Monthly Performance Report Sep 1.2" xfId="660"/>
    <cellStyle name="_Long Form Journal Upload V11 D_Monthly Performance Report Sep 1.2 2" xfId="661"/>
    <cellStyle name="_Long Form Journal Upload V11 D_Non Reg &amp; ACS Summary" xfId="662"/>
    <cellStyle name="_Long Form Journal Upload V11 D_Non Reg &amp; ACS Summary 2" xfId="663"/>
    <cellStyle name="_Long Form Journal Upload V11 D_Non Reg &amp; ACS Summary 3" xfId="664"/>
    <cellStyle name="_Long Form Journal Upload V11 D_Sheet1" xfId="665"/>
    <cellStyle name="_Long Form Journal Upload V11 D_Sheet1 2" xfId="666"/>
    <cellStyle name="_Long Form Journal Upload V11 D_Trend Analysis" xfId="667"/>
    <cellStyle name="_Long Form Journal Upload V11 D_Trend Analysis 2" xfId="668"/>
    <cellStyle name="_Long Form Journal Upload V11 D_YTD comparison Year on Year" xfId="669"/>
    <cellStyle name="_Long Form Journal Upload V11 D_YTD comparison Year on Year 2" xfId="670"/>
    <cellStyle name="_Long Form Journal Upload V11 E" xfId="671"/>
    <cellStyle name="_Long Form Journal Upload V11 E 2" xfId="672"/>
    <cellStyle name="_Long Form Journal Upload V11 E 2 2" xfId="673"/>
    <cellStyle name="_Long Form Journal Upload V11 E 2 2 2" xfId="674"/>
    <cellStyle name="_Long Form Journal Upload V11 E 2 2 2 2" xfId="675"/>
    <cellStyle name="_Long Form Journal Upload V11 E 2 3" xfId="676"/>
    <cellStyle name="_Long Form Journal Upload V11 E 2 3 2" xfId="677"/>
    <cellStyle name="_Long Form Journal Upload V11 E 2 4" xfId="678"/>
    <cellStyle name="_Long Form Journal Upload V11 E 2 5" xfId="679"/>
    <cellStyle name="_Long Form Journal Upload V11 E 3" xfId="680"/>
    <cellStyle name="_Long Form Journal Upload V11 E 3 2" xfId="681"/>
    <cellStyle name="_Long Form Journal Upload V11 E 3 2 2" xfId="682"/>
    <cellStyle name="_Long Form Journal Upload V11 E 3 3" xfId="683"/>
    <cellStyle name="_Long Form Journal Upload V11 E 3 3 2" xfId="684"/>
    <cellStyle name="_Long Form Journal Upload V11 E 4" xfId="685"/>
    <cellStyle name="_Long Form Journal Upload V11 E 4 2" xfId="686"/>
    <cellStyle name="_Long Form Journal Upload V11 E 4 3" xfId="687"/>
    <cellStyle name="_Long Form Journal Upload V11 E_ACS Overall" xfId="688"/>
    <cellStyle name="_Long Form Journal Upload V11 E_ACS Overall 2" xfId="689"/>
    <cellStyle name="_Long Form Journal Upload V11 E_ACS Summary" xfId="690"/>
    <cellStyle name="_Long Form Journal Upload V11 E_ACS Summary 2" xfId="691"/>
    <cellStyle name="_Long Form Journal Upload V11 E_Monthly Performance Report Sep 1.2" xfId="692"/>
    <cellStyle name="_Long Form Journal Upload V11 E_Monthly Performance Report Sep 1.2 2" xfId="693"/>
    <cellStyle name="_Long Form Journal Upload V11 E_Non Reg &amp; ACS Summary" xfId="694"/>
    <cellStyle name="_Long Form Journal Upload V11 E_Non Reg &amp; ACS Summary 2" xfId="695"/>
    <cellStyle name="_Long Form Journal Upload V11 E_Non Reg &amp; ACS Summary 3" xfId="696"/>
    <cellStyle name="_Long Form Journal Upload V11 E_Sheet1" xfId="697"/>
    <cellStyle name="_Long Form Journal Upload V11 E_Sheet1 2" xfId="698"/>
    <cellStyle name="_Long Form Journal Upload V11 E_Trend Analysis" xfId="699"/>
    <cellStyle name="_Long Form Journal Upload V11 E_Trend Analysis 2" xfId="700"/>
    <cellStyle name="_Long Form Journal Upload V11 E_YTD comparison Year on Year" xfId="701"/>
    <cellStyle name="_Long Form Journal Upload V11 E_YTD comparison Year on Year 2" xfId="702"/>
    <cellStyle name="_Marvel Notes Itilics " xfId="3"/>
    <cellStyle name="_Meter Reading" xfId="703"/>
    <cellStyle name="_Meter Reading Analysis (# of Reads) - 21 Apr 2010" xfId="704"/>
    <cellStyle name="_Non-System Capex - CustSvcs - 27Nov08" xfId="705"/>
    <cellStyle name="_Non-System Capex - CustSvcs - 27Nov08 2" xfId="706"/>
    <cellStyle name="_Non-System Capex - CustSvcs - 27Nov08 2 2" xfId="707"/>
    <cellStyle name="_Non-System Capex - CustSvcs - 27Nov08 2 3" xfId="708"/>
    <cellStyle name="_Non-System Capex - CustSvcs - 27Nov08_Sheet1" xfId="709"/>
    <cellStyle name="_Non-System Capex - CustSvcs - 27Nov08_Sheet1 2" xfId="710"/>
    <cellStyle name="_Non-System Capex - CustSvcs - 27Nov08_Trend Analysis" xfId="711"/>
    <cellStyle name="_Non-System Capex - CustSvcs - 27Nov08_Trend Analysis 2" xfId="712"/>
    <cellStyle name="_OPEX Actual vs Forecast Oct 10 v2" xfId="713"/>
    <cellStyle name="_Revenue Over Recovery Advice for AER_recon to BS v3" xfId="714"/>
    <cellStyle name="_Revenue Over Recovery Advice for AER_recon to BS v3 2" xfId="715"/>
    <cellStyle name="_Sheet1" xfId="716"/>
    <cellStyle name="_Sheet1_Journal" xfId="717"/>
    <cellStyle name="_Sheet1_Sheet2" xfId="718"/>
    <cellStyle name="_Sheet1_Upload" xfId="719"/>
    <cellStyle name="_Sheet2" xfId="720"/>
    <cellStyle name="_Sheet2 2" xfId="721"/>
    <cellStyle name="_Sheet2 2 2" xfId="722"/>
    <cellStyle name="_Sheet2 2 3" xfId="723"/>
    <cellStyle name="_Sheet2 2 4" xfId="724"/>
    <cellStyle name="_Sheet2 3" xfId="725"/>
    <cellStyle name="_Sheet2 3 2" xfId="726"/>
    <cellStyle name="_Sheet2 4" xfId="727"/>
    <cellStyle name="_Sheet2 4 2" xfId="728"/>
    <cellStyle name="_Sheet2_1" xfId="729"/>
    <cellStyle name="_Sheet2_Jun09 CWIP" xfId="730"/>
    <cellStyle name="_Sheet2_Sheet1" xfId="731"/>
    <cellStyle name="_Sheet2_Sheet1 2" xfId="732"/>
    <cellStyle name="_Sheet2_Trend Analysis" xfId="733"/>
    <cellStyle name="_Sheet2_Trend Analysis 2" xfId="734"/>
    <cellStyle name="_Sheet2_Upload" xfId="735"/>
    <cellStyle name="_Sheet3" xfId="736"/>
    <cellStyle name="_Sparq Capex 20110303" xfId="737"/>
    <cellStyle name="_Template" xfId="738"/>
    <cellStyle name="_Template 2" xfId="739"/>
    <cellStyle name="_Template 2 2" xfId="740"/>
    <cellStyle name="_Template 3" xfId="741"/>
    <cellStyle name="_UED AMP 2009-14 Final 250309 Less PU" xfId="35769"/>
    <cellStyle name="_UED AMP 2009-14 Final 250309 Less PU_1011 monthly" xfId="35785"/>
    <cellStyle name="_Upload" xfId="742"/>
    <cellStyle name="_WORKBENCHSEP08" xfId="743"/>
    <cellStyle name="20% - Accent1" xfId="35684" builtinId="30" customBuiltin="1"/>
    <cellStyle name="20% - Accent1 2" xfId="33"/>
    <cellStyle name="20% - Accent1 2 10" xfId="745"/>
    <cellStyle name="20% - Accent1 2 10 2" xfId="746"/>
    <cellStyle name="20% - Accent1 2 10 2 2" xfId="747"/>
    <cellStyle name="20% - Accent1 2 10 3" xfId="748"/>
    <cellStyle name="20% - Accent1 2 10 4" xfId="749"/>
    <cellStyle name="20% - Accent1 2 11" xfId="750"/>
    <cellStyle name="20% - Accent1 2 11 2" xfId="751"/>
    <cellStyle name="20% - Accent1 2 12" xfId="752"/>
    <cellStyle name="20% - Accent1 2 13" xfId="753"/>
    <cellStyle name="20% - Accent1 2 14" xfId="35491"/>
    <cellStyle name="20% - Accent1 2 15" xfId="744"/>
    <cellStyle name="20% - Accent1 2 2" xfId="754"/>
    <cellStyle name="20% - Accent1 2 2 2" xfId="755"/>
    <cellStyle name="20% - Accent1 2 2 3" xfId="756"/>
    <cellStyle name="20% - Accent1 2 2 4" xfId="757"/>
    <cellStyle name="20% - Accent1 2 3" xfId="758"/>
    <cellStyle name="20% - Accent1 2 3 10" xfId="759"/>
    <cellStyle name="20% - Accent1 2 3 11" xfId="760"/>
    <cellStyle name="20% - Accent1 2 3 2" xfId="761"/>
    <cellStyle name="20% - Accent1 2 3 2 10" xfId="762"/>
    <cellStyle name="20% - Accent1 2 3 2 2" xfId="763"/>
    <cellStyle name="20% - Accent1 2 3 2 2 2" xfId="764"/>
    <cellStyle name="20% - Accent1 2 3 2 2 2 2" xfId="765"/>
    <cellStyle name="20% - Accent1 2 3 2 2 2 2 2" xfId="766"/>
    <cellStyle name="20% - Accent1 2 3 2 2 2 2 2 2" xfId="767"/>
    <cellStyle name="20% - Accent1 2 3 2 2 2 2 3" xfId="768"/>
    <cellStyle name="20% - Accent1 2 3 2 2 2 2 4" xfId="769"/>
    <cellStyle name="20% - Accent1 2 3 2 2 2 3" xfId="770"/>
    <cellStyle name="20% - Accent1 2 3 2 2 2 3 2" xfId="771"/>
    <cellStyle name="20% - Accent1 2 3 2 2 2 4" xfId="772"/>
    <cellStyle name="20% - Accent1 2 3 2 2 2 5" xfId="773"/>
    <cellStyle name="20% - Accent1 2 3 2 2 3" xfId="774"/>
    <cellStyle name="20% - Accent1 2 3 2 2 3 2" xfId="775"/>
    <cellStyle name="20% - Accent1 2 3 2 2 3 2 2" xfId="776"/>
    <cellStyle name="20% - Accent1 2 3 2 2 3 2 2 2" xfId="777"/>
    <cellStyle name="20% - Accent1 2 3 2 2 3 2 3" xfId="778"/>
    <cellStyle name="20% - Accent1 2 3 2 2 3 2 4" xfId="779"/>
    <cellStyle name="20% - Accent1 2 3 2 2 3 3" xfId="780"/>
    <cellStyle name="20% - Accent1 2 3 2 2 3 3 2" xfId="781"/>
    <cellStyle name="20% - Accent1 2 3 2 2 3 4" xfId="782"/>
    <cellStyle name="20% - Accent1 2 3 2 2 3 5" xfId="783"/>
    <cellStyle name="20% - Accent1 2 3 2 2 4" xfId="784"/>
    <cellStyle name="20% - Accent1 2 3 2 2 4 2" xfId="785"/>
    <cellStyle name="20% - Accent1 2 3 2 2 4 2 2" xfId="786"/>
    <cellStyle name="20% - Accent1 2 3 2 2 4 3" xfId="787"/>
    <cellStyle name="20% - Accent1 2 3 2 2 4 4" xfId="788"/>
    <cellStyle name="20% - Accent1 2 3 2 2 5" xfId="789"/>
    <cellStyle name="20% - Accent1 2 3 2 2 5 2" xfId="790"/>
    <cellStyle name="20% - Accent1 2 3 2 2 5 2 2" xfId="791"/>
    <cellStyle name="20% - Accent1 2 3 2 2 5 3" xfId="792"/>
    <cellStyle name="20% - Accent1 2 3 2 2 5 4" xfId="793"/>
    <cellStyle name="20% - Accent1 2 3 2 2 6" xfId="794"/>
    <cellStyle name="20% - Accent1 2 3 2 2 6 2" xfId="795"/>
    <cellStyle name="20% - Accent1 2 3 2 2 6 2 2" xfId="796"/>
    <cellStyle name="20% - Accent1 2 3 2 2 6 3" xfId="797"/>
    <cellStyle name="20% - Accent1 2 3 2 2 6 4" xfId="798"/>
    <cellStyle name="20% - Accent1 2 3 2 2 7" xfId="799"/>
    <cellStyle name="20% - Accent1 2 3 2 2 7 2" xfId="800"/>
    <cellStyle name="20% - Accent1 2 3 2 2 8" xfId="801"/>
    <cellStyle name="20% - Accent1 2 3 2 2 9" xfId="802"/>
    <cellStyle name="20% - Accent1 2 3 2 3" xfId="803"/>
    <cellStyle name="20% - Accent1 2 3 2 3 2" xfId="804"/>
    <cellStyle name="20% - Accent1 2 3 2 3 2 2" xfId="805"/>
    <cellStyle name="20% - Accent1 2 3 2 3 2 2 2" xfId="806"/>
    <cellStyle name="20% - Accent1 2 3 2 3 2 3" xfId="807"/>
    <cellStyle name="20% - Accent1 2 3 2 3 2 4" xfId="808"/>
    <cellStyle name="20% - Accent1 2 3 2 3 3" xfId="809"/>
    <cellStyle name="20% - Accent1 2 3 2 3 3 2" xfId="810"/>
    <cellStyle name="20% - Accent1 2 3 2 3 4" xfId="811"/>
    <cellStyle name="20% - Accent1 2 3 2 3 5" xfId="812"/>
    <cellStyle name="20% - Accent1 2 3 2 4" xfId="813"/>
    <cellStyle name="20% - Accent1 2 3 2 4 2" xfId="814"/>
    <cellStyle name="20% - Accent1 2 3 2 4 2 2" xfId="815"/>
    <cellStyle name="20% - Accent1 2 3 2 4 2 2 2" xfId="816"/>
    <cellStyle name="20% - Accent1 2 3 2 4 2 3" xfId="817"/>
    <cellStyle name="20% - Accent1 2 3 2 4 2 4" xfId="818"/>
    <cellStyle name="20% - Accent1 2 3 2 4 3" xfId="819"/>
    <cellStyle name="20% - Accent1 2 3 2 4 3 2" xfId="820"/>
    <cellStyle name="20% - Accent1 2 3 2 4 4" xfId="821"/>
    <cellStyle name="20% - Accent1 2 3 2 4 5" xfId="822"/>
    <cellStyle name="20% - Accent1 2 3 2 5" xfId="823"/>
    <cellStyle name="20% - Accent1 2 3 2 5 2" xfId="824"/>
    <cellStyle name="20% - Accent1 2 3 2 5 2 2" xfId="825"/>
    <cellStyle name="20% - Accent1 2 3 2 5 3" xfId="826"/>
    <cellStyle name="20% - Accent1 2 3 2 5 4" xfId="827"/>
    <cellStyle name="20% - Accent1 2 3 2 6" xfId="828"/>
    <cellStyle name="20% - Accent1 2 3 2 6 2" xfId="829"/>
    <cellStyle name="20% - Accent1 2 3 2 6 2 2" xfId="830"/>
    <cellStyle name="20% - Accent1 2 3 2 6 3" xfId="831"/>
    <cellStyle name="20% - Accent1 2 3 2 6 4" xfId="832"/>
    <cellStyle name="20% - Accent1 2 3 2 7" xfId="833"/>
    <cellStyle name="20% - Accent1 2 3 2 7 2" xfId="834"/>
    <cellStyle name="20% - Accent1 2 3 2 7 2 2" xfId="835"/>
    <cellStyle name="20% - Accent1 2 3 2 7 3" xfId="836"/>
    <cellStyle name="20% - Accent1 2 3 2 7 4" xfId="837"/>
    <cellStyle name="20% - Accent1 2 3 2 8" xfId="838"/>
    <cellStyle name="20% - Accent1 2 3 2 8 2" xfId="839"/>
    <cellStyle name="20% - Accent1 2 3 2 9" xfId="840"/>
    <cellStyle name="20% - Accent1 2 3 3" xfId="841"/>
    <cellStyle name="20% - Accent1 2 3 3 2" xfId="842"/>
    <cellStyle name="20% - Accent1 2 3 3 2 2" xfId="843"/>
    <cellStyle name="20% - Accent1 2 3 3 2 2 2" xfId="844"/>
    <cellStyle name="20% - Accent1 2 3 3 2 2 2 2" xfId="845"/>
    <cellStyle name="20% - Accent1 2 3 3 2 2 3" xfId="846"/>
    <cellStyle name="20% - Accent1 2 3 3 2 2 4" xfId="847"/>
    <cellStyle name="20% - Accent1 2 3 3 2 3" xfId="848"/>
    <cellStyle name="20% - Accent1 2 3 3 2 3 2" xfId="849"/>
    <cellStyle name="20% - Accent1 2 3 3 2 4" xfId="850"/>
    <cellStyle name="20% - Accent1 2 3 3 2 5" xfId="851"/>
    <cellStyle name="20% - Accent1 2 3 3 3" xfId="852"/>
    <cellStyle name="20% - Accent1 2 3 3 3 2" xfId="853"/>
    <cellStyle name="20% - Accent1 2 3 3 3 2 2" xfId="854"/>
    <cellStyle name="20% - Accent1 2 3 3 3 2 2 2" xfId="855"/>
    <cellStyle name="20% - Accent1 2 3 3 3 2 3" xfId="856"/>
    <cellStyle name="20% - Accent1 2 3 3 3 2 4" xfId="857"/>
    <cellStyle name="20% - Accent1 2 3 3 3 3" xfId="858"/>
    <cellStyle name="20% - Accent1 2 3 3 3 3 2" xfId="859"/>
    <cellStyle name="20% - Accent1 2 3 3 3 4" xfId="860"/>
    <cellStyle name="20% - Accent1 2 3 3 3 5" xfId="861"/>
    <cellStyle name="20% - Accent1 2 3 3 4" xfId="862"/>
    <cellStyle name="20% - Accent1 2 3 3 4 2" xfId="863"/>
    <cellStyle name="20% - Accent1 2 3 3 4 2 2" xfId="864"/>
    <cellStyle name="20% - Accent1 2 3 3 4 3" xfId="865"/>
    <cellStyle name="20% - Accent1 2 3 3 4 4" xfId="866"/>
    <cellStyle name="20% - Accent1 2 3 3 5" xfId="867"/>
    <cellStyle name="20% - Accent1 2 3 3 5 2" xfId="868"/>
    <cellStyle name="20% - Accent1 2 3 3 5 2 2" xfId="869"/>
    <cellStyle name="20% - Accent1 2 3 3 5 3" xfId="870"/>
    <cellStyle name="20% - Accent1 2 3 3 5 4" xfId="871"/>
    <cellStyle name="20% - Accent1 2 3 3 6" xfId="872"/>
    <cellStyle name="20% - Accent1 2 3 3 6 2" xfId="873"/>
    <cellStyle name="20% - Accent1 2 3 3 6 2 2" xfId="874"/>
    <cellStyle name="20% - Accent1 2 3 3 6 3" xfId="875"/>
    <cellStyle name="20% - Accent1 2 3 3 6 4" xfId="876"/>
    <cellStyle name="20% - Accent1 2 3 3 7" xfId="877"/>
    <cellStyle name="20% - Accent1 2 3 3 7 2" xfId="878"/>
    <cellStyle name="20% - Accent1 2 3 3 8" xfId="879"/>
    <cellStyle name="20% - Accent1 2 3 3 9" xfId="880"/>
    <cellStyle name="20% - Accent1 2 3 4" xfId="881"/>
    <cellStyle name="20% - Accent1 2 3 4 2" xfId="882"/>
    <cellStyle name="20% - Accent1 2 3 4 2 2" xfId="883"/>
    <cellStyle name="20% - Accent1 2 3 4 2 2 2" xfId="884"/>
    <cellStyle name="20% - Accent1 2 3 4 2 3" xfId="885"/>
    <cellStyle name="20% - Accent1 2 3 4 2 4" xfId="886"/>
    <cellStyle name="20% - Accent1 2 3 4 3" xfId="887"/>
    <cellStyle name="20% - Accent1 2 3 4 4" xfId="888"/>
    <cellStyle name="20% - Accent1 2 3 4 4 2" xfId="889"/>
    <cellStyle name="20% - Accent1 2 3 4 5" xfId="890"/>
    <cellStyle name="20% - Accent1 2 3 4 6" xfId="891"/>
    <cellStyle name="20% - Accent1 2 3 5" xfId="892"/>
    <cellStyle name="20% - Accent1 2 3 5 2" xfId="893"/>
    <cellStyle name="20% - Accent1 2 3 5 2 2" xfId="894"/>
    <cellStyle name="20% - Accent1 2 3 5 2 2 2" xfId="895"/>
    <cellStyle name="20% - Accent1 2 3 5 2 3" xfId="896"/>
    <cellStyle name="20% - Accent1 2 3 5 2 4" xfId="897"/>
    <cellStyle name="20% - Accent1 2 3 5 3" xfId="898"/>
    <cellStyle name="20% - Accent1 2 3 5 3 2" xfId="899"/>
    <cellStyle name="20% - Accent1 2 3 5 4" xfId="900"/>
    <cellStyle name="20% - Accent1 2 3 5 5" xfId="901"/>
    <cellStyle name="20% - Accent1 2 3 6" xfId="902"/>
    <cellStyle name="20% - Accent1 2 3 6 2" xfId="903"/>
    <cellStyle name="20% - Accent1 2 3 6 2 2" xfId="904"/>
    <cellStyle name="20% - Accent1 2 3 6 3" xfId="905"/>
    <cellStyle name="20% - Accent1 2 3 6 4" xfId="906"/>
    <cellStyle name="20% - Accent1 2 3 7" xfId="907"/>
    <cellStyle name="20% - Accent1 2 3 7 2" xfId="908"/>
    <cellStyle name="20% - Accent1 2 3 7 2 2" xfId="909"/>
    <cellStyle name="20% - Accent1 2 3 7 3" xfId="910"/>
    <cellStyle name="20% - Accent1 2 3 7 4" xfId="911"/>
    <cellStyle name="20% - Accent1 2 3 8" xfId="912"/>
    <cellStyle name="20% - Accent1 2 3 8 2" xfId="913"/>
    <cellStyle name="20% - Accent1 2 3 8 2 2" xfId="914"/>
    <cellStyle name="20% - Accent1 2 3 8 3" xfId="915"/>
    <cellStyle name="20% - Accent1 2 3 8 4" xfId="916"/>
    <cellStyle name="20% - Accent1 2 3 9" xfId="917"/>
    <cellStyle name="20% - Accent1 2 3 9 2" xfId="918"/>
    <cellStyle name="20% - Accent1 2 4" xfId="919"/>
    <cellStyle name="20% - Accent1 2 4 10" xfId="920"/>
    <cellStyle name="20% - Accent1 2 4 2" xfId="921"/>
    <cellStyle name="20% - Accent1 2 4 2 2" xfId="922"/>
    <cellStyle name="20% - Accent1 2 4 2 2 2" xfId="923"/>
    <cellStyle name="20% - Accent1 2 4 2 2 2 2" xfId="924"/>
    <cellStyle name="20% - Accent1 2 4 2 2 2 2 2" xfId="925"/>
    <cellStyle name="20% - Accent1 2 4 2 2 2 3" xfId="926"/>
    <cellStyle name="20% - Accent1 2 4 2 2 2 4" xfId="927"/>
    <cellStyle name="20% - Accent1 2 4 2 2 3" xfId="928"/>
    <cellStyle name="20% - Accent1 2 4 2 2 3 2" xfId="929"/>
    <cellStyle name="20% - Accent1 2 4 2 2 4" xfId="930"/>
    <cellStyle name="20% - Accent1 2 4 2 2 5" xfId="931"/>
    <cellStyle name="20% - Accent1 2 4 2 3" xfId="932"/>
    <cellStyle name="20% - Accent1 2 4 2 3 2" xfId="933"/>
    <cellStyle name="20% - Accent1 2 4 2 3 2 2" xfId="934"/>
    <cellStyle name="20% - Accent1 2 4 2 3 2 2 2" xfId="935"/>
    <cellStyle name="20% - Accent1 2 4 2 3 2 3" xfId="936"/>
    <cellStyle name="20% - Accent1 2 4 2 3 2 4" xfId="937"/>
    <cellStyle name="20% - Accent1 2 4 2 3 3" xfId="938"/>
    <cellStyle name="20% - Accent1 2 4 2 3 3 2" xfId="939"/>
    <cellStyle name="20% - Accent1 2 4 2 3 4" xfId="940"/>
    <cellStyle name="20% - Accent1 2 4 2 3 5" xfId="941"/>
    <cellStyle name="20% - Accent1 2 4 2 4" xfId="942"/>
    <cellStyle name="20% - Accent1 2 4 2 4 2" xfId="943"/>
    <cellStyle name="20% - Accent1 2 4 2 4 2 2" xfId="944"/>
    <cellStyle name="20% - Accent1 2 4 2 4 3" xfId="945"/>
    <cellStyle name="20% - Accent1 2 4 2 4 4" xfId="946"/>
    <cellStyle name="20% - Accent1 2 4 2 5" xfId="947"/>
    <cellStyle name="20% - Accent1 2 4 2 5 2" xfId="948"/>
    <cellStyle name="20% - Accent1 2 4 2 5 2 2" xfId="949"/>
    <cellStyle name="20% - Accent1 2 4 2 5 3" xfId="950"/>
    <cellStyle name="20% - Accent1 2 4 2 5 4" xfId="951"/>
    <cellStyle name="20% - Accent1 2 4 2 6" xfId="952"/>
    <cellStyle name="20% - Accent1 2 4 2 6 2" xfId="953"/>
    <cellStyle name="20% - Accent1 2 4 2 6 2 2" xfId="954"/>
    <cellStyle name="20% - Accent1 2 4 2 6 3" xfId="955"/>
    <cellStyle name="20% - Accent1 2 4 2 6 4" xfId="956"/>
    <cellStyle name="20% - Accent1 2 4 2 7" xfId="957"/>
    <cellStyle name="20% - Accent1 2 4 2 7 2" xfId="958"/>
    <cellStyle name="20% - Accent1 2 4 2 8" xfId="959"/>
    <cellStyle name="20% - Accent1 2 4 2 9" xfId="960"/>
    <cellStyle name="20% - Accent1 2 4 3" xfId="961"/>
    <cellStyle name="20% - Accent1 2 4 3 2" xfId="962"/>
    <cellStyle name="20% - Accent1 2 4 3 2 2" xfId="963"/>
    <cellStyle name="20% - Accent1 2 4 3 2 2 2" xfId="964"/>
    <cellStyle name="20% - Accent1 2 4 3 2 3" xfId="965"/>
    <cellStyle name="20% - Accent1 2 4 3 2 4" xfId="966"/>
    <cellStyle name="20% - Accent1 2 4 3 3" xfId="967"/>
    <cellStyle name="20% - Accent1 2 4 3 3 2" xfId="968"/>
    <cellStyle name="20% - Accent1 2 4 3 4" xfId="969"/>
    <cellStyle name="20% - Accent1 2 4 3 5" xfId="970"/>
    <cellStyle name="20% - Accent1 2 4 4" xfId="971"/>
    <cellStyle name="20% - Accent1 2 4 4 2" xfId="972"/>
    <cellStyle name="20% - Accent1 2 4 4 2 2" xfId="973"/>
    <cellStyle name="20% - Accent1 2 4 4 2 2 2" xfId="974"/>
    <cellStyle name="20% - Accent1 2 4 4 2 3" xfId="975"/>
    <cellStyle name="20% - Accent1 2 4 4 2 4" xfId="976"/>
    <cellStyle name="20% - Accent1 2 4 4 3" xfId="977"/>
    <cellStyle name="20% - Accent1 2 4 4 3 2" xfId="978"/>
    <cellStyle name="20% - Accent1 2 4 4 4" xfId="979"/>
    <cellStyle name="20% - Accent1 2 4 4 5" xfId="980"/>
    <cellStyle name="20% - Accent1 2 4 5" xfId="981"/>
    <cellStyle name="20% - Accent1 2 4 5 2" xfId="982"/>
    <cellStyle name="20% - Accent1 2 4 5 2 2" xfId="983"/>
    <cellStyle name="20% - Accent1 2 4 5 3" xfId="984"/>
    <cellStyle name="20% - Accent1 2 4 5 4" xfId="985"/>
    <cellStyle name="20% - Accent1 2 4 6" xfId="986"/>
    <cellStyle name="20% - Accent1 2 4 6 2" xfId="987"/>
    <cellStyle name="20% - Accent1 2 4 6 2 2" xfId="988"/>
    <cellStyle name="20% - Accent1 2 4 6 3" xfId="989"/>
    <cellStyle name="20% - Accent1 2 4 6 4" xfId="990"/>
    <cellStyle name="20% - Accent1 2 4 7" xfId="991"/>
    <cellStyle name="20% - Accent1 2 4 7 2" xfId="992"/>
    <cellStyle name="20% - Accent1 2 4 7 2 2" xfId="993"/>
    <cellStyle name="20% - Accent1 2 4 7 3" xfId="994"/>
    <cellStyle name="20% - Accent1 2 4 7 4" xfId="995"/>
    <cellStyle name="20% - Accent1 2 4 8" xfId="996"/>
    <cellStyle name="20% - Accent1 2 4 8 2" xfId="997"/>
    <cellStyle name="20% - Accent1 2 4 9" xfId="998"/>
    <cellStyle name="20% - Accent1 2 5" xfId="999"/>
    <cellStyle name="20% - Accent1 2 5 2" xfId="1000"/>
    <cellStyle name="20% - Accent1 2 5 2 2" xfId="1001"/>
    <cellStyle name="20% - Accent1 2 5 2 2 2" xfId="1002"/>
    <cellStyle name="20% - Accent1 2 5 2 2 2 2" xfId="1003"/>
    <cellStyle name="20% - Accent1 2 5 2 2 3" xfId="1004"/>
    <cellStyle name="20% - Accent1 2 5 2 2 4" xfId="1005"/>
    <cellStyle name="20% - Accent1 2 5 2 3" xfId="1006"/>
    <cellStyle name="20% - Accent1 2 5 2 3 2" xfId="1007"/>
    <cellStyle name="20% - Accent1 2 5 2 4" xfId="1008"/>
    <cellStyle name="20% - Accent1 2 5 2 5" xfId="1009"/>
    <cellStyle name="20% - Accent1 2 5 3" xfId="1010"/>
    <cellStyle name="20% - Accent1 2 5 3 2" xfId="1011"/>
    <cellStyle name="20% - Accent1 2 5 3 2 2" xfId="1012"/>
    <cellStyle name="20% - Accent1 2 5 3 2 2 2" xfId="1013"/>
    <cellStyle name="20% - Accent1 2 5 3 2 3" xfId="1014"/>
    <cellStyle name="20% - Accent1 2 5 3 2 4" xfId="1015"/>
    <cellStyle name="20% - Accent1 2 5 3 3" xfId="1016"/>
    <cellStyle name="20% - Accent1 2 5 3 3 2" xfId="1017"/>
    <cellStyle name="20% - Accent1 2 5 3 4" xfId="1018"/>
    <cellStyle name="20% - Accent1 2 5 3 5" xfId="1019"/>
    <cellStyle name="20% - Accent1 2 5 4" xfId="1020"/>
    <cellStyle name="20% - Accent1 2 5 4 2" xfId="1021"/>
    <cellStyle name="20% - Accent1 2 5 4 2 2" xfId="1022"/>
    <cellStyle name="20% - Accent1 2 5 4 3" xfId="1023"/>
    <cellStyle name="20% - Accent1 2 5 4 4" xfId="1024"/>
    <cellStyle name="20% - Accent1 2 5 5" xfId="1025"/>
    <cellStyle name="20% - Accent1 2 5 5 2" xfId="1026"/>
    <cellStyle name="20% - Accent1 2 5 5 2 2" xfId="1027"/>
    <cellStyle name="20% - Accent1 2 5 5 3" xfId="1028"/>
    <cellStyle name="20% - Accent1 2 5 5 4" xfId="1029"/>
    <cellStyle name="20% - Accent1 2 5 6" xfId="1030"/>
    <cellStyle name="20% - Accent1 2 5 6 2" xfId="1031"/>
    <cellStyle name="20% - Accent1 2 5 6 2 2" xfId="1032"/>
    <cellStyle name="20% - Accent1 2 5 6 3" xfId="1033"/>
    <cellStyle name="20% - Accent1 2 5 6 4" xfId="1034"/>
    <cellStyle name="20% - Accent1 2 5 7" xfId="1035"/>
    <cellStyle name="20% - Accent1 2 5 7 2" xfId="1036"/>
    <cellStyle name="20% - Accent1 2 5 8" xfId="1037"/>
    <cellStyle name="20% - Accent1 2 5 9" xfId="1038"/>
    <cellStyle name="20% - Accent1 2 6" xfId="1039"/>
    <cellStyle name="20% - Accent1 2 7" xfId="1040"/>
    <cellStyle name="20% - Accent1 2 8" xfId="1041"/>
    <cellStyle name="20% - Accent1 2 8 2" xfId="1042"/>
    <cellStyle name="20% - Accent1 2 9" xfId="1043"/>
    <cellStyle name="20% - Accent1 2 9 2" xfId="1044"/>
    <cellStyle name="20% - Accent1 2 9 2 2" xfId="1045"/>
    <cellStyle name="20% - Accent1 2 9 2 2 2" xfId="1046"/>
    <cellStyle name="20% - Accent1 2 9 2 3" xfId="1047"/>
    <cellStyle name="20% - Accent1 2 9 2 4" xfId="1048"/>
    <cellStyle name="20% - Accent1 2 9 3" xfId="1049"/>
    <cellStyle name="20% - Accent1 2 9 4" xfId="1050"/>
    <cellStyle name="20% - Accent1 2 9 4 2" xfId="1051"/>
    <cellStyle name="20% - Accent1 2 9 5" xfId="1052"/>
    <cellStyle name="20% - Accent1 2 9 6" xfId="1053"/>
    <cellStyle name="20% - Accent1 3" xfId="100"/>
    <cellStyle name="20% - Accent1 3 2" xfId="1055"/>
    <cellStyle name="20% - Accent1 3 2 10" xfId="1056"/>
    <cellStyle name="20% - Accent1 3 2 10 2" xfId="1057"/>
    <cellStyle name="20% - Accent1 3 2 11" xfId="1058"/>
    <cellStyle name="20% - Accent1 3 2 12" xfId="1059"/>
    <cellStyle name="20% - Accent1 3 2 2" xfId="1060"/>
    <cellStyle name="20% - Accent1 3 2 2 10" xfId="1061"/>
    <cellStyle name="20% - Accent1 3 2 2 11" xfId="1062"/>
    <cellStyle name="20% - Accent1 3 2 2 2" xfId="1063"/>
    <cellStyle name="20% - Accent1 3 2 2 2 10" xfId="1064"/>
    <cellStyle name="20% - Accent1 3 2 2 2 2" xfId="1065"/>
    <cellStyle name="20% - Accent1 3 2 2 2 2 2" xfId="1066"/>
    <cellStyle name="20% - Accent1 3 2 2 2 2 2 2" xfId="1067"/>
    <cellStyle name="20% - Accent1 3 2 2 2 2 2 2 2" xfId="1068"/>
    <cellStyle name="20% - Accent1 3 2 2 2 2 2 2 2 2" xfId="1069"/>
    <cellStyle name="20% - Accent1 3 2 2 2 2 2 2 3" xfId="1070"/>
    <cellStyle name="20% - Accent1 3 2 2 2 2 2 2 4" xfId="1071"/>
    <cellStyle name="20% - Accent1 3 2 2 2 2 2 3" xfId="1072"/>
    <cellStyle name="20% - Accent1 3 2 2 2 2 2 3 2" xfId="1073"/>
    <cellStyle name="20% - Accent1 3 2 2 2 2 2 4" xfId="1074"/>
    <cellStyle name="20% - Accent1 3 2 2 2 2 2 5" xfId="1075"/>
    <cellStyle name="20% - Accent1 3 2 2 2 2 3" xfId="1076"/>
    <cellStyle name="20% - Accent1 3 2 2 2 2 3 2" xfId="1077"/>
    <cellStyle name="20% - Accent1 3 2 2 2 2 3 2 2" xfId="1078"/>
    <cellStyle name="20% - Accent1 3 2 2 2 2 3 2 2 2" xfId="1079"/>
    <cellStyle name="20% - Accent1 3 2 2 2 2 3 2 3" xfId="1080"/>
    <cellStyle name="20% - Accent1 3 2 2 2 2 3 2 4" xfId="1081"/>
    <cellStyle name="20% - Accent1 3 2 2 2 2 3 3" xfId="1082"/>
    <cellStyle name="20% - Accent1 3 2 2 2 2 3 3 2" xfId="1083"/>
    <cellStyle name="20% - Accent1 3 2 2 2 2 3 4" xfId="1084"/>
    <cellStyle name="20% - Accent1 3 2 2 2 2 3 5" xfId="1085"/>
    <cellStyle name="20% - Accent1 3 2 2 2 2 4" xfId="1086"/>
    <cellStyle name="20% - Accent1 3 2 2 2 2 4 2" xfId="1087"/>
    <cellStyle name="20% - Accent1 3 2 2 2 2 4 2 2" xfId="1088"/>
    <cellStyle name="20% - Accent1 3 2 2 2 2 4 3" xfId="1089"/>
    <cellStyle name="20% - Accent1 3 2 2 2 2 4 4" xfId="1090"/>
    <cellStyle name="20% - Accent1 3 2 2 2 2 5" xfId="1091"/>
    <cellStyle name="20% - Accent1 3 2 2 2 2 5 2" xfId="1092"/>
    <cellStyle name="20% - Accent1 3 2 2 2 2 5 2 2" xfId="1093"/>
    <cellStyle name="20% - Accent1 3 2 2 2 2 5 3" xfId="1094"/>
    <cellStyle name="20% - Accent1 3 2 2 2 2 5 4" xfId="1095"/>
    <cellStyle name="20% - Accent1 3 2 2 2 2 6" xfId="1096"/>
    <cellStyle name="20% - Accent1 3 2 2 2 2 6 2" xfId="1097"/>
    <cellStyle name="20% - Accent1 3 2 2 2 2 6 2 2" xfId="1098"/>
    <cellStyle name="20% - Accent1 3 2 2 2 2 6 3" xfId="1099"/>
    <cellStyle name="20% - Accent1 3 2 2 2 2 6 4" xfId="1100"/>
    <cellStyle name="20% - Accent1 3 2 2 2 2 7" xfId="1101"/>
    <cellStyle name="20% - Accent1 3 2 2 2 2 7 2" xfId="1102"/>
    <cellStyle name="20% - Accent1 3 2 2 2 2 8" xfId="1103"/>
    <cellStyle name="20% - Accent1 3 2 2 2 2 9" xfId="1104"/>
    <cellStyle name="20% - Accent1 3 2 2 2 3" xfId="1105"/>
    <cellStyle name="20% - Accent1 3 2 2 2 3 2" xfId="1106"/>
    <cellStyle name="20% - Accent1 3 2 2 2 3 2 2" xfId="1107"/>
    <cellStyle name="20% - Accent1 3 2 2 2 3 2 2 2" xfId="1108"/>
    <cellStyle name="20% - Accent1 3 2 2 2 3 2 3" xfId="1109"/>
    <cellStyle name="20% - Accent1 3 2 2 2 3 2 4" xfId="1110"/>
    <cellStyle name="20% - Accent1 3 2 2 2 3 3" xfId="1111"/>
    <cellStyle name="20% - Accent1 3 2 2 2 3 3 2" xfId="1112"/>
    <cellStyle name="20% - Accent1 3 2 2 2 3 4" xfId="1113"/>
    <cellStyle name="20% - Accent1 3 2 2 2 3 5" xfId="1114"/>
    <cellStyle name="20% - Accent1 3 2 2 2 4" xfId="1115"/>
    <cellStyle name="20% - Accent1 3 2 2 2 4 2" xfId="1116"/>
    <cellStyle name="20% - Accent1 3 2 2 2 4 2 2" xfId="1117"/>
    <cellStyle name="20% - Accent1 3 2 2 2 4 2 2 2" xfId="1118"/>
    <cellStyle name="20% - Accent1 3 2 2 2 4 2 3" xfId="1119"/>
    <cellStyle name="20% - Accent1 3 2 2 2 4 2 4" xfId="1120"/>
    <cellStyle name="20% - Accent1 3 2 2 2 4 3" xfId="1121"/>
    <cellStyle name="20% - Accent1 3 2 2 2 4 3 2" xfId="1122"/>
    <cellStyle name="20% - Accent1 3 2 2 2 4 4" xfId="1123"/>
    <cellStyle name="20% - Accent1 3 2 2 2 4 5" xfId="1124"/>
    <cellStyle name="20% - Accent1 3 2 2 2 5" xfId="1125"/>
    <cellStyle name="20% - Accent1 3 2 2 2 5 2" xfId="1126"/>
    <cellStyle name="20% - Accent1 3 2 2 2 5 2 2" xfId="1127"/>
    <cellStyle name="20% - Accent1 3 2 2 2 5 3" xfId="1128"/>
    <cellStyle name="20% - Accent1 3 2 2 2 5 4" xfId="1129"/>
    <cellStyle name="20% - Accent1 3 2 2 2 6" xfId="1130"/>
    <cellStyle name="20% - Accent1 3 2 2 2 6 2" xfId="1131"/>
    <cellStyle name="20% - Accent1 3 2 2 2 6 2 2" xfId="1132"/>
    <cellStyle name="20% - Accent1 3 2 2 2 6 3" xfId="1133"/>
    <cellStyle name="20% - Accent1 3 2 2 2 6 4" xfId="1134"/>
    <cellStyle name="20% - Accent1 3 2 2 2 7" xfId="1135"/>
    <cellStyle name="20% - Accent1 3 2 2 2 7 2" xfId="1136"/>
    <cellStyle name="20% - Accent1 3 2 2 2 7 2 2" xfId="1137"/>
    <cellStyle name="20% - Accent1 3 2 2 2 7 3" xfId="1138"/>
    <cellStyle name="20% - Accent1 3 2 2 2 7 4" xfId="1139"/>
    <cellStyle name="20% - Accent1 3 2 2 2 8" xfId="1140"/>
    <cellStyle name="20% - Accent1 3 2 2 2 8 2" xfId="1141"/>
    <cellStyle name="20% - Accent1 3 2 2 2 9" xfId="1142"/>
    <cellStyle name="20% - Accent1 3 2 2 3" xfId="1143"/>
    <cellStyle name="20% - Accent1 3 2 2 3 2" xfId="1144"/>
    <cellStyle name="20% - Accent1 3 2 2 3 2 2" xfId="1145"/>
    <cellStyle name="20% - Accent1 3 2 2 3 2 2 2" xfId="1146"/>
    <cellStyle name="20% - Accent1 3 2 2 3 2 2 2 2" xfId="1147"/>
    <cellStyle name="20% - Accent1 3 2 2 3 2 2 3" xfId="1148"/>
    <cellStyle name="20% - Accent1 3 2 2 3 2 2 4" xfId="1149"/>
    <cellStyle name="20% - Accent1 3 2 2 3 2 3" xfId="1150"/>
    <cellStyle name="20% - Accent1 3 2 2 3 2 3 2" xfId="1151"/>
    <cellStyle name="20% - Accent1 3 2 2 3 2 4" xfId="1152"/>
    <cellStyle name="20% - Accent1 3 2 2 3 2 5" xfId="1153"/>
    <cellStyle name="20% - Accent1 3 2 2 3 3" xfId="1154"/>
    <cellStyle name="20% - Accent1 3 2 2 3 3 2" xfId="1155"/>
    <cellStyle name="20% - Accent1 3 2 2 3 3 2 2" xfId="1156"/>
    <cellStyle name="20% - Accent1 3 2 2 3 3 2 2 2" xfId="1157"/>
    <cellStyle name="20% - Accent1 3 2 2 3 3 2 3" xfId="1158"/>
    <cellStyle name="20% - Accent1 3 2 2 3 3 2 4" xfId="1159"/>
    <cellStyle name="20% - Accent1 3 2 2 3 3 3" xfId="1160"/>
    <cellStyle name="20% - Accent1 3 2 2 3 3 3 2" xfId="1161"/>
    <cellStyle name="20% - Accent1 3 2 2 3 3 4" xfId="1162"/>
    <cellStyle name="20% - Accent1 3 2 2 3 3 5" xfId="1163"/>
    <cellStyle name="20% - Accent1 3 2 2 3 4" xfId="1164"/>
    <cellStyle name="20% - Accent1 3 2 2 3 4 2" xfId="1165"/>
    <cellStyle name="20% - Accent1 3 2 2 3 4 2 2" xfId="1166"/>
    <cellStyle name="20% - Accent1 3 2 2 3 4 3" xfId="1167"/>
    <cellStyle name="20% - Accent1 3 2 2 3 4 4" xfId="1168"/>
    <cellStyle name="20% - Accent1 3 2 2 3 5" xfId="1169"/>
    <cellStyle name="20% - Accent1 3 2 2 3 5 2" xfId="1170"/>
    <cellStyle name="20% - Accent1 3 2 2 3 5 2 2" xfId="1171"/>
    <cellStyle name="20% - Accent1 3 2 2 3 5 3" xfId="1172"/>
    <cellStyle name="20% - Accent1 3 2 2 3 5 4" xfId="1173"/>
    <cellStyle name="20% - Accent1 3 2 2 3 6" xfId="1174"/>
    <cellStyle name="20% - Accent1 3 2 2 3 6 2" xfId="1175"/>
    <cellStyle name="20% - Accent1 3 2 2 3 6 2 2" xfId="1176"/>
    <cellStyle name="20% - Accent1 3 2 2 3 6 3" xfId="1177"/>
    <cellStyle name="20% - Accent1 3 2 2 3 6 4" xfId="1178"/>
    <cellStyle name="20% - Accent1 3 2 2 3 7" xfId="1179"/>
    <cellStyle name="20% - Accent1 3 2 2 3 7 2" xfId="1180"/>
    <cellStyle name="20% - Accent1 3 2 2 3 8" xfId="1181"/>
    <cellStyle name="20% - Accent1 3 2 2 3 9" xfId="1182"/>
    <cellStyle name="20% - Accent1 3 2 2 4" xfId="1183"/>
    <cellStyle name="20% - Accent1 3 2 2 4 2" xfId="1184"/>
    <cellStyle name="20% - Accent1 3 2 2 4 2 2" xfId="1185"/>
    <cellStyle name="20% - Accent1 3 2 2 4 2 2 2" xfId="1186"/>
    <cellStyle name="20% - Accent1 3 2 2 4 2 3" xfId="1187"/>
    <cellStyle name="20% - Accent1 3 2 2 4 2 4" xfId="1188"/>
    <cellStyle name="20% - Accent1 3 2 2 4 3" xfId="1189"/>
    <cellStyle name="20% - Accent1 3 2 2 4 3 2" xfId="1190"/>
    <cellStyle name="20% - Accent1 3 2 2 4 4" xfId="1191"/>
    <cellStyle name="20% - Accent1 3 2 2 4 5" xfId="1192"/>
    <cellStyle name="20% - Accent1 3 2 2 5" xfId="1193"/>
    <cellStyle name="20% - Accent1 3 2 2 5 2" xfId="1194"/>
    <cellStyle name="20% - Accent1 3 2 2 5 2 2" xfId="1195"/>
    <cellStyle name="20% - Accent1 3 2 2 5 2 2 2" xfId="1196"/>
    <cellStyle name="20% - Accent1 3 2 2 5 2 3" xfId="1197"/>
    <cellStyle name="20% - Accent1 3 2 2 5 2 4" xfId="1198"/>
    <cellStyle name="20% - Accent1 3 2 2 5 3" xfId="1199"/>
    <cellStyle name="20% - Accent1 3 2 2 5 3 2" xfId="1200"/>
    <cellStyle name="20% - Accent1 3 2 2 5 4" xfId="1201"/>
    <cellStyle name="20% - Accent1 3 2 2 5 5" xfId="1202"/>
    <cellStyle name="20% - Accent1 3 2 2 6" xfId="1203"/>
    <cellStyle name="20% - Accent1 3 2 2 6 2" xfId="1204"/>
    <cellStyle name="20% - Accent1 3 2 2 6 2 2" xfId="1205"/>
    <cellStyle name="20% - Accent1 3 2 2 6 3" xfId="1206"/>
    <cellStyle name="20% - Accent1 3 2 2 6 4" xfId="1207"/>
    <cellStyle name="20% - Accent1 3 2 2 7" xfId="1208"/>
    <cellStyle name="20% - Accent1 3 2 2 7 2" xfId="1209"/>
    <cellStyle name="20% - Accent1 3 2 2 7 2 2" xfId="1210"/>
    <cellStyle name="20% - Accent1 3 2 2 7 3" xfId="1211"/>
    <cellStyle name="20% - Accent1 3 2 2 7 4" xfId="1212"/>
    <cellStyle name="20% - Accent1 3 2 2 8" xfId="1213"/>
    <cellStyle name="20% - Accent1 3 2 2 8 2" xfId="1214"/>
    <cellStyle name="20% - Accent1 3 2 2 8 2 2" xfId="1215"/>
    <cellStyle name="20% - Accent1 3 2 2 8 3" xfId="1216"/>
    <cellStyle name="20% - Accent1 3 2 2 8 4" xfId="1217"/>
    <cellStyle name="20% - Accent1 3 2 2 9" xfId="1218"/>
    <cellStyle name="20% - Accent1 3 2 2 9 2" xfId="1219"/>
    <cellStyle name="20% - Accent1 3 2 3" xfId="1220"/>
    <cellStyle name="20% - Accent1 3 2 3 10" xfId="1221"/>
    <cellStyle name="20% - Accent1 3 2 3 2" xfId="1222"/>
    <cellStyle name="20% - Accent1 3 2 3 2 2" xfId="1223"/>
    <cellStyle name="20% - Accent1 3 2 3 2 2 2" xfId="1224"/>
    <cellStyle name="20% - Accent1 3 2 3 2 2 2 2" xfId="1225"/>
    <cellStyle name="20% - Accent1 3 2 3 2 2 2 2 2" xfId="1226"/>
    <cellStyle name="20% - Accent1 3 2 3 2 2 2 3" xfId="1227"/>
    <cellStyle name="20% - Accent1 3 2 3 2 2 2 4" xfId="1228"/>
    <cellStyle name="20% - Accent1 3 2 3 2 2 3" xfId="1229"/>
    <cellStyle name="20% - Accent1 3 2 3 2 2 3 2" xfId="1230"/>
    <cellStyle name="20% - Accent1 3 2 3 2 2 4" xfId="1231"/>
    <cellStyle name="20% - Accent1 3 2 3 2 2 5" xfId="1232"/>
    <cellStyle name="20% - Accent1 3 2 3 2 3" xfId="1233"/>
    <cellStyle name="20% - Accent1 3 2 3 2 3 2" xfId="1234"/>
    <cellStyle name="20% - Accent1 3 2 3 2 3 2 2" xfId="1235"/>
    <cellStyle name="20% - Accent1 3 2 3 2 3 2 2 2" xfId="1236"/>
    <cellStyle name="20% - Accent1 3 2 3 2 3 2 3" xfId="1237"/>
    <cellStyle name="20% - Accent1 3 2 3 2 3 2 4" xfId="1238"/>
    <cellStyle name="20% - Accent1 3 2 3 2 3 3" xfId="1239"/>
    <cellStyle name="20% - Accent1 3 2 3 2 3 3 2" xfId="1240"/>
    <cellStyle name="20% - Accent1 3 2 3 2 3 4" xfId="1241"/>
    <cellStyle name="20% - Accent1 3 2 3 2 3 5" xfId="1242"/>
    <cellStyle name="20% - Accent1 3 2 3 2 4" xfId="1243"/>
    <cellStyle name="20% - Accent1 3 2 3 2 4 2" xfId="1244"/>
    <cellStyle name="20% - Accent1 3 2 3 2 4 2 2" xfId="1245"/>
    <cellStyle name="20% - Accent1 3 2 3 2 4 3" xfId="1246"/>
    <cellStyle name="20% - Accent1 3 2 3 2 4 4" xfId="1247"/>
    <cellStyle name="20% - Accent1 3 2 3 2 5" xfId="1248"/>
    <cellStyle name="20% - Accent1 3 2 3 2 5 2" xfId="1249"/>
    <cellStyle name="20% - Accent1 3 2 3 2 5 2 2" xfId="1250"/>
    <cellStyle name="20% - Accent1 3 2 3 2 5 3" xfId="1251"/>
    <cellStyle name="20% - Accent1 3 2 3 2 5 4" xfId="1252"/>
    <cellStyle name="20% - Accent1 3 2 3 2 6" xfId="1253"/>
    <cellStyle name="20% - Accent1 3 2 3 2 6 2" xfId="1254"/>
    <cellStyle name="20% - Accent1 3 2 3 2 6 2 2" xfId="1255"/>
    <cellStyle name="20% - Accent1 3 2 3 2 6 3" xfId="1256"/>
    <cellStyle name="20% - Accent1 3 2 3 2 6 4" xfId="1257"/>
    <cellStyle name="20% - Accent1 3 2 3 2 7" xfId="1258"/>
    <cellStyle name="20% - Accent1 3 2 3 2 7 2" xfId="1259"/>
    <cellStyle name="20% - Accent1 3 2 3 2 8" xfId="1260"/>
    <cellStyle name="20% - Accent1 3 2 3 2 9" xfId="1261"/>
    <cellStyle name="20% - Accent1 3 2 3 3" xfId="1262"/>
    <cellStyle name="20% - Accent1 3 2 3 3 2" xfId="1263"/>
    <cellStyle name="20% - Accent1 3 2 3 3 2 2" xfId="1264"/>
    <cellStyle name="20% - Accent1 3 2 3 3 2 2 2" xfId="1265"/>
    <cellStyle name="20% - Accent1 3 2 3 3 2 3" xfId="1266"/>
    <cellStyle name="20% - Accent1 3 2 3 3 2 4" xfId="1267"/>
    <cellStyle name="20% - Accent1 3 2 3 3 3" xfId="1268"/>
    <cellStyle name="20% - Accent1 3 2 3 3 3 2" xfId="1269"/>
    <cellStyle name="20% - Accent1 3 2 3 3 4" xfId="1270"/>
    <cellStyle name="20% - Accent1 3 2 3 3 5" xfId="1271"/>
    <cellStyle name="20% - Accent1 3 2 3 4" xfId="1272"/>
    <cellStyle name="20% - Accent1 3 2 3 4 2" xfId="1273"/>
    <cellStyle name="20% - Accent1 3 2 3 4 2 2" xfId="1274"/>
    <cellStyle name="20% - Accent1 3 2 3 4 2 2 2" xfId="1275"/>
    <cellStyle name="20% - Accent1 3 2 3 4 2 3" xfId="1276"/>
    <cellStyle name="20% - Accent1 3 2 3 4 2 4" xfId="1277"/>
    <cellStyle name="20% - Accent1 3 2 3 4 3" xfId="1278"/>
    <cellStyle name="20% - Accent1 3 2 3 4 3 2" xfId="1279"/>
    <cellStyle name="20% - Accent1 3 2 3 4 4" xfId="1280"/>
    <cellStyle name="20% - Accent1 3 2 3 4 5" xfId="1281"/>
    <cellStyle name="20% - Accent1 3 2 3 5" xfId="1282"/>
    <cellStyle name="20% - Accent1 3 2 3 5 2" xfId="1283"/>
    <cellStyle name="20% - Accent1 3 2 3 5 2 2" xfId="1284"/>
    <cellStyle name="20% - Accent1 3 2 3 5 3" xfId="1285"/>
    <cellStyle name="20% - Accent1 3 2 3 5 4" xfId="1286"/>
    <cellStyle name="20% - Accent1 3 2 3 6" xfId="1287"/>
    <cellStyle name="20% - Accent1 3 2 3 6 2" xfId="1288"/>
    <cellStyle name="20% - Accent1 3 2 3 6 2 2" xfId="1289"/>
    <cellStyle name="20% - Accent1 3 2 3 6 3" xfId="1290"/>
    <cellStyle name="20% - Accent1 3 2 3 6 4" xfId="1291"/>
    <cellStyle name="20% - Accent1 3 2 3 7" xfId="1292"/>
    <cellStyle name="20% - Accent1 3 2 3 7 2" xfId="1293"/>
    <cellStyle name="20% - Accent1 3 2 3 7 2 2" xfId="1294"/>
    <cellStyle name="20% - Accent1 3 2 3 7 3" xfId="1295"/>
    <cellStyle name="20% - Accent1 3 2 3 7 4" xfId="1296"/>
    <cellStyle name="20% - Accent1 3 2 3 8" xfId="1297"/>
    <cellStyle name="20% - Accent1 3 2 3 8 2" xfId="1298"/>
    <cellStyle name="20% - Accent1 3 2 3 9" xfId="1299"/>
    <cellStyle name="20% - Accent1 3 2 4" xfId="1300"/>
    <cellStyle name="20% - Accent1 3 2 4 2" xfId="1301"/>
    <cellStyle name="20% - Accent1 3 2 4 2 2" xfId="1302"/>
    <cellStyle name="20% - Accent1 3 2 4 2 2 2" xfId="1303"/>
    <cellStyle name="20% - Accent1 3 2 4 2 2 2 2" xfId="1304"/>
    <cellStyle name="20% - Accent1 3 2 4 2 2 3" xfId="1305"/>
    <cellStyle name="20% - Accent1 3 2 4 2 2 4" xfId="1306"/>
    <cellStyle name="20% - Accent1 3 2 4 2 3" xfId="1307"/>
    <cellStyle name="20% - Accent1 3 2 4 2 3 2" xfId="1308"/>
    <cellStyle name="20% - Accent1 3 2 4 2 4" xfId="1309"/>
    <cellStyle name="20% - Accent1 3 2 4 2 5" xfId="1310"/>
    <cellStyle name="20% - Accent1 3 2 4 3" xfId="1311"/>
    <cellStyle name="20% - Accent1 3 2 4 3 2" xfId="1312"/>
    <cellStyle name="20% - Accent1 3 2 4 3 2 2" xfId="1313"/>
    <cellStyle name="20% - Accent1 3 2 4 3 2 2 2" xfId="1314"/>
    <cellStyle name="20% - Accent1 3 2 4 3 2 3" xfId="1315"/>
    <cellStyle name="20% - Accent1 3 2 4 3 2 4" xfId="1316"/>
    <cellStyle name="20% - Accent1 3 2 4 3 3" xfId="1317"/>
    <cellStyle name="20% - Accent1 3 2 4 3 3 2" xfId="1318"/>
    <cellStyle name="20% - Accent1 3 2 4 3 4" xfId="1319"/>
    <cellStyle name="20% - Accent1 3 2 4 3 5" xfId="1320"/>
    <cellStyle name="20% - Accent1 3 2 4 4" xfId="1321"/>
    <cellStyle name="20% - Accent1 3 2 4 4 2" xfId="1322"/>
    <cellStyle name="20% - Accent1 3 2 4 4 2 2" xfId="1323"/>
    <cellStyle name="20% - Accent1 3 2 4 4 3" xfId="1324"/>
    <cellStyle name="20% - Accent1 3 2 4 4 4" xfId="1325"/>
    <cellStyle name="20% - Accent1 3 2 4 5" xfId="1326"/>
    <cellStyle name="20% - Accent1 3 2 4 5 2" xfId="1327"/>
    <cellStyle name="20% - Accent1 3 2 4 5 2 2" xfId="1328"/>
    <cellStyle name="20% - Accent1 3 2 4 5 3" xfId="1329"/>
    <cellStyle name="20% - Accent1 3 2 4 5 4" xfId="1330"/>
    <cellStyle name="20% - Accent1 3 2 4 6" xfId="1331"/>
    <cellStyle name="20% - Accent1 3 2 4 6 2" xfId="1332"/>
    <cellStyle name="20% - Accent1 3 2 4 6 2 2" xfId="1333"/>
    <cellStyle name="20% - Accent1 3 2 4 6 3" xfId="1334"/>
    <cellStyle name="20% - Accent1 3 2 4 6 4" xfId="1335"/>
    <cellStyle name="20% - Accent1 3 2 4 7" xfId="1336"/>
    <cellStyle name="20% - Accent1 3 2 4 7 2" xfId="1337"/>
    <cellStyle name="20% - Accent1 3 2 4 8" xfId="1338"/>
    <cellStyle name="20% - Accent1 3 2 4 9" xfId="1339"/>
    <cellStyle name="20% - Accent1 3 2 5" xfId="1340"/>
    <cellStyle name="20% - Accent1 3 2 5 2" xfId="1341"/>
    <cellStyle name="20% - Accent1 3 2 5 2 2" xfId="1342"/>
    <cellStyle name="20% - Accent1 3 2 5 2 2 2" xfId="1343"/>
    <cellStyle name="20% - Accent1 3 2 5 2 3" xfId="1344"/>
    <cellStyle name="20% - Accent1 3 2 5 2 4" xfId="1345"/>
    <cellStyle name="20% - Accent1 3 2 5 3" xfId="1346"/>
    <cellStyle name="20% - Accent1 3 2 5 3 2" xfId="1347"/>
    <cellStyle name="20% - Accent1 3 2 5 4" xfId="1348"/>
    <cellStyle name="20% - Accent1 3 2 5 5" xfId="1349"/>
    <cellStyle name="20% - Accent1 3 2 6" xfId="1350"/>
    <cellStyle name="20% - Accent1 3 2 6 2" xfId="1351"/>
    <cellStyle name="20% - Accent1 3 2 6 2 2" xfId="1352"/>
    <cellStyle name="20% - Accent1 3 2 6 2 2 2" xfId="1353"/>
    <cellStyle name="20% - Accent1 3 2 6 2 3" xfId="1354"/>
    <cellStyle name="20% - Accent1 3 2 6 2 4" xfId="1355"/>
    <cellStyle name="20% - Accent1 3 2 6 3" xfId="1356"/>
    <cellStyle name="20% - Accent1 3 2 6 3 2" xfId="1357"/>
    <cellStyle name="20% - Accent1 3 2 6 4" xfId="1358"/>
    <cellStyle name="20% - Accent1 3 2 6 5" xfId="1359"/>
    <cellStyle name="20% - Accent1 3 2 7" xfId="1360"/>
    <cellStyle name="20% - Accent1 3 2 7 2" xfId="1361"/>
    <cellStyle name="20% - Accent1 3 2 7 2 2" xfId="1362"/>
    <cellStyle name="20% - Accent1 3 2 7 3" xfId="1363"/>
    <cellStyle name="20% - Accent1 3 2 7 4" xfId="1364"/>
    <cellStyle name="20% - Accent1 3 2 8" xfId="1365"/>
    <cellStyle name="20% - Accent1 3 2 8 2" xfId="1366"/>
    <cellStyle name="20% - Accent1 3 2 8 2 2" xfId="1367"/>
    <cellStyle name="20% - Accent1 3 2 8 3" xfId="1368"/>
    <cellStyle name="20% - Accent1 3 2 8 4" xfId="1369"/>
    <cellStyle name="20% - Accent1 3 2 9" xfId="1370"/>
    <cellStyle name="20% - Accent1 3 2 9 2" xfId="1371"/>
    <cellStyle name="20% - Accent1 3 2 9 2 2" xfId="1372"/>
    <cellStyle name="20% - Accent1 3 2 9 3" xfId="1373"/>
    <cellStyle name="20% - Accent1 3 2 9 4" xfId="1374"/>
    <cellStyle name="20% - Accent1 3 3" xfId="1375"/>
    <cellStyle name="20% - Accent1 3 4" xfId="1376"/>
    <cellStyle name="20% - Accent1 3 5" xfId="1377"/>
    <cellStyle name="20% - Accent1 3 6" xfId="35492"/>
    <cellStyle name="20% - Accent1 3 7" xfId="1054"/>
    <cellStyle name="20% - Accent1 3 8" xfId="35931"/>
    <cellStyle name="20% - Accent1 4" xfId="209"/>
    <cellStyle name="20% - Accent1 4 10" xfId="1379"/>
    <cellStyle name="20% - Accent1 4 10 2" xfId="1380"/>
    <cellStyle name="20% - Accent1 4 11" xfId="1381"/>
    <cellStyle name="20% - Accent1 4 12" xfId="1382"/>
    <cellStyle name="20% - Accent1 4 13" xfId="35493"/>
    <cellStyle name="20% - Accent1 4 14" xfId="1378"/>
    <cellStyle name="20% - Accent1 4 2" xfId="1383"/>
    <cellStyle name="20% - Accent1 4 2 10" xfId="1384"/>
    <cellStyle name="20% - Accent1 4 2 11" xfId="1385"/>
    <cellStyle name="20% - Accent1 4 2 2" xfId="1386"/>
    <cellStyle name="20% - Accent1 4 2 2 10" xfId="1387"/>
    <cellStyle name="20% - Accent1 4 2 2 2" xfId="1388"/>
    <cellStyle name="20% - Accent1 4 2 2 2 2" xfId="1389"/>
    <cellStyle name="20% - Accent1 4 2 2 2 2 2" xfId="1390"/>
    <cellStyle name="20% - Accent1 4 2 2 2 2 2 2" xfId="1391"/>
    <cellStyle name="20% - Accent1 4 2 2 2 2 2 2 2" xfId="1392"/>
    <cellStyle name="20% - Accent1 4 2 2 2 2 2 3" xfId="1393"/>
    <cellStyle name="20% - Accent1 4 2 2 2 2 2 4" xfId="1394"/>
    <cellStyle name="20% - Accent1 4 2 2 2 2 3" xfId="1395"/>
    <cellStyle name="20% - Accent1 4 2 2 2 2 3 2" xfId="1396"/>
    <cellStyle name="20% - Accent1 4 2 2 2 2 4" xfId="1397"/>
    <cellStyle name="20% - Accent1 4 2 2 2 2 5" xfId="1398"/>
    <cellStyle name="20% - Accent1 4 2 2 2 3" xfId="1399"/>
    <cellStyle name="20% - Accent1 4 2 2 2 3 2" xfId="1400"/>
    <cellStyle name="20% - Accent1 4 2 2 2 3 2 2" xfId="1401"/>
    <cellStyle name="20% - Accent1 4 2 2 2 3 2 2 2" xfId="1402"/>
    <cellStyle name="20% - Accent1 4 2 2 2 3 2 3" xfId="1403"/>
    <cellStyle name="20% - Accent1 4 2 2 2 3 2 4" xfId="1404"/>
    <cellStyle name="20% - Accent1 4 2 2 2 3 3" xfId="1405"/>
    <cellStyle name="20% - Accent1 4 2 2 2 3 3 2" xfId="1406"/>
    <cellStyle name="20% - Accent1 4 2 2 2 3 4" xfId="1407"/>
    <cellStyle name="20% - Accent1 4 2 2 2 3 5" xfId="1408"/>
    <cellStyle name="20% - Accent1 4 2 2 2 4" xfId="1409"/>
    <cellStyle name="20% - Accent1 4 2 2 2 4 2" xfId="1410"/>
    <cellStyle name="20% - Accent1 4 2 2 2 4 2 2" xfId="1411"/>
    <cellStyle name="20% - Accent1 4 2 2 2 4 3" xfId="1412"/>
    <cellStyle name="20% - Accent1 4 2 2 2 4 4" xfId="1413"/>
    <cellStyle name="20% - Accent1 4 2 2 2 5" xfId="1414"/>
    <cellStyle name="20% - Accent1 4 2 2 2 5 2" xfId="1415"/>
    <cellStyle name="20% - Accent1 4 2 2 2 5 2 2" xfId="1416"/>
    <cellStyle name="20% - Accent1 4 2 2 2 5 3" xfId="1417"/>
    <cellStyle name="20% - Accent1 4 2 2 2 5 4" xfId="1418"/>
    <cellStyle name="20% - Accent1 4 2 2 2 6" xfId="1419"/>
    <cellStyle name="20% - Accent1 4 2 2 2 6 2" xfId="1420"/>
    <cellStyle name="20% - Accent1 4 2 2 2 6 2 2" xfId="1421"/>
    <cellStyle name="20% - Accent1 4 2 2 2 6 3" xfId="1422"/>
    <cellStyle name="20% - Accent1 4 2 2 2 6 4" xfId="1423"/>
    <cellStyle name="20% - Accent1 4 2 2 2 7" xfId="1424"/>
    <cellStyle name="20% - Accent1 4 2 2 2 7 2" xfId="1425"/>
    <cellStyle name="20% - Accent1 4 2 2 2 8" xfId="1426"/>
    <cellStyle name="20% - Accent1 4 2 2 2 9" xfId="1427"/>
    <cellStyle name="20% - Accent1 4 2 2 3" xfId="1428"/>
    <cellStyle name="20% - Accent1 4 2 2 3 2" xfId="1429"/>
    <cellStyle name="20% - Accent1 4 2 2 3 2 2" xfId="1430"/>
    <cellStyle name="20% - Accent1 4 2 2 3 2 2 2" xfId="1431"/>
    <cellStyle name="20% - Accent1 4 2 2 3 2 3" xfId="1432"/>
    <cellStyle name="20% - Accent1 4 2 2 3 2 4" xfId="1433"/>
    <cellStyle name="20% - Accent1 4 2 2 3 3" xfId="1434"/>
    <cellStyle name="20% - Accent1 4 2 2 3 3 2" xfId="1435"/>
    <cellStyle name="20% - Accent1 4 2 2 3 4" xfId="1436"/>
    <cellStyle name="20% - Accent1 4 2 2 3 5" xfId="1437"/>
    <cellStyle name="20% - Accent1 4 2 2 4" xfId="1438"/>
    <cellStyle name="20% - Accent1 4 2 2 4 2" xfId="1439"/>
    <cellStyle name="20% - Accent1 4 2 2 4 2 2" xfId="1440"/>
    <cellStyle name="20% - Accent1 4 2 2 4 2 2 2" xfId="1441"/>
    <cellStyle name="20% - Accent1 4 2 2 4 2 3" xfId="1442"/>
    <cellStyle name="20% - Accent1 4 2 2 4 2 4" xfId="1443"/>
    <cellStyle name="20% - Accent1 4 2 2 4 3" xfId="1444"/>
    <cellStyle name="20% - Accent1 4 2 2 4 3 2" xfId="1445"/>
    <cellStyle name="20% - Accent1 4 2 2 4 4" xfId="1446"/>
    <cellStyle name="20% - Accent1 4 2 2 4 5" xfId="1447"/>
    <cellStyle name="20% - Accent1 4 2 2 5" xfId="1448"/>
    <cellStyle name="20% - Accent1 4 2 2 5 2" xfId="1449"/>
    <cellStyle name="20% - Accent1 4 2 2 5 2 2" xfId="1450"/>
    <cellStyle name="20% - Accent1 4 2 2 5 3" xfId="1451"/>
    <cellStyle name="20% - Accent1 4 2 2 5 4" xfId="1452"/>
    <cellStyle name="20% - Accent1 4 2 2 6" xfId="1453"/>
    <cellStyle name="20% - Accent1 4 2 2 6 2" xfId="1454"/>
    <cellStyle name="20% - Accent1 4 2 2 6 2 2" xfId="1455"/>
    <cellStyle name="20% - Accent1 4 2 2 6 3" xfId="1456"/>
    <cellStyle name="20% - Accent1 4 2 2 6 4" xfId="1457"/>
    <cellStyle name="20% - Accent1 4 2 2 7" xfId="1458"/>
    <cellStyle name="20% - Accent1 4 2 2 7 2" xfId="1459"/>
    <cellStyle name="20% - Accent1 4 2 2 7 2 2" xfId="1460"/>
    <cellStyle name="20% - Accent1 4 2 2 7 3" xfId="1461"/>
    <cellStyle name="20% - Accent1 4 2 2 7 4" xfId="1462"/>
    <cellStyle name="20% - Accent1 4 2 2 8" xfId="1463"/>
    <cellStyle name="20% - Accent1 4 2 2 8 2" xfId="1464"/>
    <cellStyle name="20% - Accent1 4 2 2 9" xfId="1465"/>
    <cellStyle name="20% - Accent1 4 2 3" xfId="1466"/>
    <cellStyle name="20% - Accent1 4 2 3 2" xfId="1467"/>
    <cellStyle name="20% - Accent1 4 2 3 2 2" xfId="1468"/>
    <cellStyle name="20% - Accent1 4 2 3 2 2 2" xfId="1469"/>
    <cellStyle name="20% - Accent1 4 2 3 2 2 2 2" xfId="1470"/>
    <cellStyle name="20% - Accent1 4 2 3 2 2 3" xfId="1471"/>
    <cellStyle name="20% - Accent1 4 2 3 2 2 4" xfId="1472"/>
    <cellStyle name="20% - Accent1 4 2 3 2 3" xfId="1473"/>
    <cellStyle name="20% - Accent1 4 2 3 2 3 2" xfId="1474"/>
    <cellStyle name="20% - Accent1 4 2 3 2 4" xfId="1475"/>
    <cellStyle name="20% - Accent1 4 2 3 2 5" xfId="1476"/>
    <cellStyle name="20% - Accent1 4 2 3 3" xfId="1477"/>
    <cellStyle name="20% - Accent1 4 2 3 3 2" xfId="1478"/>
    <cellStyle name="20% - Accent1 4 2 3 3 2 2" xfId="1479"/>
    <cellStyle name="20% - Accent1 4 2 3 3 2 2 2" xfId="1480"/>
    <cellStyle name="20% - Accent1 4 2 3 3 2 3" xfId="1481"/>
    <cellStyle name="20% - Accent1 4 2 3 3 2 4" xfId="1482"/>
    <cellStyle name="20% - Accent1 4 2 3 3 3" xfId="1483"/>
    <cellStyle name="20% - Accent1 4 2 3 3 3 2" xfId="1484"/>
    <cellStyle name="20% - Accent1 4 2 3 3 4" xfId="1485"/>
    <cellStyle name="20% - Accent1 4 2 3 3 5" xfId="1486"/>
    <cellStyle name="20% - Accent1 4 2 3 4" xfId="1487"/>
    <cellStyle name="20% - Accent1 4 2 3 4 2" xfId="1488"/>
    <cellStyle name="20% - Accent1 4 2 3 4 2 2" xfId="1489"/>
    <cellStyle name="20% - Accent1 4 2 3 4 3" xfId="1490"/>
    <cellStyle name="20% - Accent1 4 2 3 4 4" xfId="1491"/>
    <cellStyle name="20% - Accent1 4 2 3 5" xfId="1492"/>
    <cellStyle name="20% - Accent1 4 2 3 5 2" xfId="1493"/>
    <cellStyle name="20% - Accent1 4 2 3 5 2 2" xfId="1494"/>
    <cellStyle name="20% - Accent1 4 2 3 5 3" xfId="1495"/>
    <cellStyle name="20% - Accent1 4 2 3 5 4" xfId="1496"/>
    <cellStyle name="20% - Accent1 4 2 3 6" xfId="1497"/>
    <cellStyle name="20% - Accent1 4 2 3 6 2" xfId="1498"/>
    <cellStyle name="20% - Accent1 4 2 3 6 2 2" xfId="1499"/>
    <cellStyle name="20% - Accent1 4 2 3 6 3" xfId="1500"/>
    <cellStyle name="20% - Accent1 4 2 3 6 4" xfId="1501"/>
    <cellStyle name="20% - Accent1 4 2 3 7" xfId="1502"/>
    <cellStyle name="20% - Accent1 4 2 3 7 2" xfId="1503"/>
    <cellStyle name="20% - Accent1 4 2 3 8" xfId="1504"/>
    <cellStyle name="20% - Accent1 4 2 3 9" xfId="1505"/>
    <cellStyle name="20% - Accent1 4 2 4" xfId="1506"/>
    <cellStyle name="20% - Accent1 4 2 4 2" xfId="1507"/>
    <cellStyle name="20% - Accent1 4 2 4 2 2" xfId="1508"/>
    <cellStyle name="20% - Accent1 4 2 4 2 2 2" xfId="1509"/>
    <cellStyle name="20% - Accent1 4 2 4 2 3" xfId="1510"/>
    <cellStyle name="20% - Accent1 4 2 4 2 4" xfId="1511"/>
    <cellStyle name="20% - Accent1 4 2 4 3" xfId="1512"/>
    <cellStyle name="20% - Accent1 4 2 4 3 2" xfId="1513"/>
    <cellStyle name="20% - Accent1 4 2 4 4" xfId="1514"/>
    <cellStyle name="20% - Accent1 4 2 4 5" xfId="1515"/>
    <cellStyle name="20% - Accent1 4 2 5" xfId="1516"/>
    <cellStyle name="20% - Accent1 4 2 5 2" xfId="1517"/>
    <cellStyle name="20% - Accent1 4 2 5 2 2" xfId="1518"/>
    <cellStyle name="20% - Accent1 4 2 5 2 2 2" xfId="1519"/>
    <cellStyle name="20% - Accent1 4 2 5 2 3" xfId="1520"/>
    <cellStyle name="20% - Accent1 4 2 5 2 4" xfId="1521"/>
    <cellStyle name="20% - Accent1 4 2 5 3" xfId="1522"/>
    <cellStyle name="20% - Accent1 4 2 5 3 2" xfId="1523"/>
    <cellStyle name="20% - Accent1 4 2 5 4" xfId="1524"/>
    <cellStyle name="20% - Accent1 4 2 5 5" xfId="1525"/>
    <cellStyle name="20% - Accent1 4 2 6" xfId="1526"/>
    <cellStyle name="20% - Accent1 4 2 6 2" xfId="1527"/>
    <cellStyle name="20% - Accent1 4 2 6 2 2" xfId="1528"/>
    <cellStyle name="20% - Accent1 4 2 6 3" xfId="1529"/>
    <cellStyle name="20% - Accent1 4 2 6 4" xfId="1530"/>
    <cellStyle name="20% - Accent1 4 2 7" xfId="1531"/>
    <cellStyle name="20% - Accent1 4 2 7 2" xfId="1532"/>
    <cellStyle name="20% - Accent1 4 2 7 2 2" xfId="1533"/>
    <cellStyle name="20% - Accent1 4 2 7 3" xfId="1534"/>
    <cellStyle name="20% - Accent1 4 2 7 4" xfId="1535"/>
    <cellStyle name="20% - Accent1 4 2 8" xfId="1536"/>
    <cellStyle name="20% - Accent1 4 2 8 2" xfId="1537"/>
    <cellStyle name="20% - Accent1 4 2 8 2 2" xfId="1538"/>
    <cellStyle name="20% - Accent1 4 2 8 3" xfId="1539"/>
    <cellStyle name="20% - Accent1 4 2 8 4" xfId="1540"/>
    <cellStyle name="20% - Accent1 4 2 9" xfId="1541"/>
    <cellStyle name="20% - Accent1 4 2 9 2" xfId="1542"/>
    <cellStyle name="20% - Accent1 4 3" xfId="1543"/>
    <cellStyle name="20% - Accent1 4 3 10" xfId="1544"/>
    <cellStyle name="20% - Accent1 4 3 2" xfId="1545"/>
    <cellStyle name="20% - Accent1 4 3 2 2" xfId="1546"/>
    <cellStyle name="20% - Accent1 4 3 2 2 2" xfId="1547"/>
    <cellStyle name="20% - Accent1 4 3 2 2 2 2" xfId="1548"/>
    <cellStyle name="20% - Accent1 4 3 2 2 2 2 2" xfId="1549"/>
    <cellStyle name="20% - Accent1 4 3 2 2 2 3" xfId="1550"/>
    <cellStyle name="20% - Accent1 4 3 2 2 2 4" xfId="1551"/>
    <cellStyle name="20% - Accent1 4 3 2 2 3" xfId="1552"/>
    <cellStyle name="20% - Accent1 4 3 2 2 3 2" xfId="1553"/>
    <cellStyle name="20% - Accent1 4 3 2 2 4" xfId="1554"/>
    <cellStyle name="20% - Accent1 4 3 2 2 5" xfId="1555"/>
    <cellStyle name="20% - Accent1 4 3 2 3" xfId="1556"/>
    <cellStyle name="20% - Accent1 4 3 2 3 2" xfId="1557"/>
    <cellStyle name="20% - Accent1 4 3 2 3 2 2" xfId="1558"/>
    <cellStyle name="20% - Accent1 4 3 2 3 2 2 2" xfId="1559"/>
    <cellStyle name="20% - Accent1 4 3 2 3 2 3" xfId="1560"/>
    <cellStyle name="20% - Accent1 4 3 2 3 2 4" xfId="1561"/>
    <cellStyle name="20% - Accent1 4 3 2 3 3" xfId="1562"/>
    <cellStyle name="20% - Accent1 4 3 2 3 3 2" xfId="1563"/>
    <cellStyle name="20% - Accent1 4 3 2 3 4" xfId="1564"/>
    <cellStyle name="20% - Accent1 4 3 2 3 5" xfId="1565"/>
    <cellStyle name="20% - Accent1 4 3 2 4" xfId="1566"/>
    <cellStyle name="20% - Accent1 4 3 2 4 2" xfId="1567"/>
    <cellStyle name="20% - Accent1 4 3 2 4 2 2" xfId="1568"/>
    <cellStyle name="20% - Accent1 4 3 2 4 3" xfId="1569"/>
    <cellStyle name="20% - Accent1 4 3 2 4 4" xfId="1570"/>
    <cellStyle name="20% - Accent1 4 3 2 5" xfId="1571"/>
    <cellStyle name="20% - Accent1 4 3 2 5 2" xfId="1572"/>
    <cellStyle name="20% - Accent1 4 3 2 5 2 2" xfId="1573"/>
    <cellStyle name="20% - Accent1 4 3 2 5 3" xfId="1574"/>
    <cellStyle name="20% - Accent1 4 3 2 5 4" xfId="1575"/>
    <cellStyle name="20% - Accent1 4 3 2 6" xfId="1576"/>
    <cellStyle name="20% - Accent1 4 3 2 6 2" xfId="1577"/>
    <cellStyle name="20% - Accent1 4 3 2 6 2 2" xfId="1578"/>
    <cellStyle name="20% - Accent1 4 3 2 6 3" xfId="1579"/>
    <cellStyle name="20% - Accent1 4 3 2 6 4" xfId="1580"/>
    <cellStyle name="20% - Accent1 4 3 2 7" xfId="1581"/>
    <cellStyle name="20% - Accent1 4 3 2 7 2" xfId="1582"/>
    <cellStyle name="20% - Accent1 4 3 2 8" xfId="1583"/>
    <cellStyle name="20% - Accent1 4 3 2 9" xfId="1584"/>
    <cellStyle name="20% - Accent1 4 3 3" xfId="1585"/>
    <cellStyle name="20% - Accent1 4 3 3 2" xfId="1586"/>
    <cellStyle name="20% - Accent1 4 3 3 2 2" xfId="1587"/>
    <cellStyle name="20% - Accent1 4 3 3 2 2 2" xfId="1588"/>
    <cellStyle name="20% - Accent1 4 3 3 2 3" xfId="1589"/>
    <cellStyle name="20% - Accent1 4 3 3 2 4" xfId="1590"/>
    <cellStyle name="20% - Accent1 4 3 3 3" xfId="1591"/>
    <cellStyle name="20% - Accent1 4 3 3 3 2" xfId="1592"/>
    <cellStyle name="20% - Accent1 4 3 3 4" xfId="1593"/>
    <cellStyle name="20% - Accent1 4 3 3 5" xfId="1594"/>
    <cellStyle name="20% - Accent1 4 3 4" xfId="1595"/>
    <cellStyle name="20% - Accent1 4 3 4 2" xfId="1596"/>
    <cellStyle name="20% - Accent1 4 3 4 2 2" xfId="1597"/>
    <cellStyle name="20% - Accent1 4 3 4 2 2 2" xfId="1598"/>
    <cellStyle name="20% - Accent1 4 3 4 2 3" xfId="1599"/>
    <cellStyle name="20% - Accent1 4 3 4 2 4" xfId="1600"/>
    <cellStyle name="20% - Accent1 4 3 4 3" xfId="1601"/>
    <cellStyle name="20% - Accent1 4 3 4 3 2" xfId="1602"/>
    <cellStyle name="20% - Accent1 4 3 4 4" xfId="1603"/>
    <cellStyle name="20% - Accent1 4 3 4 5" xfId="1604"/>
    <cellStyle name="20% - Accent1 4 3 5" xfId="1605"/>
    <cellStyle name="20% - Accent1 4 3 5 2" xfId="1606"/>
    <cellStyle name="20% - Accent1 4 3 5 2 2" xfId="1607"/>
    <cellStyle name="20% - Accent1 4 3 5 3" xfId="1608"/>
    <cellStyle name="20% - Accent1 4 3 5 4" xfId="1609"/>
    <cellStyle name="20% - Accent1 4 3 6" xfId="1610"/>
    <cellStyle name="20% - Accent1 4 3 6 2" xfId="1611"/>
    <cellStyle name="20% - Accent1 4 3 6 2 2" xfId="1612"/>
    <cellStyle name="20% - Accent1 4 3 6 3" xfId="1613"/>
    <cellStyle name="20% - Accent1 4 3 6 4" xfId="1614"/>
    <cellStyle name="20% - Accent1 4 3 7" xfId="1615"/>
    <cellStyle name="20% - Accent1 4 3 7 2" xfId="1616"/>
    <cellStyle name="20% - Accent1 4 3 7 2 2" xfId="1617"/>
    <cellStyle name="20% - Accent1 4 3 7 3" xfId="1618"/>
    <cellStyle name="20% - Accent1 4 3 7 4" xfId="1619"/>
    <cellStyle name="20% - Accent1 4 3 8" xfId="1620"/>
    <cellStyle name="20% - Accent1 4 3 8 2" xfId="1621"/>
    <cellStyle name="20% - Accent1 4 3 9" xfId="1622"/>
    <cellStyle name="20% - Accent1 4 4" xfId="1623"/>
    <cellStyle name="20% - Accent1 4 4 2" xfId="1624"/>
    <cellStyle name="20% - Accent1 4 4 2 2" xfId="1625"/>
    <cellStyle name="20% - Accent1 4 4 2 2 2" xfId="1626"/>
    <cellStyle name="20% - Accent1 4 4 2 2 2 2" xfId="1627"/>
    <cellStyle name="20% - Accent1 4 4 2 2 3" xfId="1628"/>
    <cellStyle name="20% - Accent1 4 4 2 2 4" xfId="1629"/>
    <cellStyle name="20% - Accent1 4 4 2 3" xfId="1630"/>
    <cellStyle name="20% - Accent1 4 4 2 3 2" xfId="1631"/>
    <cellStyle name="20% - Accent1 4 4 2 4" xfId="1632"/>
    <cellStyle name="20% - Accent1 4 4 2 5" xfId="1633"/>
    <cellStyle name="20% - Accent1 4 4 3" xfId="1634"/>
    <cellStyle name="20% - Accent1 4 4 3 2" xfId="1635"/>
    <cellStyle name="20% - Accent1 4 4 3 2 2" xfId="1636"/>
    <cellStyle name="20% - Accent1 4 4 3 2 2 2" xfId="1637"/>
    <cellStyle name="20% - Accent1 4 4 3 2 3" xfId="1638"/>
    <cellStyle name="20% - Accent1 4 4 3 2 4" xfId="1639"/>
    <cellStyle name="20% - Accent1 4 4 3 3" xfId="1640"/>
    <cellStyle name="20% - Accent1 4 4 3 3 2" xfId="1641"/>
    <cellStyle name="20% - Accent1 4 4 3 4" xfId="1642"/>
    <cellStyle name="20% - Accent1 4 4 3 5" xfId="1643"/>
    <cellStyle name="20% - Accent1 4 4 4" xfId="1644"/>
    <cellStyle name="20% - Accent1 4 4 4 2" xfId="1645"/>
    <cellStyle name="20% - Accent1 4 4 4 2 2" xfId="1646"/>
    <cellStyle name="20% - Accent1 4 4 4 3" xfId="1647"/>
    <cellStyle name="20% - Accent1 4 4 4 4" xfId="1648"/>
    <cellStyle name="20% - Accent1 4 4 5" xfId="1649"/>
    <cellStyle name="20% - Accent1 4 4 5 2" xfId="1650"/>
    <cellStyle name="20% - Accent1 4 4 5 2 2" xfId="1651"/>
    <cellStyle name="20% - Accent1 4 4 5 3" xfId="1652"/>
    <cellStyle name="20% - Accent1 4 4 5 4" xfId="1653"/>
    <cellStyle name="20% - Accent1 4 4 6" xfId="1654"/>
    <cellStyle name="20% - Accent1 4 4 6 2" xfId="1655"/>
    <cellStyle name="20% - Accent1 4 4 6 2 2" xfId="1656"/>
    <cellStyle name="20% - Accent1 4 4 6 3" xfId="1657"/>
    <cellStyle name="20% - Accent1 4 4 6 4" xfId="1658"/>
    <cellStyle name="20% - Accent1 4 4 7" xfId="1659"/>
    <cellStyle name="20% - Accent1 4 4 7 2" xfId="1660"/>
    <cellStyle name="20% - Accent1 4 4 8" xfId="1661"/>
    <cellStyle name="20% - Accent1 4 4 9" xfId="1662"/>
    <cellStyle name="20% - Accent1 4 5" xfId="1663"/>
    <cellStyle name="20% - Accent1 4 5 2" xfId="1664"/>
    <cellStyle name="20% - Accent1 4 5 2 2" xfId="1665"/>
    <cellStyle name="20% - Accent1 4 5 2 2 2" xfId="1666"/>
    <cellStyle name="20% - Accent1 4 5 2 3" xfId="1667"/>
    <cellStyle name="20% - Accent1 4 5 2 4" xfId="1668"/>
    <cellStyle name="20% - Accent1 4 5 3" xfId="1669"/>
    <cellStyle name="20% - Accent1 4 5 4" xfId="1670"/>
    <cellStyle name="20% - Accent1 4 5 4 2" xfId="1671"/>
    <cellStyle name="20% - Accent1 4 5 5" xfId="1672"/>
    <cellStyle name="20% - Accent1 4 5 6" xfId="1673"/>
    <cellStyle name="20% - Accent1 4 6" xfId="1674"/>
    <cellStyle name="20% - Accent1 4 6 2" xfId="1675"/>
    <cellStyle name="20% - Accent1 4 6 2 2" xfId="1676"/>
    <cellStyle name="20% - Accent1 4 6 2 2 2" xfId="1677"/>
    <cellStyle name="20% - Accent1 4 6 2 3" xfId="1678"/>
    <cellStyle name="20% - Accent1 4 6 2 4" xfId="1679"/>
    <cellStyle name="20% - Accent1 4 6 3" xfId="1680"/>
    <cellStyle name="20% - Accent1 4 6 3 2" xfId="1681"/>
    <cellStyle name="20% - Accent1 4 6 3 2 2" xfId="1682"/>
    <cellStyle name="20% - Accent1 4 6 3 3" xfId="1683"/>
    <cellStyle name="20% - Accent1 4 6 3 4" xfId="1684"/>
    <cellStyle name="20% - Accent1 4 6 4" xfId="1685"/>
    <cellStyle name="20% - Accent1 4 6 4 2" xfId="1686"/>
    <cellStyle name="20% - Accent1 4 6 5" xfId="1687"/>
    <cellStyle name="20% - Accent1 4 6 6" xfId="1688"/>
    <cellStyle name="20% - Accent1 4 7" xfId="1689"/>
    <cellStyle name="20% - Accent1 4 7 2" xfId="1690"/>
    <cellStyle name="20% - Accent1 4 7 2 2" xfId="1691"/>
    <cellStyle name="20% - Accent1 4 7 3" xfId="1692"/>
    <cellStyle name="20% - Accent1 4 7 4" xfId="1693"/>
    <cellStyle name="20% - Accent1 4 8" xfId="1694"/>
    <cellStyle name="20% - Accent1 4 8 2" xfId="1695"/>
    <cellStyle name="20% - Accent1 4 8 2 2" xfId="1696"/>
    <cellStyle name="20% - Accent1 4 8 3" xfId="1697"/>
    <cellStyle name="20% - Accent1 4 8 4" xfId="1698"/>
    <cellStyle name="20% - Accent1 4 9" xfId="1699"/>
    <cellStyle name="20% - Accent1 4 9 2" xfId="1700"/>
    <cellStyle name="20% - Accent1 4 9 2 2" xfId="1701"/>
    <cellStyle name="20% - Accent1 4 9 3" xfId="1702"/>
    <cellStyle name="20% - Accent1 4 9 4" xfId="1703"/>
    <cellStyle name="20% - Accent1 5" xfId="1704"/>
    <cellStyle name="20% - Accent1 5 10" xfId="1705"/>
    <cellStyle name="20% - Accent1 5 10 2" xfId="1706"/>
    <cellStyle name="20% - Accent1 5 11" xfId="1707"/>
    <cellStyle name="20% - Accent1 5 12" xfId="1708"/>
    <cellStyle name="20% - Accent1 5 2" xfId="1709"/>
    <cellStyle name="20% - Accent1 5 2 10" xfId="1710"/>
    <cellStyle name="20% - Accent1 5 2 11" xfId="1711"/>
    <cellStyle name="20% - Accent1 5 2 2" xfId="1712"/>
    <cellStyle name="20% - Accent1 5 2 2 10" xfId="1713"/>
    <cellStyle name="20% - Accent1 5 2 2 2" xfId="1714"/>
    <cellStyle name="20% - Accent1 5 2 2 2 2" xfId="1715"/>
    <cellStyle name="20% - Accent1 5 2 2 2 2 2" xfId="1716"/>
    <cellStyle name="20% - Accent1 5 2 2 2 2 2 2" xfId="1717"/>
    <cellStyle name="20% - Accent1 5 2 2 2 2 2 2 2" xfId="1718"/>
    <cellStyle name="20% - Accent1 5 2 2 2 2 2 3" xfId="1719"/>
    <cellStyle name="20% - Accent1 5 2 2 2 2 2 4" xfId="1720"/>
    <cellStyle name="20% - Accent1 5 2 2 2 2 3" xfId="1721"/>
    <cellStyle name="20% - Accent1 5 2 2 2 2 3 2" xfId="1722"/>
    <cellStyle name="20% - Accent1 5 2 2 2 2 4" xfId="1723"/>
    <cellStyle name="20% - Accent1 5 2 2 2 2 5" xfId="1724"/>
    <cellStyle name="20% - Accent1 5 2 2 2 3" xfId="1725"/>
    <cellStyle name="20% - Accent1 5 2 2 2 3 2" xfId="1726"/>
    <cellStyle name="20% - Accent1 5 2 2 2 3 2 2" xfId="1727"/>
    <cellStyle name="20% - Accent1 5 2 2 2 3 2 2 2" xfId="1728"/>
    <cellStyle name="20% - Accent1 5 2 2 2 3 2 3" xfId="1729"/>
    <cellStyle name="20% - Accent1 5 2 2 2 3 2 4" xfId="1730"/>
    <cellStyle name="20% - Accent1 5 2 2 2 3 3" xfId="1731"/>
    <cellStyle name="20% - Accent1 5 2 2 2 3 3 2" xfId="1732"/>
    <cellStyle name="20% - Accent1 5 2 2 2 3 4" xfId="1733"/>
    <cellStyle name="20% - Accent1 5 2 2 2 3 5" xfId="1734"/>
    <cellStyle name="20% - Accent1 5 2 2 2 4" xfId="1735"/>
    <cellStyle name="20% - Accent1 5 2 2 2 4 2" xfId="1736"/>
    <cellStyle name="20% - Accent1 5 2 2 2 4 2 2" xfId="1737"/>
    <cellStyle name="20% - Accent1 5 2 2 2 4 3" xfId="1738"/>
    <cellStyle name="20% - Accent1 5 2 2 2 4 4" xfId="1739"/>
    <cellStyle name="20% - Accent1 5 2 2 2 5" xfId="1740"/>
    <cellStyle name="20% - Accent1 5 2 2 2 5 2" xfId="1741"/>
    <cellStyle name="20% - Accent1 5 2 2 2 5 2 2" xfId="1742"/>
    <cellStyle name="20% - Accent1 5 2 2 2 5 3" xfId="1743"/>
    <cellStyle name="20% - Accent1 5 2 2 2 5 4" xfId="1744"/>
    <cellStyle name="20% - Accent1 5 2 2 2 6" xfId="1745"/>
    <cellStyle name="20% - Accent1 5 2 2 2 6 2" xfId="1746"/>
    <cellStyle name="20% - Accent1 5 2 2 2 6 2 2" xfId="1747"/>
    <cellStyle name="20% - Accent1 5 2 2 2 6 3" xfId="1748"/>
    <cellStyle name="20% - Accent1 5 2 2 2 6 4" xfId="1749"/>
    <cellStyle name="20% - Accent1 5 2 2 2 7" xfId="1750"/>
    <cellStyle name="20% - Accent1 5 2 2 2 7 2" xfId="1751"/>
    <cellStyle name="20% - Accent1 5 2 2 2 8" xfId="1752"/>
    <cellStyle name="20% - Accent1 5 2 2 2 9" xfId="1753"/>
    <cellStyle name="20% - Accent1 5 2 2 3" xfId="1754"/>
    <cellStyle name="20% - Accent1 5 2 2 3 2" xfId="1755"/>
    <cellStyle name="20% - Accent1 5 2 2 3 2 2" xfId="1756"/>
    <cellStyle name="20% - Accent1 5 2 2 3 2 2 2" xfId="1757"/>
    <cellStyle name="20% - Accent1 5 2 2 3 2 3" xfId="1758"/>
    <cellStyle name="20% - Accent1 5 2 2 3 2 4" xfId="1759"/>
    <cellStyle name="20% - Accent1 5 2 2 3 3" xfId="1760"/>
    <cellStyle name="20% - Accent1 5 2 2 3 3 2" xfId="1761"/>
    <cellStyle name="20% - Accent1 5 2 2 3 4" xfId="1762"/>
    <cellStyle name="20% - Accent1 5 2 2 3 5" xfId="1763"/>
    <cellStyle name="20% - Accent1 5 2 2 4" xfId="1764"/>
    <cellStyle name="20% - Accent1 5 2 2 4 2" xfId="1765"/>
    <cellStyle name="20% - Accent1 5 2 2 4 2 2" xfId="1766"/>
    <cellStyle name="20% - Accent1 5 2 2 4 2 2 2" xfId="1767"/>
    <cellStyle name="20% - Accent1 5 2 2 4 2 3" xfId="1768"/>
    <cellStyle name="20% - Accent1 5 2 2 4 2 4" xfId="1769"/>
    <cellStyle name="20% - Accent1 5 2 2 4 3" xfId="1770"/>
    <cellStyle name="20% - Accent1 5 2 2 4 3 2" xfId="1771"/>
    <cellStyle name="20% - Accent1 5 2 2 4 4" xfId="1772"/>
    <cellStyle name="20% - Accent1 5 2 2 4 5" xfId="1773"/>
    <cellStyle name="20% - Accent1 5 2 2 5" xfId="1774"/>
    <cellStyle name="20% - Accent1 5 2 2 5 2" xfId="1775"/>
    <cellStyle name="20% - Accent1 5 2 2 5 2 2" xfId="1776"/>
    <cellStyle name="20% - Accent1 5 2 2 5 3" xfId="1777"/>
    <cellStyle name="20% - Accent1 5 2 2 5 4" xfId="1778"/>
    <cellStyle name="20% - Accent1 5 2 2 6" xfId="1779"/>
    <cellStyle name="20% - Accent1 5 2 2 6 2" xfId="1780"/>
    <cellStyle name="20% - Accent1 5 2 2 6 2 2" xfId="1781"/>
    <cellStyle name="20% - Accent1 5 2 2 6 3" xfId="1782"/>
    <cellStyle name="20% - Accent1 5 2 2 6 4" xfId="1783"/>
    <cellStyle name="20% - Accent1 5 2 2 7" xfId="1784"/>
    <cellStyle name="20% - Accent1 5 2 2 7 2" xfId="1785"/>
    <cellStyle name="20% - Accent1 5 2 2 7 2 2" xfId="1786"/>
    <cellStyle name="20% - Accent1 5 2 2 7 3" xfId="1787"/>
    <cellStyle name="20% - Accent1 5 2 2 7 4" xfId="1788"/>
    <cellStyle name="20% - Accent1 5 2 2 8" xfId="1789"/>
    <cellStyle name="20% - Accent1 5 2 2 8 2" xfId="1790"/>
    <cellStyle name="20% - Accent1 5 2 2 9" xfId="1791"/>
    <cellStyle name="20% - Accent1 5 2 3" xfId="1792"/>
    <cellStyle name="20% - Accent1 5 2 3 2" xfId="1793"/>
    <cellStyle name="20% - Accent1 5 2 3 2 2" xfId="1794"/>
    <cellStyle name="20% - Accent1 5 2 3 2 2 2" xfId="1795"/>
    <cellStyle name="20% - Accent1 5 2 3 2 2 2 2" xfId="1796"/>
    <cellStyle name="20% - Accent1 5 2 3 2 2 3" xfId="1797"/>
    <cellStyle name="20% - Accent1 5 2 3 2 2 4" xfId="1798"/>
    <cellStyle name="20% - Accent1 5 2 3 2 3" xfId="1799"/>
    <cellStyle name="20% - Accent1 5 2 3 2 3 2" xfId="1800"/>
    <cellStyle name="20% - Accent1 5 2 3 2 4" xfId="1801"/>
    <cellStyle name="20% - Accent1 5 2 3 2 5" xfId="1802"/>
    <cellStyle name="20% - Accent1 5 2 3 3" xfId="1803"/>
    <cellStyle name="20% - Accent1 5 2 3 3 2" xfId="1804"/>
    <cellStyle name="20% - Accent1 5 2 3 3 2 2" xfId="1805"/>
    <cellStyle name="20% - Accent1 5 2 3 3 2 2 2" xfId="1806"/>
    <cellStyle name="20% - Accent1 5 2 3 3 2 3" xfId="1807"/>
    <cellStyle name="20% - Accent1 5 2 3 3 2 4" xfId="1808"/>
    <cellStyle name="20% - Accent1 5 2 3 3 3" xfId="1809"/>
    <cellStyle name="20% - Accent1 5 2 3 3 3 2" xfId="1810"/>
    <cellStyle name="20% - Accent1 5 2 3 3 4" xfId="1811"/>
    <cellStyle name="20% - Accent1 5 2 3 3 5" xfId="1812"/>
    <cellStyle name="20% - Accent1 5 2 3 4" xfId="1813"/>
    <cellStyle name="20% - Accent1 5 2 3 4 2" xfId="1814"/>
    <cellStyle name="20% - Accent1 5 2 3 4 2 2" xfId="1815"/>
    <cellStyle name="20% - Accent1 5 2 3 4 3" xfId="1816"/>
    <cellStyle name="20% - Accent1 5 2 3 4 4" xfId="1817"/>
    <cellStyle name="20% - Accent1 5 2 3 5" xfId="1818"/>
    <cellStyle name="20% - Accent1 5 2 3 5 2" xfId="1819"/>
    <cellStyle name="20% - Accent1 5 2 3 5 2 2" xfId="1820"/>
    <cellStyle name="20% - Accent1 5 2 3 5 3" xfId="1821"/>
    <cellStyle name="20% - Accent1 5 2 3 5 4" xfId="1822"/>
    <cellStyle name="20% - Accent1 5 2 3 6" xfId="1823"/>
    <cellStyle name="20% - Accent1 5 2 3 6 2" xfId="1824"/>
    <cellStyle name="20% - Accent1 5 2 3 6 2 2" xfId="1825"/>
    <cellStyle name="20% - Accent1 5 2 3 6 3" xfId="1826"/>
    <cellStyle name="20% - Accent1 5 2 3 6 4" xfId="1827"/>
    <cellStyle name="20% - Accent1 5 2 3 7" xfId="1828"/>
    <cellStyle name="20% - Accent1 5 2 3 7 2" xfId="1829"/>
    <cellStyle name="20% - Accent1 5 2 3 8" xfId="1830"/>
    <cellStyle name="20% - Accent1 5 2 3 9" xfId="1831"/>
    <cellStyle name="20% - Accent1 5 2 4" xfId="1832"/>
    <cellStyle name="20% - Accent1 5 2 4 2" xfId="1833"/>
    <cellStyle name="20% - Accent1 5 2 4 2 2" xfId="1834"/>
    <cellStyle name="20% - Accent1 5 2 4 2 2 2" xfId="1835"/>
    <cellStyle name="20% - Accent1 5 2 4 2 3" xfId="1836"/>
    <cellStyle name="20% - Accent1 5 2 4 2 4" xfId="1837"/>
    <cellStyle name="20% - Accent1 5 2 4 3" xfId="1838"/>
    <cellStyle name="20% - Accent1 5 2 4 3 2" xfId="1839"/>
    <cellStyle name="20% - Accent1 5 2 4 4" xfId="1840"/>
    <cellStyle name="20% - Accent1 5 2 4 5" xfId="1841"/>
    <cellStyle name="20% - Accent1 5 2 5" xfId="1842"/>
    <cellStyle name="20% - Accent1 5 2 5 2" xfId="1843"/>
    <cellStyle name="20% - Accent1 5 2 5 2 2" xfId="1844"/>
    <cellStyle name="20% - Accent1 5 2 5 2 2 2" xfId="1845"/>
    <cellStyle name="20% - Accent1 5 2 5 2 3" xfId="1846"/>
    <cellStyle name="20% - Accent1 5 2 5 2 4" xfId="1847"/>
    <cellStyle name="20% - Accent1 5 2 5 3" xfId="1848"/>
    <cellStyle name="20% - Accent1 5 2 5 3 2" xfId="1849"/>
    <cellStyle name="20% - Accent1 5 2 5 4" xfId="1850"/>
    <cellStyle name="20% - Accent1 5 2 5 5" xfId="1851"/>
    <cellStyle name="20% - Accent1 5 2 6" xfId="1852"/>
    <cellStyle name="20% - Accent1 5 2 6 2" xfId="1853"/>
    <cellStyle name="20% - Accent1 5 2 6 2 2" xfId="1854"/>
    <cellStyle name="20% - Accent1 5 2 6 3" xfId="1855"/>
    <cellStyle name="20% - Accent1 5 2 6 4" xfId="1856"/>
    <cellStyle name="20% - Accent1 5 2 7" xfId="1857"/>
    <cellStyle name="20% - Accent1 5 2 7 2" xfId="1858"/>
    <cellStyle name="20% - Accent1 5 2 7 2 2" xfId="1859"/>
    <cellStyle name="20% - Accent1 5 2 7 3" xfId="1860"/>
    <cellStyle name="20% - Accent1 5 2 7 4" xfId="1861"/>
    <cellStyle name="20% - Accent1 5 2 8" xfId="1862"/>
    <cellStyle name="20% - Accent1 5 2 8 2" xfId="1863"/>
    <cellStyle name="20% - Accent1 5 2 8 2 2" xfId="1864"/>
    <cellStyle name="20% - Accent1 5 2 8 3" xfId="1865"/>
    <cellStyle name="20% - Accent1 5 2 8 4" xfId="1866"/>
    <cellStyle name="20% - Accent1 5 2 9" xfId="1867"/>
    <cellStyle name="20% - Accent1 5 2 9 2" xfId="1868"/>
    <cellStyle name="20% - Accent1 5 3" xfId="1869"/>
    <cellStyle name="20% - Accent1 5 3 10" xfId="1870"/>
    <cellStyle name="20% - Accent1 5 3 2" xfId="1871"/>
    <cellStyle name="20% - Accent1 5 3 2 2" xfId="1872"/>
    <cellStyle name="20% - Accent1 5 3 2 2 2" xfId="1873"/>
    <cellStyle name="20% - Accent1 5 3 2 2 2 2" xfId="1874"/>
    <cellStyle name="20% - Accent1 5 3 2 2 2 2 2" xfId="1875"/>
    <cellStyle name="20% - Accent1 5 3 2 2 2 3" xfId="1876"/>
    <cellStyle name="20% - Accent1 5 3 2 2 2 4" xfId="1877"/>
    <cellStyle name="20% - Accent1 5 3 2 2 3" xfId="1878"/>
    <cellStyle name="20% - Accent1 5 3 2 2 3 2" xfId="1879"/>
    <cellStyle name="20% - Accent1 5 3 2 2 4" xfId="1880"/>
    <cellStyle name="20% - Accent1 5 3 2 2 5" xfId="1881"/>
    <cellStyle name="20% - Accent1 5 3 2 3" xfId="1882"/>
    <cellStyle name="20% - Accent1 5 3 2 3 2" xfId="1883"/>
    <cellStyle name="20% - Accent1 5 3 2 3 2 2" xfId="1884"/>
    <cellStyle name="20% - Accent1 5 3 2 3 2 2 2" xfId="1885"/>
    <cellStyle name="20% - Accent1 5 3 2 3 2 3" xfId="1886"/>
    <cellStyle name="20% - Accent1 5 3 2 3 2 4" xfId="1887"/>
    <cellStyle name="20% - Accent1 5 3 2 3 3" xfId="1888"/>
    <cellStyle name="20% - Accent1 5 3 2 3 3 2" xfId="1889"/>
    <cellStyle name="20% - Accent1 5 3 2 3 4" xfId="1890"/>
    <cellStyle name="20% - Accent1 5 3 2 3 5" xfId="1891"/>
    <cellStyle name="20% - Accent1 5 3 2 4" xfId="1892"/>
    <cellStyle name="20% - Accent1 5 3 2 4 2" xfId="1893"/>
    <cellStyle name="20% - Accent1 5 3 2 4 2 2" xfId="1894"/>
    <cellStyle name="20% - Accent1 5 3 2 4 3" xfId="1895"/>
    <cellStyle name="20% - Accent1 5 3 2 4 4" xfId="1896"/>
    <cellStyle name="20% - Accent1 5 3 2 5" xfId="1897"/>
    <cellStyle name="20% - Accent1 5 3 2 5 2" xfId="1898"/>
    <cellStyle name="20% - Accent1 5 3 2 5 2 2" xfId="1899"/>
    <cellStyle name="20% - Accent1 5 3 2 5 3" xfId="1900"/>
    <cellStyle name="20% - Accent1 5 3 2 5 4" xfId="1901"/>
    <cellStyle name="20% - Accent1 5 3 2 6" xfId="1902"/>
    <cellStyle name="20% - Accent1 5 3 2 6 2" xfId="1903"/>
    <cellStyle name="20% - Accent1 5 3 2 6 2 2" xfId="1904"/>
    <cellStyle name="20% - Accent1 5 3 2 6 3" xfId="1905"/>
    <cellStyle name="20% - Accent1 5 3 2 6 4" xfId="1906"/>
    <cellStyle name="20% - Accent1 5 3 2 7" xfId="1907"/>
    <cellStyle name="20% - Accent1 5 3 2 7 2" xfId="1908"/>
    <cellStyle name="20% - Accent1 5 3 2 8" xfId="1909"/>
    <cellStyle name="20% - Accent1 5 3 2 9" xfId="1910"/>
    <cellStyle name="20% - Accent1 5 3 3" xfId="1911"/>
    <cellStyle name="20% - Accent1 5 3 3 2" xfId="1912"/>
    <cellStyle name="20% - Accent1 5 3 3 2 2" xfId="1913"/>
    <cellStyle name="20% - Accent1 5 3 3 2 2 2" xfId="1914"/>
    <cellStyle name="20% - Accent1 5 3 3 2 3" xfId="1915"/>
    <cellStyle name="20% - Accent1 5 3 3 2 4" xfId="1916"/>
    <cellStyle name="20% - Accent1 5 3 3 3" xfId="1917"/>
    <cellStyle name="20% - Accent1 5 3 3 3 2" xfId="1918"/>
    <cellStyle name="20% - Accent1 5 3 3 4" xfId="1919"/>
    <cellStyle name="20% - Accent1 5 3 3 5" xfId="1920"/>
    <cellStyle name="20% - Accent1 5 3 4" xfId="1921"/>
    <cellStyle name="20% - Accent1 5 3 4 2" xfId="1922"/>
    <cellStyle name="20% - Accent1 5 3 4 2 2" xfId="1923"/>
    <cellStyle name="20% - Accent1 5 3 4 2 2 2" xfId="1924"/>
    <cellStyle name="20% - Accent1 5 3 4 2 3" xfId="1925"/>
    <cellStyle name="20% - Accent1 5 3 4 2 4" xfId="1926"/>
    <cellStyle name="20% - Accent1 5 3 4 3" xfId="1927"/>
    <cellStyle name="20% - Accent1 5 3 4 3 2" xfId="1928"/>
    <cellStyle name="20% - Accent1 5 3 4 4" xfId="1929"/>
    <cellStyle name="20% - Accent1 5 3 4 5" xfId="1930"/>
    <cellStyle name="20% - Accent1 5 3 5" xfId="1931"/>
    <cellStyle name="20% - Accent1 5 3 5 2" xfId="1932"/>
    <cellStyle name="20% - Accent1 5 3 5 2 2" xfId="1933"/>
    <cellStyle name="20% - Accent1 5 3 5 3" xfId="1934"/>
    <cellStyle name="20% - Accent1 5 3 5 4" xfId="1935"/>
    <cellStyle name="20% - Accent1 5 3 6" xfId="1936"/>
    <cellStyle name="20% - Accent1 5 3 6 2" xfId="1937"/>
    <cellStyle name="20% - Accent1 5 3 6 2 2" xfId="1938"/>
    <cellStyle name="20% - Accent1 5 3 6 3" xfId="1939"/>
    <cellStyle name="20% - Accent1 5 3 6 4" xfId="1940"/>
    <cellStyle name="20% - Accent1 5 3 7" xfId="1941"/>
    <cellStyle name="20% - Accent1 5 3 7 2" xfId="1942"/>
    <cellStyle name="20% - Accent1 5 3 7 2 2" xfId="1943"/>
    <cellStyle name="20% - Accent1 5 3 7 3" xfId="1944"/>
    <cellStyle name="20% - Accent1 5 3 7 4" xfId="1945"/>
    <cellStyle name="20% - Accent1 5 3 8" xfId="1946"/>
    <cellStyle name="20% - Accent1 5 3 8 2" xfId="1947"/>
    <cellStyle name="20% - Accent1 5 3 9" xfId="1948"/>
    <cellStyle name="20% - Accent1 5 4" xfId="1949"/>
    <cellStyle name="20% - Accent1 5 4 2" xfId="1950"/>
    <cellStyle name="20% - Accent1 5 4 2 2" xfId="1951"/>
    <cellStyle name="20% - Accent1 5 4 2 2 2" xfId="1952"/>
    <cellStyle name="20% - Accent1 5 4 2 2 2 2" xfId="1953"/>
    <cellStyle name="20% - Accent1 5 4 2 2 3" xfId="1954"/>
    <cellStyle name="20% - Accent1 5 4 2 2 4" xfId="1955"/>
    <cellStyle name="20% - Accent1 5 4 2 3" xfId="1956"/>
    <cellStyle name="20% - Accent1 5 4 2 3 2" xfId="1957"/>
    <cellStyle name="20% - Accent1 5 4 2 4" xfId="1958"/>
    <cellStyle name="20% - Accent1 5 4 2 5" xfId="1959"/>
    <cellStyle name="20% - Accent1 5 4 3" xfId="1960"/>
    <cellStyle name="20% - Accent1 5 4 3 2" xfId="1961"/>
    <cellStyle name="20% - Accent1 5 4 3 2 2" xfId="1962"/>
    <cellStyle name="20% - Accent1 5 4 3 2 2 2" xfId="1963"/>
    <cellStyle name="20% - Accent1 5 4 3 2 3" xfId="1964"/>
    <cellStyle name="20% - Accent1 5 4 3 2 4" xfId="1965"/>
    <cellStyle name="20% - Accent1 5 4 3 3" xfId="1966"/>
    <cellStyle name="20% - Accent1 5 4 3 3 2" xfId="1967"/>
    <cellStyle name="20% - Accent1 5 4 3 4" xfId="1968"/>
    <cellStyle name="20% - Accent1 5 4 3 5" xfId="1969"/>
    <cellStyle name="20% - Accent1 5 4 4" xfId="1970"/>
    <cellStyle name="20% - Accent1 5 4 4 2" xfId="1971"/>
    <cellStyle name="20% - Accent1 5 4 4 2 2" xfId="1972"/>
    <cellStyle name="20% - Accent1 5 4 4 3" xfId="1973"/>
    <cellStyle name="20% - Accent1 5 4 4 4" xfId="1974"/>
    <cellStyle name="20% - Accent1 5 4 5" xfId="1975"/>
    <cellStyle name="20% - Accent1 5 4 5 2" xfId="1976"/>
    <cellStyle name="20% - Accent1 5 4 5 2 2" xfId="1977"/>
    <cellStyle name="20% - Accent1 5 4 5 3" xfId="1978"/>
    <cellStyle name="20% - Accent1 5 4 5 4" xfId="1979"/>
    <cellStyle name="20% - Accent1 5 4 6" xfId="1980"/>
    <cellStyle name="20% - Accent1 5 4 6 2" xfId="1981"/>
    <cellStyle name="20% - Accent1 5 4 6 2 2" xfId="1982"/>
    <cellStyle name="20% - Accent1 5 4 6 3" xfId="1983"/>
    <cellStyle name="20% - Accent1 5 4 6 4" xfId="1984"/>
    <cellStyle name="20% - Accent1 5 4 7" xfId="1985"/>
    <cellStyle name="20% - Accent1 5 4 7 2" xfId="1986"/>
    <cellStyle name="20% - Accent1 5 4 8" xfId="1987"/>
    <cellStyle name="20% - Accent1 5 4 9" xfId="1988"/>
    <cellStyle name="20% - Accent1 5 5" xfId="1989"/>
    <cellStyle name="20% - Accent1 5 5 2" xfId="1990"/>
    <cellStyle name="20% - Accent1 5 5 2 2" xfId="1991"/>
    <cellStyle name="20% - Accent1 5 5 2 2 2" xfId="1992"/>
    <cellStyle name="20% - Accent1 5 5 2 3" xfId="1993"/>
    <cellStyle name="20% - Accent1 5 5 2 4" xfId="1994"/>
    <cellStyle name="20% - Accent1 5 5 3" xfId="1995"/>
    <cellStyle name="20% - Accent1 5 5 3 2" xfId="1996"/>
    <cellStyle name="20% - Accent1 5 5 3 2 2" xfId="1997"/>
    <cellStyle name="20% - Accent1 5 5 3 3" xfId="1998"/>
    <cellStyle name="20% - Accent1 5 5 3 4" xfId="1999"/>
    <cellStyle name="20% - Accent1 5 5 4" xfId="2000"/>
    <cellStyle name="20% - Accent1 5 5 4 2" xfId="2001"/>
    <cellStyle name="20% - Accent1 5 5 5" xfId="2002"/>
    <cellStyle name="20% - Accent1 5 5 6" xfId="2003"/>
    <cellStyle name="20% - Accent1 5 6" xfId="2004"/>
    <cellStyle name="20% - Accent1 5 6 2" xfId="2005"/>
    <cellStyle name="20% - Accent1 5 6 2 2" xfId="2006"/>
    <cellStyle name="20% - Accent1 5 6 2 2 2" xfId="2007"/>
    <cellStyle name="20% - Accent1 5 6 2 3" xfId="2008"/>
    <cellStyle name="20% - Accent1 5 6 2 4" xfId="2009"/>
    <cellStyle name="20% - Accent1 5 6 3" xfId="2010"/>
    <cellStyle name="20% - Accent1 5 6 3 2" xfId="2011"/>
    <cellStyle name="20% - Accent1 5 6 4" xfId="2012"/>
    <cellStyle name="20% - Accent1 5 6 5" xfId="2013"/>
    <cellStyle name="20% - Accent1 5 7" xfId="2014"/>
    <cellStyle name="20% - Accent1 5 7 2" xfId="2015"/>
    <cellStyle name="20% - Accent1 5 7 2 2" xfId="2016"/>
    <cellStyle name="20% - Accent1 5 7 3" xfId="2017"/>
    <cellStyle name="20% - Accent1 5 7 4" xfId="2018"/>
    <cellStyle name="20% - Accent1 5 8" xfId="2019"/>
    <cellStyle name="20% - Accent1 5 8 2" xfId="2020"/>
    <cellStyle name="20% - Accent1 5 8 2 2" xfId="2021"/>
    <cellStyle name="20% - Accent1 5 8 3" xfId="2022"/>
    <cellStyle name="20% - Accent1 5 8 4" xfId="2023"/>
    <cellStyle name="20% - Accent1 5 9" xfId="2024"/>
    <cellStyle name="20% - Accent1 5 9 2" xfId="2025"/>
    <cellStyle name="20% - Accent1 5 9 2 2" xfId="2026"/>
    <cellStyle name="20% - Accent1 5 9 3" xfId="2027"/>
    <cellStyle name="20% - Accent1 5 9 4" xfId="2028"/>
    <cellStyle name="20% - Accent1 6" xfId="2029"/>
    <cellStyle name="20% - Accent1 7" xfId="2030"/>
    <cellStyle name="20% - Accent1 8" xfId="2031"/>
    <cellStyle name="20% - Accent1 9" xfId="2032"/>
    <cellStyle name="20% - Accent1 9 2" xfId="2033"/>
    <cellStyle name="20% - Accent1 9 2 2" xfId="2034"/>
    <cellStyle name="20% - Accent1 9 3" xfId="2035"/>
    <cellStyle name="20% - Accent1 9 4" xfId="2036"/>
    <cellStyle name="20% - Accent2" xfId="35688" builtinId="34" customBuiltin="1"/>
    <cellStyle name="20% - Accent2 2" xfId="34"/>
    <cellStyle name="20% - Accent2 2 10" xfId="2038"/>
    <cellStyle name="20% - Accent2 2 10 2" xfId="2039"/>
    <cellStyle name="20% - Accent2 2 10 2 2" xfId="2040"/>
    <cellStyle name="20% - Accent2 2 10 3" xfId="2041"/>
    <cellStyle name="20% - Accent2 2 10 4" xfId="2042"/>
    <cellStyle name="20% - Accent2 2 11" xfId="2043"/>
    <cellStyle name="20% - Accent2 2 11 2" xfId="2044"/>
    <cellStyle name="20% - Accent2 2 12" xfId="2045"/>
    <cellStyle name="20% - Accent2 2 13" xfId="2046"/>
    <cellStyle name="20% - Accent2 2 14" xfId="35494"/>
    <cellStyle name="20% - Accent2 2 15" xfId="2037"/>
    <cellStyle name="20% - Accent2 2 2" xfId="2047"/>
    <cellStyle name="20% - Accent2 2 2 2" xfId="2048"/>
    <cellStyle name="20% - Accent2 2 2 3" xfId="2049"/>
    <cellStyle name="20% - Accent2 2 2 4" xfId="2050"/>
    <cellStyle name="20% - Accent2 2 3" xfId="2051"/>
    <cellStyle name="20% - Accent2 2 3 10" xfId="2052"/>
    <cellStyle name="20% - Accent2 2 3 11" xfId="2053"/>
    <cellStyle name="20% - Accent2 2 3 2" xfId="2054"/>
    <cellStyle name="20% - Accent2 2 3 2 10" xfId="2055"/>
    <cellStyle name="20% - Accent2 2 3 2 2" xfId="2056"/>
    <cellStyle name="20% - Accent2 2 3 2 2 2" xfId="2057"/>
    <cellStyle name="20% - Accent2 2 3 2 2 2 2" xfId="2058"/>
    <cellStyle name="20% - Accent2 2 3 2 2 2 2 2" xfId="2059"/>
    <cellStyle name="20% - Accent2 2 3 2 2 2 2 2 2" xfId="2060"/>
    <cellStyle name="20% - Accent2 2 3 2 2 2 2 3" xfId="2061"/>
    <cellStyle name="20% - Accent2 2 3 2 2 2 2 4" xfId="2062"/>
    <cellStyle name="20% - Accent2 2 3 2 2 2 3" xfId="2063"/>
    <cellStyle name="20% - Accent2 2 3 2 2 2 3 2" xfId="2064"/>
    <cellStyle name="20% - Accent2 2 3 2 2 2 4" xfId="2065"/>
    <cellStyle name="20% - Accent2 2 3 2 2 2 5" xfId="2066"/>
    <cellStyle name="20% - Accent2 2 3 2 2 3" xfId="2067"/>
    <cellStyle name="20% - Accent2 2 3 2 2 3 2" xfId="2068"/>
    <cellStyle name="20% - Accent2 2 3 2 2 3 2 2" xfId="2069"/>
    <cellStyle name="20% - Accent2 2 3 2 2 3 2 2 2" xfId="2070"/>
    <cellStyle name="20% - Accent2 2 3 2 2 3 2 3" xfId="2071"/>
    <cellStyle name="20% - Accent2 2 3 2 2 3 2 4" xfId="2072"/>
    <cellStyle name="20% - Accent2 2 3 2 2 3 3" xfId="2073"/>
    <cellStyle name="20% - Accent2 2 3 2 2 3 3 2" xfId="2074"/>
    <cellStyle name="20% - Accent2 2 3 2 2 3 4" xfId="2075"/>
    <cellStyle name="20% - Accent2 2 3 2 2 3 5" xfId="2076"/>
    <cellStyle name="20% - Accent2 2 3 2 2 4" xfId="2077"/>
    <cellStyle name="20% - Accent2 2 3 2 2 4 2" xfId="2078"/>
    <cellStyle name="20% - Accent2 2 3 2 2 4 2 2" xfId="2079"/>
    <cellStyle name="20% - Accent2 2 3 2 2 4 3" xfId="2080"/>
    <cellStyle name="20% - Accent2 2 3 2 2 4 4" xfId="2081"/>
    <cellStyle name="20% - Accent2 2 3 2 2 5" xfId="2082"/>
    <cellStyle name="20% - Accent2 2 3 2 2 5 2" xfId="2083"/>
    <cellStyle name="20% - Accent2 2 3 2 2 5 2 2" xfId="2084"/>
    <cellStyle name="20% - Accent2 2 3 2 2 5 3" xfId="2085"/>
    <cellStyle name="20% - Accent2 2 3 2 2 5 4" xfId="2086"/>
    <cellStyle name="20% - Accent2 2 3 2 2 6" xfId="2087"/>
    <cellStyle name="20% - Accent2 2 3 2 2 6 2" xfId="2088"/>
    <cellStyle name="20% - Accent2 2 3 2 2 6 2 2" xfId="2089"/>
    <cellStyle name="20% - Accent2 2 3 2 2 6 3" xfId="2090"/>
    <cellStyle name="20% - Accent2 2 3 2 2 6 4" xfId="2091"/>
    <cellStyle name="20% - Accent2 2 3 2 2 7" xfId="2092"/>
    <cellStyle name="20% - Accent2 2 3 2 2 7 2" xfId="2093"/>
    <cellStyle name="20% - Accent2 2 3 2 2 8" xfId="2094"/>
    <cellStyle name="20% - Accent2 2 3 2 2 9" xfId="2095"/>
    <cellStyle name="20% - Accent2 2 3 2 3" xfId="2096"/>
    <cellStyle name="20% - Accent2 2 3 2 3 2" xfId="2097"/>
    <cellStyle name="20% - Accent2 2 3 2 3 2 2" xfId="2098"/>
    <cellStyle name="20% - Accent2 2 3 2 3 2 2 2" xfId="2099"/>
    <cellStyle name="20% - Accent2 2 3 2 3 2 3" xfId="2100"/>
    <cellStyle name="20% - Accent2 2 3 2 3 2 4" xfId="2101"/>
    <cellStyle name="20% - Accent2 2 3 2 3 3" xfId="2102"/>
    <cellStyle name="20% - Accent2 2 3 2 3 3 2" xfId="2103"/>
    <cellStyle name="20% - Accent2 2 3 2 3 4" xfId="2104"/>
    <cellStyle name="20% - Accent2 2 3 2 3 5" xfId="2105"/>
    <cellStyle name="20% - Accent2 2 3 2 4" xfId="2106"/>
    <cellStyle name="20% - Accent2 2 3 2 4 2" xfId="2107"/>
    <cellStyle name="20% - Accent2 2 3 2 4 2 2" xfId="2108"/>
    <cellStyle name="20% - Accent2 2 3 2 4 2 2 2" xfId="2109"/>
    <cellStyle name="20% - Accent2 2 3 2 4 2 3" xfId="2110"/>
    <cellStyle name="20% - Accent2 2 3 2 4 2 4" xfId="2111"/>
    <cellStyle name="20% - Accent2 2 3 2 4 3" xfId="2112"/>
    <cellStyle name="20% - Accent2 2 3 2 4 3 2" xfId="2113"/>
    <cellStyle name="20% - Accent2 2 3 2 4 4" xfId="2114"/>
    <cellStyle name="20% - Accent2 2 3 2 4 5" xfId="2115"/>
    <cellStyle name="20% - Accent2 2 3 2 5" xfId="2116"/>
    <cellStyle name="20% - Accent2 2 3 2 5 2" xfId="2117"/>
    <cellStyle name="20% - Accent2 2 3 2 5 2 2" xfId="2118"/>
    <cellStyle name="20% - Accent2 2 3 2 5 3" xfId="2119"/>
    <cellStyle name="20% - Accent2 2 3 2 5 4" xfId="2120"/>
    <cellStyle name="20% - Accent2 2 3 2 6" xfId="2121"/>
    <cellStyle name="20% - Accent2 2 3 2 6 2" xfId="2122"/>
    <cellStyle name="20% - Accent2 2 3 2 6 2 2" xfId="2123"/>
    <cellStyle name="20% - Accent2 2 3 2 6 3" xfId="2124"/>
    <cellStyle name="20% - Accent2 2 3 2 6 4" xfId="2125"/>
    <cellStyle name="20% - Accent2 2 3 2 7" xfId="2126"/>
    <cellStyle name="20% - Accent2 2 3 2 7 2" xfId="2127"/>
    <cellStyle name="20% - Accent2 2 3 2 7 2 2" xfId="2128"/>
    <cellStyle name="20% - Accent2 2 3 2 7 3" xfId="2129"/>
    <cellStyle name="20% - Accent2 2 3 2 7 4" xfId="2130"/>
    <cellStyle name="20% - Accent2 2 3 2 8" xfId="2131"/>
    <cellStyle name="20% - Accent2 2 3 2 8 2" xfId="2132"/>
    <cellStyle name="20% - Accent2 2 3 2 9" xfId="2133"/>
    <cellStyle name="20% - Accent2 2 3 3" xfId="2134"/>
    <cellStyle name="20% - Accent2 2 3 3 2" xfId="2135"/>
    <cellStyle name="20% - Accent2 2 3 3 2 2" xfId="2136"/>
    <cellStyle name="20% - Accent2 2 3 3 2 2 2" xfId="2137"/>
    <cellStyle name="20% - Accent2 2 3 3 2 2 2 2" xfId="2138"/>
    <cellStyle name="20% - Accent2 2 3 3 2 2 3" xfId="2139"/>
    <cellStyle name="20% - Accent2 2 3 3 2 2 4" xfId="2140"/>
    <cellStyle name="20% - Accent2 2 3 3 2 3" xfId="2141"/>
    <cellStyle name="20% - Accent2 2 3 3 2 3 2" xfId="2142"/>
    <cellStyle name="20% - Accent2 2 3 3 2 4" xfId="2143"/>
    <cellStyle name="20% - Accent2 2 3 3 2 5" xfId="2144"/>
    <cellStyle name="20% - Accent2 2 3 3 3" xfId="2145"/>
    <cellStyle name="20% - Accent2 2 3 3 3 2" xfId="2146"/>
    <cellStyle name="20% - Accent2 2 3 3 3 2 2" xfId="2147"/>
    <cellStyle name="20% - Accent2 2 3 3 3 2 2 2" xfId="2148"/>
    <cellStyle name="20% - Accent2 2 3 3 3 2 3" xfId="2149"/>
    <cellStyle name="20% - Accent2 2 3 3 3 2 4" xfId="2150"/>
    <cellStyle name="20% - Accent2 2 3 3 3 3" xfId="2151"/>
    <cellStyle name="20% - Accent2 2 3 3 3 3 2" xfId="2152"/>
    <cellStyle name="20% - Accent2 2 3 3 3 4" xfId="2153"/>
    <cellStyle name="20% - Accent2 2 3 3 3 5" xfId="2154"/>
    <cellStyle name="20% - Accent2 2 3 3 4" xfId="2155"/>
    <cellStyle name="20% - Accent2 2 3 3 4 2" xfId="2156"/>
    <cellStyle name="20% - Accent2 2 3 3 4 2 2" xfId="2157"/>
    <cellStyle name="20% - Accent2 2 3 3 4 3" xfId="2158"/>
    <cellStyle name="20% - Accent2 2 3 3 4 4" xfId="2159"/>
    <cellStyle name="20% - Accent2 2 3 3 5" xfId="2160"/>
    <cellStyle name="20% - Accent2 2 3 3 5 2" xfId="2161"/>
    <cellStyle name="20% - Accent2 2 3 3 5 2 2" xfId="2162"/>
    <cellStyle name="20% - Accent2 2 3 3 5 3" xfId="2163"/>
    <cellStyle name="20% - Accent2 2 3 3 5 4" xfId="2164"/>
    <cellStyle name="20% - Accent2 2 3 3 6" xfId="2165"/>
    <cellStyle name="20% - Accent2 2 3 3 6 2" xfId="2166"/>
    <cellStyle name="20% - Accent2 2 3 3 6 2 2" xfId="2167"/>
    <cellStyle name="20% - Accent2 2 3 3 6 3" xfId="2168"/>
    <cellStyle name="20% - Accent2 2 3 3 6 4" xfId="2169"/>
    <cellStyle name="20% - Accent2 2 3 3 7" xfId="2170"/>
    <cellStyle name="20% - Accent2 2 3 3 7 2" xfId="2171"/>
    <cellStyle name="20% - Accent2 2 3 3 8" xfId="2172"/>
    <cellStyle name="20% - Accent2 2 3 3 9" xfId="2173"/>
    <cellStyle name="20% - Accent2 2 3 4" xfId="2174"/>
    <cellStyle name="20% - Accent2 2 3 4 2" xfId="2175"/>
    <cellStyle name="20% - Accent2 2 3 4 2 2" xfId="2176"/>
    <cellStyle name="20% - Accent2 2 3 4 2 2 2" xfId="2177"/>
    <cellStyle name="20% - Accent2 2 3 4 2 3" xfId="2178"/>
    <cellStyle name="20% - Accent2 2 3 4 2 4" xfId="2179"/>
    <cellStyle name="20% - Accent2 2 3 4 3" xfId="2180"/>
    <cellStyle name="20% - Accent2 2 3 4 4" xfId="2181"/>
    <cellStyle name="20% - Accent2 2 3 4 4 2" xfId="2182"/>
    <cellStyle name="20% - Accent2 2 3 4 5" xfId="2183"/>
    <cellStyle name="20% - Accent2 2 3 4 6" xfId="2184"/>
    <cellStyle name="20% - Accent2 2 3 5" xfId="2185"/>
    <cellStyle name="20% - Accent2 2 3 5 2" xfId="2186"/>
    <cellStyle name="20% - Accent2 2 3 5 2 2" xfId="2187"/>
    <cellStyle name="20% - Accent2 2 3 5 2 2 2" xfId="2188"/>
    <cellStyle name="20% - Accent2 2 3 5 2 3" xfId="2189"/>
    <cellStyle name="20% - Accent2 2 3 5 2 4" xfId="2190"/>
    <cellStyle name="20% - Accent2 2 3 5 3" xfId="2191"/>
    <cellStyle name="20% - Accent2 2 3 5 3 2" xfId="2192"/>
    <cellStyle name="20% - Accent2 2 3 5 4" xfId="2193"/>
    <cellStyle name="20% - Accent2 2 3 5 5" xfId="2194"/>
    <cellStyle name="20% - Accent2 2 3 6" xfId="2195"/>
    <cellStyle name="20% - Accent2 2 3 6 2" xfId="2196"/>
    <cellStyle name="20% - Accent2 2 3 6 2 2" xfId="2197"/>
    <cellStyle name="20% - Accent2 2 3 6 3" xfId="2198"/>
    <cellStyle name="20% - Accent2 2 3 6 4" xfId="2199"/>
    <cellStyle name="20% - Accent2 2 3 7" xfId="2200"/>
    <cellStyle name="20% - Accent2 2 3 7 2" xfId="2201"/>
    <cellStyle name="20% - Accent2 2 3 7 2 2" xfId="2202"/>
    <cellStyle name="20% - Accent2 2 3 7 3" xfId="2203"/>
    <cellStyle name="20% - Accent2 2 3 7 4" xfId="2204"/>
    <cellStyle name="20% - Accent2 2 3 8" xfId="2205"/>
    <cellStyle name="20% - Accent2 2 3 8 2" xfId="2206"/>
    <cellStyle name="20% - Accent2 2 3 8 2 2" xfId="2207"/>
    <cellStyle name="20% - Accent2 2 3 8 3" xfId="2208"/>
    <cellStyle name="20% - Accent2 2 3 8 4" xfId="2209"/>
    <cellStyle name="20% - Accent2 2 3 9" xfId="2210"/>
    <cellStyle name="20% - Accent2 2 3 9 2" xfId="2211"/>
    <cellStyle name="20% - Accent2 2 4" xfId="2212"/>
    <cellStyle name="20% - Accent2 2 4 10" xfId="2213"/>
    <cellStyle name="20% - Accent2 2 4 2" xfId="2214"/>
    <cellStyle name="20% - Accent2 2 4 2 2" xfId="2215"/>
    <cellStyle name="20% - Accent2 2 4 2 2 2" xfId="2216"/>
    <cellStyle name="20% - Accent2 2 4 2 2 2 2" xfId="2217"/>
    <cellStyle name="20% - Accent2 2 4 2 2 2 2 2" xfId="2218"/>
    <cellStyle name="20% - Accent2 2 4 2 2 2 3" xfId="2219"/>
    <cellStyle name="20% - Accent2 2 4 2 2 2 4" xfId="2220"/>
    <cellStyle name="20% - Accent2 2 4 2 2 3" xfId="2221"/>
    <cellStyle name="20% - Accent2 2 4 2 2 3 2" xfId="2222"/>
    <cellStyle name="20% - Accent2 2 4 2 2 4" xfId="2223"/>
    <cellStyle name="20% - Accent2 2 4 2 2 5" xfId="2224"/>
    <cellStyle name="20% - Accent2 2 4 2 3" xfId="2225"/>
    <cellStyle name="20% - Accent2 2 4 2 3 2" xfId="2226"/>
    <cellStyle name="20% - Accent2 2 4 2 3 2 2" xfId="2227"/>
    <cellStyle name="20% - Accent2 2 4 2 3 2 2 2" xfId="2228"/>
    <cellStyle name="20% - Accent2 2 4 2 3 2 3" xfId="2229"/>
    <cellStyle name="20% - Accent2 2 4 2 3 2 4" xfId="2230"/>
    <cellStyle name="20% - Accent2 2 4 2 3 3" xfId="2231"/>
    <cellStyle name="20% - Accent2 2 4 2 3 3 2" xfId="2232"/>
    <cellStyle name="20% - Accent2 2 4 2 3 4" xfId="2233"/>
    <cellStyle name="20% - Accent2 2 4 2 3 5" xfId="2234"/>
    <cellStyle name="20% - Accent2 2 4 2 4" xfId="2235"/>
    <cellStyle name="20% - Accent2 2 4 2 4 2" xfId="2236"/>
    <cellStyle name="20% - Accent2 2 4 2 4 2 2" xfId="2237"/>
    <cellStyle name="20% - Accent2 2 4 2 4 3" xfId="2238"/>
    <cellStyle name="20% - Accent2 2 4 2 4 4" xfId="2239"/>
    <cellStyle name="20% - Accent2 2 4 2 5" xfId="2240"/>
    <cellStyle name="20% - Accent2 2 4 2 5 2" xfId="2241"/>
    <cellStyle name="20% - Accent2 2 4 2 5 2 2" xfId="2242"/>
    <cellStyle name="20% - Accent2 2 4 2 5 3" xfId="2243"/>
    <cellStyle name="20% - Accent2 2 4 2 5 4" xfId="2244"/>
    <cellStyle name="20% - Accent2 2 4 2 6" xfId="2245"/>
    <cellStyle name="20% - Accent2 2 4 2 6 2" xfId="2246"/>
    <cellStyle name="20% - Accent2 2 4 2 6 2 2" xfId="2247"/>
    <cellStyle name="20% - Accent2 2 4 2 6 3" xfId="2248"/>
    <cellStyle name="20% - Accent2 2 4 2 6 4" xfId="2249"/>
    <cellStyle name="20% - Accent2 2 4 2 7" xfId="2250"/>
    <cellStyle name="20% - Accent2 2 4 2 7 2" xfId="2251"/>
    <cellStyle name="20% - Accent2 2 4 2 8" xfId="2252"/>
    <cellStyle name="20% - Accent2 2 4 2 9" xfId="2253"/>
    <cellStyle name="20% - Accent2 2 4 3" xfId="2254"/>
    <cellStyle name="20% - Accent2 2 4 3 2" xfId="2255"/>
    <cellStyle name="20% - Accent2 2 4 3 2 2" xfId="2256"/>
    <cellStyle name="20% - Accent2 2 4 3 2 2 2" xfId="2257"/>
    <cellStyle name="20% - Accent2 2 4 3 2 3" xfId="2258"/>
    <cellStyle name="20% - Accent2 2 4 3 2 4" xfId="2259"/>
    <cellStyle name="20% - Accent2 2 4 3 3" xfId="2260"/>
    <cellStyle name="20% - Accent2 2 4 3 3 2" xfId="2261"/>
    <cellStyle name="20% - Accent2 2 4 3 4" xfId="2262"/>
    <cellStyle name="20% - Accent2 2 4 3 5" xfId="2263"/>
    <cellStyle name="20% - Accent2 2 4 4" xfId="2264"/>
    <cellStyle name="20% - Accent2 2 4 4 2" xfId="2265"/>
    <cellStyle name="20% - Accent2 2 4 4 2 2" xfId="2266"/>
    <cellStyle name="20% - Accent2 2 4 4 2 2 2" xfId="2267"/>
    <cellStyle name="20% - Accent2 2 4 4 2 3" xfId="2268"/>
    <cellStyle name="20% - Accent2 2 4 4 2 4" xfId="2269"/>
    <cellStyle name="20% - Accent2 2 4 4 3" xfId="2270"/>
    <cellStyle name="20% - Accent2 2 4 4 3 2" xfId="2271"/>
    <cellStyle name="20% - Accent2 2 4 4 4" xfId="2272"/>
    <cellStyle name="20% - Accent2 2 4 4 5" xfId="2273"/>
    <cellStyle name="20% - Accent2 2 4 5" xfId="2274"/>
    <cellStyle name="20% - Accent2 2 4 5 2" xfId="2275"/>
    <cellStyle name="20% - Accent2 2 4 5 2 2" xfId="2276"/>
    <cellStyle name="20% - Accent2 2 4 5 3" xfId="2277"/>
    <cellStyle name="20% - Accent2 2 4 5 4" xfId="2278"/>
    <cellStyle name="20% - Accent2 2 4 6" xfId="2279"/>
    <cellStyle name="20% - Accent2 2 4 6 2" xfId="2280"/>
    <cellStyle name="20% - Accent2 2 4 6 2 2" xfId="2281"/>
    <cellStyle name="20% - Accent2 2 4 6 3" xfId="2282"/>
    <cellStyle name="20% - Accent2 2 4 6 4" xfId="2283"/>
    <cellStyle name="20% - Accent2 2 4 7" xfId="2284"/>
    <cellStyle name="20% - Accent2 2 4 7 2" xfId="2285"/>
    <cellStyle name="20% - Accent2 2 4 7 2 2" xfId="2286"/>
    <cellStyle name="20% - Accent2 2 4 7 3" xfId="2287"/>
    <cellStyle name="20% - Accent2 2 4 7 4" xfId="2288"/>
    <cellStyle name="20% - Accent2 2 4 8" xfId="2289"/>
    <cellStyle name="20% - Accent2 2 4 8 2" xfId="2290"/>
    <cellStyle name="20% - Accent2 2 4 9" xfId="2291"/>
    <cellStyle name="20% - Accent2 2 5" xfId="2292"/>
    <cellStyle name="20% - Accent2 2 5 2" xfId="2293"/>
    <cellStyle name="20% - Accent2 2 5 2 2" xfId="2294"/>
    <cellStyle name="20% - Accent2 2 5 2 2 2" xfId="2295"/>
    <cellStyle name="20% - Accent2 2 5 2 2 2 2" xfId="2296"/>
    <cellStyle name="20% - Accent2 2 5 2 2 3" xfId="2297"/>
    <cellStyle name="20% - Accent2 2 5 2 2 4" xfId="2298"/>
    <cellStyle name="20% - Accent2 2 5 2 3" xfId="2299"/>
    <cellStyle name="20% - Accent2 2 5 2 3 2" xfId="2300"/>
    <cellStyle name="20% - Accent2 2 5 2 4" xfId="2301"/>
    <cellStyle name="20% - Accent2 2 5 2 5" xfId="2302"/>
    <cellStyle name="20% - Accent2 2 5 3" xfId="2303"/>
    <cellStyle name="20% - Accent2 2 5 3 2" xfId="2304"/>
    <cellStyle name="20% - Accent2 2 5 3 2 2" xfId="2305"/>
    <cellStyle name="20% - Accent2 2 5 3 2 2 2" xfId="2306"/>
    <cellStyle name="20% - Accent2 2 5 3 2 3" xfId="2307"/>
    <cellStyle name="20% - Accent2 2 5 3 2 4" xfId="2308"/>
    <cellStyle name="20% - Accent2 2 5 3 3" xfId="2309"/>
    <cellStyle name="20% - Accent2 2 5 3 3 2" xfId="2310"/>
    <cellStyle name="20% - Accent2 2 5 3 4" xfId="2311"/>
    <cellStyle name="20% - Accent2 2 5 3 5" xfId="2312"/>
    <cellStyle name="20% - Accent2 2 5 4" xfId="2313"/>
    <cellStyle name="20% - Accent2 2 5 4 2" xfId="2314"/>
    <cellStyle name="20% - Accent2 2 5 4 2 2" xfId="2315"/>
    <cellStyle name="20% - Accent2 2 5 4 3" xfId="2316"/>
    <cellStyle name="20% - Accent2 2 5 4 4" xfId="2317"/>
    <cellStyle name="20% - Accent2 2 5 5" xfId="2318"/>
    <cellStyle name="20% - Accent2 2 5 5 2" xfId="2319"/>
    <cellStyle name="20% - Accent2 2 5 5 2 2" xfId="2320"/>
    <cellStyle name="20% - Accent2 2 5 5 3" xfId="2321"/>
    <cellStyle name="20% - Accent2 2 5 5 4" xfId="2322"/>
    <cellStyle name="20% - Accent2 2 5 6" xfId="2323"/>
    <cellStyle name="20% - Accent2 2 5 6 2" xfId="2324"/>
    <cellStyle name="20% - Accent2 2 5 6 2 2" xfId="2325"/>
    <cellStyle name="20% - Accent2 2 5 6 3" xfId="2326"/>
    <cellStyle name="20% - Accent2 2 5 6 4" xfId="2327"/>
    <cellStyle name="20% - Accent2 2 5 7" xfId="2328"/>
    <cellStyle name="20% - Accent2 2 5 7 2" xfId="2329"/>
    <cellStyle name="20% - Accent2 2 5 8" xfId="2330"/>
    <cellStyle name="20% - Accent2 2 5 9" xfId="2331"/>
    <cellStyle name="20% - Accent2 2 6" xfId="2332"/>
    <cellStyle name="20% - Accent2 2 7" xfId="2333"/>
    <cellStyle name="20% - Accent2 2 8" xfId="2334"/>
    <cellStyle name="20% - Accent2 2 8 2" xfId="2335"/>
    <cellStyle name="20% - Accent2 2 9" xfId="2336"/>
    <cellStyle name="20% - Accent2 2 9 2" xfId="2337"/>
    <cellStyle name="20% - Accent2 2 9 2 2" xfId="2338"/>
    <cellStyle name="20% - Accent2 2 9 2 2 2" xfId="2339"/>
    <cellStyle name="20% - Accent2 2 9 2 3" xfId="2340"/>
    <cellStyle name="20% - Accent2 2 9 2 4" xfId="2341"/>
    <cellStyle name="20% - Accent2 2 9 3" xfId="2342"/>
    <cellStyle name="20% - Accent2 2 9 4" xfId="2343"/>
    <cellStyle name="20% - Accent2 2 9 4 2" xfId="2344"/>
    <cellStyle name="20% - Accent2 2 9 5" xfId="2345"/>
    <cellStyle name="20% - Accent2 2 9 6" xfId="2346"/>
    <cellStyle name="20% - Accent2 3" xfId="101"/>
    <cellStyle name="20% - Accent2 3 2" xfId="2348"/>
    <cellStyle name="20% - Accent2 3 2 10" xfId="2349"/>
    <cellStyle name="20% - Accent2 3 2 10 2" xfId="2350"/>
    <cellStyle name="20% - Accent2 3 2 11" xfId="2351"/>
    <cellStyle name="20% - Accent2 3 2 12" xfId="2352"/>
    <cellStyle name="20% - Accent2 3 2 2" xfId="2353"/>
    <cellStyle name="20% - Accent2 3 2 2 10" xfId="2354"/>
    <cellStyle name="20% - Accent2 3 2 2 11" xfId="2355"/>
    <cellStyle name="20% - Accent2 3 2 2 2" xfId="2356"/>
    <cellStyle name="20% - Accent2 3 2 2 2 10" xfId="2357"/>
    <cellStyle name="20% - Accent2 3 2 2 2 2" xfId="2358"/>
    <cellStyle name="20% - Accent2 3 2 2 2 2 2" xfId="2359"/>
    <cellStyle name="20% - Accent2 3 2 2 2 2 2 2" xfId="2360"/>
    <cellStyle name="20% - Accent2 3 2 2 2 2 2 2 2" xfId="2361"/>
    <cellStyle name="20% - Accent2 3 2 2 2 2 2 2 2 2" xfId="2362"/>
    <cellStyle name="20% - Accent2 3 2 2 2 2 2 2 3" xfId="2363"/>
    <cellStyle name="20% - Accent2 3 2 2 2 2 2 2 4" xfId="2364"/>
    <cellStyle name="20% - Accent2 3 2 2 2 2 2 3" xfId="2365"/>
    <cellStyle name="20% - Accent2 3 2 2 2 2 2 3 2" xfId="2366"/>
    <cellStyle name="20% - Accent2 3 2 2 2 2 2 4" xfId="2367"/>
    <cellStyle name="20% - Accent2 3 2 2 2 2 2 5" xfId="2368"/>
    <cellStyle name="20% - Accent2 3 2 2 2 2 3" xfId="2369"/>
    <cellStyle name="20% - Accent2 3 2 2 2 2 3 2" xfId="2370"/>
    <cellStyle name="20% - Accent2 3 2 2 2 2 3 2 2" xfId="2371"/>
    <cellStyle name="20% - Accent2 3 2 2 2 2 3 2 2 2" xfId="2372"/>
    <cellStyle name="20% - Accent2 3 2 2 2 2 3 2 3" xfId="2373"/>
    <cellStyle name="20% - Accent2 3 2 2 2 2 3 2 4" xfId="2374"/>
    <cellStyle name="20% - Accent2 3 2 2 2 2 3 3" xfId="2375"/>
    <cellStyle name="20% - Accent2 3 2 2 2 2 3 3 2" xfId="2376"/>
    <cellStyle name="20% - Accent2 3 2 2 2 2 3 4" xfId="2377"/>
    <cellStyle name="20% - Accent2 3 2 2 2 2 3 5" xfId="2378"/>
    <cellStyle name="20% - Accent2 3 2 2 2 2 4" xfId="2379"/>
    <cellStyle name="20% - Accent2 3 2 2 2 2 4 2" xfId="2380"/>
    <cellStyle name="20% - Accent2 3 2 2 2 2 4 2 2" xfId="2381"/>
    <cellStyle name="20% - Accent2 3 2 2 2 2 4 3" xfId="2382"/>
    <cellStyle name="20% - Accent2 3 2 2 2 2 4 4" xfId="2383"/>
    <cellStyle name="20% - Accent2 3 2 2 2 2 5" xfId="2384"/>
    <cellStyle name="20% - Accent2 3 2 2 2 2 5 2" xfId="2385"/>
    <cellStyle name="20% - Accent2 3 2 2 2 2 5 2 2" xfId="2386"/>
    <cellStyle name="20% - Accent2 3 2 2 2 2 5 3" xfId="2387"/>
    <cellStyle name="20% - Accent2 3 2 2 2 2 5 4" xfId="2388"/>
    <cellStyle name="20% - Accent2 3 2 2 2 2 6" xfId="2389"/>
    <cellStyle name="20% - Accent2 3 2 2 2 2 6 2" xfId="2390"/>
    <cellStyle name="20% - Accent2 3 2 2 2 2 6 2 2" xfId="2391"/>
    <cellStyle name="20% - Accent2 3 2 2 2 2 6 3" xfId="2392"/>
    <cellStyle name="20% - Accent2 3 2 2 2 2 6 4" xfId="2393"/>
    <cellStyle name="20% - Accent2 3 2 2 2 2 7" xfId="2394"/>
    <cellStyle name="20% - Accent2 3 2 2 2 2 7 2" xfId="2395"/>
    <cellStyle name="20% - Accent2 3 2 2 2 2 8" xfId="2396"/>
    <cellStyle name="20% - Accent2 3 2 2 2 2 9" xfId="2397"/>
    <cellStyle name="20% - Accent2 3 2 2 2 3" xfId="2398"/>
    <cellStyle name="20% - Accent2 3 2 2 2 3 2" xfId="2399"/>
    <cellStyle name="20% - Accent2 3 2 2 2 3 2 2" xfId="2400"/>
    <cellStyle name="20% - Accent2 3 2 2 2 3 2 2 2" xfId="2401"/>
    <cellStyle name="20% - Accent2 3 2 2 2 3 2 3" xfId="2402"/>
    <cellStyle name="20% - Accent2 3 2 2 2 3 2 4" xfId="2403"/>
    <cellStyle name="20% - Accent2 3 2 2 2 3 3" xfId="2404"/>
    <cellStyle name="20% - Accent2 3 2 2 2 3 3 2" xfId="2405"/>
    <cellStyle name="20% - Accent2 3 2 2 2 3 4" xfId="2406"/>
    <cellStyle name="20% - Accent2 3 2 2 2 3 5" xfId="2407"/>
    <cellStyle name="20% - Accent2 3 2 2 2 4" xfId="2408"/>
    <cellStyle name="20% - Accent2 3 2 2 2 4 2" xfId="2409"/>
    <cellStyle name="20% - Accent2 3 2 2 2 4 2 2" xfId="2410"/>
    <cellStyle name="20% - Accent2 3 2 2 2 4 2 2 2" xfId="2411"/>
    <cellStyle name="20% - Accent2 3 2 2 2 4 2 3" xfId="2412"/>
    <cellStyle name="20% - Accent2 3 2 2 2 4 2 4" xfId="2413"/>
    <cellStyle name="20% - Accent2 3 2 2 2 4 3" xfId="2414"/>
    <cellStyle name="20% - Accent2 3 2 2 2 4 3 2" xfId="2415"/>
    <cellStyle name="20% - Accent2 3 2 2 2 4 4" xfId="2416"/>
    <cellStyle name="20% - Accent2 3 2 2 2 4 5" xfId="2417"/>
    <cellStyle name="20% - Accent2 3 2 2 2 5" xfId="2418"/>
    <cellStyle name="20% - Accent2 3 2 2 2 5 2" xfId="2419"/>
    <cellStyle name="20% - Accent2 3 2 2 2 5 2 2" xfId="2420"/>
    <cellStyle name="20% - Accent2 3 2 2 2 5 3" xfId="2421"/>
    <cellStyle name="20% - Accent2 3 2 2 2 5 4" xfId="2422"/>
    <cellStyle name="20% - Accent2 3 2 2 2 6" xfId="2423"/>
    <cellStyle name="20% - Accent2 3 2 2 2 6 2" xfId="2424"/>
    <cellStyle name="20% - Accent2 3 2 2 2 6 2 2" xfId="2425"/>
    <cellStyle name="20% - Accent2 3 2 2 2 6 3" xfId="2426"/>
    <cellStyle name="20% - Accent2 3 2 2 2 6 4" xfId="2427"/>
    <cellStyle name="20% - Accent2 3 2 2 2 7" xfId="2428"/>
    <cellStyle name="20% - Accent2 3 2 2 2 7 2" xfId="2429"/>
    <cellStyle name="20% - Accent2 3 2 2 2 7 2 2" xfId="2430"/>
    <cellStyle name="20% - Accent2 3 2 2 2 7 3" xfId="2431"/>
    <cellStyle name="20% - Accent2 3 2 2 2 7 4" xfId="2432"/>
    <cellStyle name="20% - Accent2 3 2 2 2 8" xfId="2433"/>
    <cellStyle name="20% - Accent2 3 2 2 2 8 2" xfId="2434"/>
    <cellStyle name="20% - Accent2 3 2 2 2 9" xfId="2435"/>
    <cellStyle name="20% - Accent2 3 2 2 3" xfId="2436"/>
    <cellStyle name="20% - Accent2 3 2 2 3 2" xfId="2437"/>
    <cellStyle name="20% - Accent2 3 2 2 3 2 2" xfId="2438"/>
    <cellStyle name="20% - Accent2 3 2 2 3 2 2 2" xfId="2439"/>
    <cellStyle name="20% - Accent2 3 2 2 3 2 2 2 2" xfId="2440"/>
    <cellStyle name="20% - Accent2 3 2 2 3 2 2 3" xfId="2441"/>
    <cellStyle name="20% - Accent2 3 2 2 3 2 2 4" xfId="2442"/>
    <cellStyle name="20% - Accent2 3 2 2 3 2 3" xfId="2443"/>
    <cellStyle name="20% - Accent2 3 2 2 3 2 3 2" xfId="2444"/>
    <cellStyle name="20% - Accent2 3 2 2 3 2 4" xfId="2445"/>
    <cellStyle name="20% - Accent2 3 2 2 3 2 5" xfId="2446"/>
    <cellStyle name="20% - Accent2 3 2 2 3 3" xfId="2447"/>
    <cellStyle name="20% - Accent2 3 2 2 3 3 2" xfId="2448"/>
    <cellStyle name="20% - Accent2 3 2 2 3 3 2 2" xfId="2449"/>
    <cellStyle name="20% - Accent2 3 2 2 3 3 2 2 2" xfId="2450"/>
    <cellStyle name="20% - Accent2 3 2 2 3 3 2 3" xfId="2451"/>
    <cellStyle name="20% - Accent2 3 2 2 3 3 2 4" xfId="2452"/>
    <cellStyle name="20% - Accent2 3 2 2 3 3 3" xfId="2453"/>
    <cellStyle name="20% - Accent2 3 2 2 3 3 3 2" xfId="2454"/>
    <cellStyle name="20% - Accent2 3 2 2 3 3 4" xfId="2455"/>
    <cellStyle name="20% - Accent2 3 2 2 3 3 5" xfId="2456"/>
    <cellStyle name="20% - Accent2 3 2 2 3 4" xfId="2457"/>
    <cellStyle name="20% - Accent2 3 2 2 3 4 2" xfId="2458"/>
    <cellStyle name="20% - Accent2 3 2 2 3 4 2 2" xfId="2459"/>
    <cellStyle name="20% - Accent2 3 2 2 3 4 3" xfId="2460"/>
    <cellStyle name="20% - Accent2 3 2 2 3 4 4" xfId="2461"/>
    <cellStyle name="20% - Accent2 3 2 2 3 5" xfId="2462"/>
    <cellStyle name="20% - Accent2 3 2 2 3 5 2" xfId="2463"/>
    <cellStyle name="20% - Accent2 3 2 2 3 5 2 2" xfId="2464"/>
    <cellStyle name="20% - Accent2 3 2 2 3 5 3" xfId="2465"/>
    <cellStyle name="20% - Accent2 3 2 2 3 5 4" xfId="2466"/>
    <cellStyle name="20% - Accent2 3 2 2 3 6" xfId="2467"/>
    <cellStyle name="20% - Accent2 3 2 2 3 6 2" xfId="2468"/>
    <cellStyle name="20% - Accent2 3 2 2 3 6 2 2" xfId="2469"/>
    <cellStyle name="20% - Accent2 3 2 2 3 6 3" xfId="2470"/>
    <cellStyle name="20% - Accent2 3 2 2 3 6 4" xfId="2471"/>
    <cellStyle name="20% - Accent2 3 2 2 3 7" xfId="2472"/>
    <cellStyle name="20% - Accent2 3 2 2 3 7 2" xfId="2473"/>
    <cellStyle name="20% - Accent2 3 2 2 3 8" xfId="2474"/>
    <cellStyle name="20% - Accent2 3 2 2 3 9" xfId="2475"/>
    <cellStyle name="20% - Accent2 3 2 2 4" xfId="2476"/>
    <cellStyle name="20% - Accent2 3 2 2 4 2" xfId="2477"/>
    <cellStyle name="20% - Accent2 3 2 2 4 2 2" xfId="2478"/>
    <cellStyle name="20% - Accent2 3 2 2 4 2 2 2" xfId="2479"/>
    <cellStyle name="20% - Accent2 3 2 2 4 2 3" xfId="2480"/>
    <cellStyle name="20% - Accent2 3 2 2 4 2 4" xfId="2481"/>
    <cellStyle name="20% - Accent2 3 2 2 4 3" xfId="2482"/>
    <cellStyle name="20% - Accent2 3 2 2 4 3 2" xfId="2483"/>
    <cellStyle name="20% - Accent2 3 2 2 4 4" xfId="2484"/>
    <cellStyle name="20% - Accent2 3 2 2 4 5" xfId="2485"/>
    <cellStyle name="20% - Accent2 3 2 2 5" xfId="2486"/>
    <cellStyle name="20% - Accent2 3 2 2 5 2" xfId="2487"/>
    <cellStyle name="20% - Accent2 3 2 2 5 2 2" xfId="2488"/>
    <cellStyle name="20% - Accent2 3 2 2 5 2 2 2" xfId="2489"/>
    <cellStyle name="20% - Accent2 3 2 2 5 2 3" xfId="2490"/>
    <cellStyle name="20% - Accent2 3 2 2 5 2 4" xfId="2491"/>
    <cellStyle name="20% - Accent2 3 2 2 5 3" xfId="2492"/>
    <cellStyle name="20% - Accent2 3 2 2 5 3 2" xfId="2493"/>
    <cellStyle name="20% - Accent2 3 2 2 5 4" xfId="2494"/>
    <cellStyle name="20% - Accent2 3 2 2 5 5" xfId="2495"/>
    <cellStyle name="20% - Accent2 3 2 2 6" xfId="2496"/>
    <cellStyle name="20% - Accent2 3 2 2 6 2" xfId="2497"/>
    <cellStyle name="20% - Accent2 3 2 2 6 2 2" xfId="2498"/>
    <cellStyle name="20% - Accent2 3 2 2 6 3" xfId="2499"/>
    <cellStyle name="20% - Accent2 3 2 2 6 4" xfId="2500"/>
    <cellStyle name="20% - Accent2 3 2 2 7" xfId="2501"/>
    <cellStyle name="20% - Accent2 3 2 2 7 2" xfId="2502"/>
    <cellStyle name="20% - Accent2 3 2 2 7 2 2" xfId="2503"/>
    <cellStyle name="20% - Accent2 3 2 2 7 3" xfId="2504"/>
    <cellStyle name="20% - Accent2 3 2 2 7 4" xfId="2505"/>
    <cellStyle name="20% - Accent2 3 2 2 8" xfId="2506"/>
    <cellStyle name="20% - Accent2 3 2 2 8 2" xfId="2507"/>
    <cellStyle name="20% - Accent2 3 2 2 8 2 2" xfId="2508"/>
    <cellStyle name="20% - Accent2 3 2 2 8 3" xfId="2509"/>
    <cellStyle name="20% - Accent2 3 2 2 8 4" xfId="2510"/>
    <cellStyle name="20% - Accent2 3 2 2 9" xfId="2511"/>
    <cellStyle name="20% - Accent2 3 2 2 9 2" xfId="2512"/>
    <cellStyle name="20% - Accent2 3 2 3" xfId="2513"/>
    <cellStyle name="20% - Accent2 3 2 3 10" xfId="2514"/>
    <cellStyle name="20% - Accent2 3 2 3 2" xfId="2515"/>
    <cellStyle name="20% - Accent2 3 2 3 2 2" xfId="2516"/>
    <cellStyle name="20% - Accent2 3 2 3 2 2 2" xfId="2517"/>
    <cellStyle name="20% - Accent2 3 2 3 2 2 2 2" xfId="2518"/>
    <cellStyle name="20% - Accent2 3 2 3 2 2 2 2 2" xfId="2519"/>
    <cellStyle name="20% - Accent2 3 2 3 2 2 2 3" xfId="2520"/>
    <cellStyle name="20% - Accent2 3 2 3 2 2 2 4" xfId="2521"/>
    <cellStyle name="20% - Accent2 3 2 3 2 2 3" xfId="2522"/>
    <cellStyle name="20% - Accent2 3 2 3 2 2 3 2" xfId="2523"/>
    <cellStyle name="20% - Accent2 3 2 3 2 2 4" xfId="2524"/>
    <cellStyle name="20% - Accent2 3 2 3 2 2 5" xfId="2525"/>
    <cellStyle name="20% - Accent2 3 2 3 2 3" xfId="2526"/>
    <cellStyle name="20% - Accent2 3 2 3 2 3 2" xfId="2527"/>
    <cellStyle name="20% - Accent2 3 2 3 2 3 2 2" xfId="2528"/>
    <cellStyle name="20% - Accent2 3 2 3 2 3 2 2 2" xfId="2529"/>
    <cellStyle name="20% - Accent2 3 2 3 2 3 2 3" xfId="2530"/>
    <cellStyle name="20% - Accent2 3 2 3 2 3 2 4" xfId="2531"/>
    <cellStyle name="20% - Accent2 3 2 3 2 3 3" xfId="2532"/>
    <cellStyle name="20% - Accent2 3 2 3 2 3 3 2" xfId="2533"/>
    <cellStyle name="20% - Accent2 3 2 3 2 3 4" xfId="2534"/>
    <cellStyle name="20% - Accent2 3 2 3 2 3 5" xfId="2535"/>
    <cellStyle name="20% - Accent2 3 2 3 2 4" xfId="2536"/>
    <cellStyle name="20% - Accent2 3 2 3 2 4 2" xfId="2537"/>
    <cellStyle name="20% - Accent2 3 2 3 2 4 2 2" xfId="2538"/>
    <cellStyle name="20% - Accent2 3 2 3 2 4 3" xfId="2539"/>
    <cellStyle name="20% - Accent2 3 2 3 2 4 4" xfId="2540"/>
    <cellStyle name="20% - Accent2 3 2 3 2 5" xfId="2541"/>
    <cellStyle name="20% - Accent2 3 2 3 2 5 2" xfId="2542"/>
    <cellStyle name="20% - Accent2 3 2 3 2 5 2 2" xfId="2543"/>
    <cellStyle name="20% - Accent2 3 2 3 2 5 3" xfId="2544"/>
    <cellStyle name="20% - Accent2 3 2 3 2 5 4" xfId="2545"/>
    <cellStyle name="20% - Accent2 3 2 3 2 6" xfId="2546"/>
    <cellStyle name="20% - Accent2 3 2 3 2 6 2" xfId="2547"/>
    <cellStyle name="20% - Accent2 3 2 3 2 6 2 2" xfId="2548"/>
    <cellStyle name="20% - Accent2 3 2 3 2 6 3" xfId="2549"/>
    <cellStyle name="20% - Accent2 3 2 3 2 6 4" xfId="2550"/>
    <cellStyle name="20% - Accent2 3 2 3 2 7" xfId="2551"/>
    <cellStyle name="20% - Accent2 3 2 3 2 7 2" xfId="2552"/>
    <cellStyle name="20% - Accent2 3 2 3 2 8" xfId="2553"/>
    <cellStyle name="20% - Accent2 3 2 3 2 9" xfId="2554"/>
    <cellStyle name="20% - Accent2 3 2 3 3" xfId="2555"/>
    <cellStyle name="20% - Accent2 3 2 3 3 2" xfId="2556"/>
    <cellStyle name="20% - Accent2 3 2 3 3 2 2" xfId="2557"/>
    <cellStyle name="20% - Accent2 3 2 3 3 2 2 2" xfId="2558"/>
    <cellStyle name="20% - Accent2 3 2 3 3 2 3" xfId="2559"/>
    <cellStyle name="20% - Accent2 3 2 3 3 2 4" xfId="2560"/>
    <cellStyle name="20% - Accent2 3 2 3 3 3" xfId="2561"/>
    <cellStyle name="20% - Accent2 3 2 3 3 3 2" xfId="2562"/>
    <cellStyle name="20% - Accent2 3 2 3 3 4" xfId="2563"/>
    <cellStyle name="20% - Accent2 3 2 3 3 5" xfId="2564"/>
    <cellStyle name="20% - Accent2 3 2 3 4" xfId="2565"/>
    <cellStyle name="20% - Accent2 3 2 3 4 2" xfId="2566"/>
    <cellStyle name="20% - Accent2 3 2 3 4 2 2" xfId="2567"/>
    <cellStyle name="20% - Accent2 3 2 3 4 2 2 2" xfId="2568"/>
    <cellStyle name="20% - Accent2 3 2 3 4 2 3" xfId="2569"/>
    <cellStyle name="20% - Accent2 3 2 3 4 2 4" xfId="2570"/>
    <cellStyle name="20% - Accent2 3 2 3 4 3" xfId="2571"/>
    <cellStyle name="20% - Accent2 3 2 3 4 3 2" xfId="2572"/>
    <cellStyle name="20% - Accent2 3 2 3 4 4" xfId="2573"/>
    <cellStyle name="20% - Accent2 3 2 3 4 5" xfId="2574"/>
    <cellStyle name="20% - Accent2 3 2 3 5" xfId="2575"/>
    <cellStyle name="20% - Accent2 3 2 3 5 2" xfId="2576"/>
    <cellStyle name="20% - Accent2 3 2 3 5 2 2" xfId="2577"/>
    <cellStyle name="20% - Accent2 3 2 3 5 3" xfId="2578"/>
    <cellStyle name="20% - Accent2 3 2 3 5 4" xfId="2579"/>
    <cellStyle name="20% - Accent2 3 2 3 6" xfId="2580"/>
    <cellStyle name="20% - Accent2 3 2 3 6 2" xfId="2581"/>
    <cellStyle name="20% - Accent2 3 2 3 6 2 2" xfId="2582"/>
    <cellStyle name="20% - Accent2 3 2 3 6 3" xfId="2583"/>
    <cellStyle name="20% - Accent2 3 2 3 6 4" xfId="2584"/>
    <cellStyle name="20% - Accent2 3 2 3 7" xfId="2585"/>
    <cellStyle name="20% - Accent2 3 2 3 7 2" xfId="2586"/>
    <cellStyle name="20% - Accent2 3 2 3 7 2 2" xfId="2587"/>
    <cellStyle name="20% - Accent2 3 2 3 7 3" xfId="2588"/>
    <cellStyle name="20% - Accent2 3 2 3 7 4" xfId="2589"/>
    <cellStyle name="20% - Accent2 3 2 3 8" xfId="2590"/>
    <cellStyle name="20% - Accent2 3 2 3 8 2" xfId="2591"/>
    <cellStyle name="20% - Accent2 3 2 3 9" xfId="2592"/>
    <cellStyle name="20% - Accent2 3 2 4" xfId="2593"/>
    <cellStyle name="20% - Accent2 3 2 4 2" xfId="2594"/>
    <cellStyle name="20% - Accent2 3 2 4 2 2" xfId="2595"/>
    <cellStyle name="20% - Accent2 3 2 4 2 2 2" xfId="2596"/>
    <cellStyle name="20% - Accent2 3 2 4 2 2 2 2" xfId="2597"/>
    <cellStyle name="20% - Accent2 3 2 4 2 2 3" xfId="2598"/>
    <cellStyle name="20% - Accent2 3 2 4 2 2 4" xfId="2599"/>
    <cellStyle name="20% - Accent2 3 2 4 2 3" xfId="2600"/>
    <cellStyle name="20% - Accent2 3 2 4 2 3 2" xfId="2601"/>
    <cellStyle name="20% - Accent2 3 2 4 2 4" xfId="2602"/>
    <cellStyle name="20% - Accent2 3 2 4 2 5" xfId="2603"/>
    <cellStyle name="20% - Accent2 3 2 4 3" xfId="2604"/>
    <cellStyle name="20% - Accent2 3 2 4 3 2" xfId="2605"/>
    <cellStyle name="20% - Accent2 3 2 4 3 2 2" xfId="2606"/>
    <cellStyle name="20% - Accent2 3 2 4 3 2 2 2" xfId="2607"/>
    <cellStyle name="20% - Accent2 3 2 4 3 2 3" xfId="2608"/>
    <cellStyle name="20% - Accent2 3 2 4 3 2 4" xfId="2609"/>
    <cellStyle name="20% - Accent2 3 2 4 3 3" xfId="2610"/>
    <cellStyle name="20% - Accent2 3 2 4 3 3 2" xfId="2611"/>
    <cellStyle name="20% - Accent2 3 2 4 3 4" xfId="2612"/>
    <cellStyle name="20% - Accent2 3 2 4 3 5" xfId="2613"/>
    <cellStyle name="20% - Accent2 3 2 4 4" xfId="2614"/>
    <cellStyle name="20% - Accent2 3 2 4 4 2" xfId="2615"/>
    <cellStyle name="20% - Accent2 3 2 4 4 2 2" xfId="2616"/>
    <cellStyle name="20% - Accent2 3 2 4 4 3" xfId="2617"/>
    <cellStyle name="20% - Accent2 3 2 4 4 4" xfId="2618"/>
    <cellStyle name="20% - Accent2 3 2 4 5" xfId="2619"/>
    <cellStyle name="20% - Accent2 3 2 4 5 2" xfId="2620"/>
    <cellStyle name="20% - Accent2 3 2 4 5 2 2" xfId="2621"/>
    <cellStyle name="20% - Accent2 3 2 4 5 3" xfId="2622"/>
    <cellStyle name="20% - Accent2 3 2 4 5 4" xfId="2623"/>
    <cellStyle name="20% - Accent2 3 2 4 6" xfId="2624"/>
    <cellStyle name="20% - Accent2 3 2 4 6 2" xfId="2625"/>
    <cellStyle name="20% - Accent2 3 2 4 6 2 2" xfId="2626"/>
    <cellStyle name="20% - Accent2 3 2 4 6 3" xfId="2627"/>
    <cellStyle name="20% - Accent2 3 2 4 6 4" xfId="2628"/>
    <cellStyle name="20% - Accent2 3 2 4 7" xfId="2629"/>
    <cellStyle name="20% - Accent2 3 2 4 7 2" xfId="2630"/>
    <cellStyle name="20% - Accent2 3 2 4 8" xfId="2631"/>
    <cellStyle name="20% - Accent2 3 2 4 9" xfId="2632"/>
    <cellStyle name="20% - Accent2 3 2 5" xfId="2633"/>
    <cellStyle name="20% - Accent2 3 2 5 2" xfId="2634"/>
    <cellStyle name="20% - Accent2 3 2 5 2 2" xfId="2635"/>
    <cellStyle name="20% - Accent2 3 2 5 2 2 2" xfId="2636"/>
    <cellStyle name="20% - Accent2 3 2 5 2 3" xfId="2637"/>
    <cellStyle name="20% - Accent2 3 2 5 2 4" xfId="2638"/>
    <cellStyle name="20% - Accent2 3 2 5 3" xfId="2639"/>
    <cellStyle name="20% - Accent2 3 2 5 3 2" xfId="2640"/>
    <cellStyle name="20% - Accent2 3 2 5 4" xfId="2641"/>
    <cellStyle name="20% - Accent2 3 2 5 5" xfId="2642"/>
    <cellStyle name="20% - Accent2 3 2 6" xfId="2643"/>
    <cellStyle name="20% - Accent2 3 2 6 2" xfId="2644"/>
    <cellStyle name="20% - Accent2 3 2 6 2 2" xfId="2645"/>
    <cellStyle name="20% - Accent2 3 2 6 2 2 2" xfId="2646"/>
    <cellStyle name="20% - Accent2 3 2 6 2 3" xfId="2647"/>
    <cellStyle name="20% - Accent2 3 2 6 2 4" xfId="2648"/>
    <cellStyle name="20% - Accent2 3 2 6 3" xfId="2649"/>
    <cellStyle name="20% - Accent2 3 2 6 3 2" xfId="2650"/>
    <cellStyle name="20% - Accent2 3 2 6 4" xfId="2651"/>
    <cellStyle name="20% - Accent2 3 2 6 5" xfId="2652"/>
    <cellStyle name="20% - Accent2 3 2 7" xfId="2653"/>
    <cellStyle name="20% - Accent2 3 2 7 2" xfId="2654"/>
    <cellStyle name="20% - Accent2 3 2 7 2 2" xfId="2655"/>
    <cellStyle name="20% - Accent2 3 2 7 3" xfId="2656"/>
    <cellStyle name="20% - Accent2 3 2 7 4" xfId="2657"/>
    <cellStyle name="20% - Accent2 3 2 8" xfId="2658"/>
    <cellStyle name="20% - Accent2 3 2 8 2" xfId="2659"/>
    <cellStyle name="20% - Accent2 3 2 8 2 2" xfId="2660"/>
    <cellStyle name="20% - Accent2 3 2 8 3" xfId="2661"/>
    <cellStyle name="20% - Accent2 3 2 8 4" xfId="2662"/>
    <cellStyle name="20% - Accent2 3 2 9" xfId="2663"/>
    <cellStyle name="20% - Accent2 3 2 9 2" xfId="2664"/>
    <cellStyle name="20% - Accent2 3 2 9 2 2" xfId="2665"/>
    <cellStyle name="20% - Accent2 3 2 9 3" xfId="2666"/>
    <cellStyle name="20% - Accent2 3 2 9 4" xfId="2667"/>
    <cellStyle name="20% - Accent2 3 3" xfId="2668"/>
    <cellStyle name="20% - Accent2 3 4" xfId="2669"/>
    <cellStyle name="20% - Accent2 3 5" xfId="2670"/>
    <cellStyle name="20% - Accent2 3 6" xfId="35495"/>
    <cellStyle name="20% - Accent2 3 7" xfId="2347"/>
    <cellStyle name="20% - Accent2 4" xfId="210"/>
    <cellStyle name="20% - Accent2 4 10" xfId="2672"/>
    <cellStyle name="20% - Accent2 4 10 2" xfId="2673"/>
    <cellStyle name="20% - Accent2 4 11" xfId="2674"/>
    <cellStyle name="20% - Accent2 4 12" xfId="2675"/>
    <cellStyle name="20% - Accent2 4 13" xfId="35496"/>
    <cellStyle name="20% - Accent2 4 14" xfId="2671"/>
    <cellStyle name="20% - Accent2 4 2" xfId="2676"/>
    <cellStyle name="20% - Accent2 4 2 10" xfId="2677"/>
    <cellStyle name="20% - Accent2 4 2 11" xfId="2678"/>
    <cellStyle name="20% - Accent2 4 2 2" xfId="2679"/>
    <cellStyle name="20% - Accent2 4 2 2 10" xfId="2680"/>
    <cellStyle name="20% - Accent2 4 2 2 2" xfId="2681"/>
    <cellStyle name="20% - Accent2 4 2 2 2 2" xfId="2682"/>
    <cellStyle name="20% - Accent2 4 2 2 2 2 2" xfId="2683"/>
    <cellStyle name="20% - Accent2 4 2 2 2 2 2 2" xfId="2684"/>
    <cellStyle name="20% - Accent2 4 2 2 2 2 2 2 2" xfId="2685"/>
    <cellStyle name="20% - Accent2 4 2 2 2 2 2 3" xfId="2686"/>
    <cellStyle name="20% - Accent2 4 2 2 2 2 2 4" xfId="2687"/>
    <cellStyle name="20% - Accent2 4 2 2 2 2 3" xfId="2688"/>
    <cellStyle name="20% - Accent2 4 2 2 2 2 3 2" xfId="2689"/>
    <cellStyle name="20% - Accent2 4 2 2 2 2 4" xfId="2690"/>
    <cellStyle name="20% - Accent2 4 2 2 2 2 5" xfId="2691"/>
    <cellStyle name="20% - Accent2 4 2 2 2 3" xfId="2692"/>
    <cellStyle name="20% - Accent2 4 2 2 2 3 2" xfId="2693"/>
    <cellStyle name="20% - Accent2 4 2 2 2 3 2 2" xfId="2694"/>
    <cellStyle name="20% - Accent2 4 2 2 2 3 2 2 2" xfId="2695"/>
    <cellStyle name="20% - Accent2 4 2 2 2 3 2 3" xfId="2696"/>
    <cellStyle name="20% - Accent2 4 2 2 2 3 2 4" xfId="2697"/>
    <cellStyle name="20% - Accent2 4 2 2 2 3 3" xfId="2698"/>
    <cellStyle name="20% - Accent2 4 2 2 2 3 3 2" xfId="2699"/>
    <cellStyle name="20% - Accent2 4 2 2 2 3 4" xfId="2700"/>
    <cellStyle name="20% - Accent2 4 2 2 2 3 5" xfId="2701"/>
    <cellStyle name="20% - Accent2 4 2 2 2 4" xfId="2702"/>
    <cellStyle name="20% - Accent2 4 2 2 2 4 2" xfId="2703"/>
    <cellStyle name="20% - Accent2 4 2 2 2 4 2 2" xfId="2704"/>
    <cellStyle name="20% - Accent2 4 2 2 2 4 3" xfId="2705"/>
    <cellStyle name="20% - Accent2 4 2 2 2 4 4" xfId="2706"/>
    <cellStyle name="20% - Accent2 4 2 2 2 5" xfId="2707"/>
    <cellStyle name="20% - Accent2 4 2 2 2 5 2" xfId="2708"/>
    <cellStyle name="20% - Accent2 4 2 2 2 5 2 2" xfId="2709"/>
    <cellStyle name="20% - Accent2 4 2 2 2 5 3" xfId="2710"/>
    <cellStyle name="20% - Accent2 4 2 2 2 5 4" xfId="2711"/>
    <cellStyle name="20% - Accent2 4 2 2 2 6" xfId="2712"/>
    <cellStyle name="20% - Accent2 4 2 2 2 6 2" xfId="2713"/>
    <cellStyle name="20% - Accent2 4 2 2 2 6 2 2" xfId="2714"/>
    <cellStyle name="20% - Accent2 4 2 2 2 6 3" xfId="2715"/>
    <cellStyle name="20% - Accent2 4 2 2 2 6 4" xfId="2716"/>
    <cellStyle name="20% - Accent2 4 2 2 2 7" xfId="2717"/>
    <cellStyle name="20% - Accent2 4 2 2 2 7 2" xfId="2718"/>
    <cellStyle name="20% - Accent2 4 2 2 2 8" xfId="2719"/>
    <cellStyle name="20% - Accent2 4 2 2 2 9" xfId="2720"/>
    <cellStyle name="20% - Accent2 4 2 2 3" xfId="2721"/>
    <cellStyle name="20% - Accent2 4 2 2 3 2" xfId="2722"/>
    <cellStyle name="20% - Accent2 4 2 2 3 2 2" xfId="2723"/>
    <cellStyle name="20% - Accent2 4 2 2 3 2 2 2" xfId="2724"/>
    <cellStyle name="20% - Accent2 4 2 2 3 2 3" xfId="2725"/>
    <cellStyle name="20% - Accent2 4 2 2 3 2 4" xfId="2726"/>
    <cellStyle name="20% - Accent2 4 2 2 3 3" xfId="2727"/>
    <cellStyle name="20% - Accent2 4 2 2 3 3 2" xfId="2728"/>
    <cellStyle name="20% - Accent2 4 2 2 3 4" xfId="2729"/>
    <cellStyle name="20% - Accent2 4 2 2 3 5" xfId="2730"/>
    <cellStyle name="20% - Accent2 4 2 2 4" xfId="2731"/>
    <cellStyle name="20% - Accent2 4 2 2 4 2" xfId="2732"/>
    <cellStyle name="20% - Accent2 4 2 2 4 2 2" xfId="2733"/>
    <cellStyle name="20% - Accent2 4 2 2 4 2 2 2" xfId="2734"/>
    <cellStyle name="20% - Accent2 4 2 2 4 2 3" xfId="2735"/>
    <cellStyle name="20% - Accent2 4 2 2 4 2 4" xfId="2736"/>
    <cellStyle name="20% - Accent2 4 2 2 4 3" xfId="2737"/>
    <cellStyle name="20% - Accent2 4 2 2 4 3 2" xfId="2738"/>
    <cellStyle name="20% - Accent2 4 2 2 4 4" xfId="2739"/>
    <cellStyle name="20% - Accent2 4 2 2 4 5" xfId="2740"/>
    <cellStyle name="20% - Accent2 4 2 2 5" xfId="2741"/>
    <cellStyle name="20% - Accent2 4 2 2 5 2" xfId="2742"/>
    <cellStyle name="20% - Accent2 4 2 2 5 2 2" xfId="2743"/>
    <cellStyle name="20% - Accent2 4 2 2 5 3" xfId="2744"/>
    <cellStyle name="20% - Accent2 4 2 2 5 4" xfId="2745"/>
    <cellStyle name="20% - Accent2 4 2 2 6" xfId="2746"/>
    <cellStyle name="20% - Accent2 4 2 2 6 2" xfId="2747"/>
    <cellStyle name="20% - Accent2 4 2 2 6 2 2" xfId="2748"/>
    <cellStyle name="20% - Accent2 4 2 2 6 3" xfId="2749"/>
    <cellStyle name="20% - Accent2 4 2 2 6 4" xfId="2750"/>
    <cellStyle name="20% - Accent2 4 2 2 7" xfId="2751"/>
    <cellStyle name="20% - Accent2 4 2 2 7 2" xfId="2752"/>
    <cellStyle name="20% - Accent2 4 2 2 7 2 2" xfId="2753"/>
    <cellStyle name="20% - Accent2 4 2 2 7 3" xfId="2754"/>
    <cellStyle name="20% - Accent2 4 2 2 7 4" xfId="2755"/>
    <cellStyle name="20% - Accent2 4 2 2 8" xfId="2756"/>
    <cellStyle name="20% - Accent2 4 2 2 8 2" xfId="2757"/>
    <cellStyle name="20% - Accent2 4 2 2 9" xfId="2758"/>
    <cellStyle name="20% - Accent2 4 2 3" xfId="2759"/>
    <cellStyle name="20% - Accent2 4 2 3 2" xfId="2760"/>
    <cellStyle name="20% - Accent2 4 2 3 2 2" xfId="2761"/>
    <cellStyle name="20% - Accent2 4 2 3 2 2 2" xfId="2762"/>
    <cellStyle name="20% - Accent2 4 2 3 2 2 2 2" xfId="2763"/>
    <cellStyle name="20% - Accent2 4 2 3 2 2 3" xfId="2764"/>
    <cellStyle name="20% - Accent2 4 2 3 2 2 4" xfId="2765"/>
    <cellStyle name="20% - Accent2 4 2 3 2 3" xfId="2766"/>
    <cellStyle name="20% - Accent2 4 2 3 2 3 2" xfId="2767"/>
    <cellStyle name="20% - Accent2 4 2 3 2 4" xfId="2768"/>
    <cellStyle name="20% - Accent2 4 2 3 2 5" xfId="2769"/>
    <cellStyle name="20% - Accent2 4 2 3 3" xfId="2770"/>
    <cellStyle name="20% - Accent2 4 2 3 3 2" xfId="2771"/>
    <cellStyle name="20% - Accent2 4 2 3 3 2 2" xfId="2772"/>
    <cellStyle name="20% - Accent2 4 2 3 3 2 2 2" xfId="2773"/>
    <cellStyle name="20% - Accent2 4 2 3 3 2 3" xfId="2774"/>
    <cellStyle name="20% - Accent2 4 2 3 3 2 4" xfId="2775"/>
    <cellStyle name="20% - Accent2 4 2 3 3 3" xfId="2776"/>
    <cellStyle name="20% - Accent2 4 2 3 3 3 2" xfId="2777"/>
    <cellStyle name="20% - Accent2 4 2 3 3 4" xfId="2778"/>
    <cellStyle name="20% - Accent2 4 2 3 3 5" xfId="2779"/>
    <cellStyle name="20% - Accent2 4 2 3 4" xfId="2780"/>
    <cellStyle name="20% - Accent2 4 2 3 4 2" xfId="2781"/>
    <cellStyle name="20% - Accent2 4 2 3 4 2 2" xfId="2782"/>
    <cellStyle name="20% - Accent2 4 2 3 4 3" xfId="2783"/>
    <cellStyle name="20% - Accent2 4 2 3 4 4" xfId="2784"/>
    <cellStyle name="20% - Accent2 4 2 3 5" xfId="2785"/>
    <cellStyle name="20% - Accent2 4 2 3 5 2" xfId="2786"/>
    <cellStyle name="20% - Accent2 4 2 3 5 2 2" xfId="2787"/>
    <cellStyle name="20% - Accent2 4 2 3 5 3" xfId="2788"/>
    <cellStyle name="20% - Accent2 4 2 3 5 4" xfId="2789"/>
    <cellStyle name="20% - Accent2 4 2 3 6" xfId="2790"/>
    <cellStyle name="20% - Accent2 4 2 3 6 2" xfId="2791"/>
    <cellStyle name="20% - Accent2 4 2 3 6 2 2" xfId="2792"/>
    <cellStyle name="20% - Accent2 4 2 3 6 3" xfId="2793"/>
    <cellStyle name="20% - Accent2 4 2 3 6 4" xfId="2794"/>
    <cellStyle name="20% - Accent2 4 2 3 7" xfId="2795"/>
    <cellStyle name="20% - Accent2 4 2 3 7 2" xfId="2796"/>
    <cellStyle name="20% - Accent2 4 2 3 8" xfId="2797"/>
    <cellStyle name="20% - Accent2 4 2 3 9" xfId="2798"/>
    <cellStyle name="20% - Accent2 4 2 4" xfId="2799"/>
    <cellStyle name="20% - Accent2 4 2 4 2" xfId="2800"/>
    <cellStyle name="20% - Accent2 4 2 4 2 2" xfId="2801"/>
    <cellStyle name="20% - Accent2 4 2 4 2 2 2" xfId="2802"/>
    <cellStyle name="20% - Accent2 4 2 4 2 3" xfId="2803"/>
    <cellStyle name="20% - Accent2 4 2 4 2 4" xfId="2804"/>
    <cellStyle name="20% - Accent2 4 2 4 3" xfId="2805"/>
    <cellStyle name="20% - Accent2 4 2 4 3 2" xfId="2806"/>
    <cellStyle name="20% - Accent2 4 2 4 4" xfId="2807"/>
    <cellStyle name="20% - Accent2 4 2 4 5" xfId="2808"/>
    <cellStyle name="20% - Accent2 4 2 5" xfId="2809"/>
    <cellStyle name="20% - Accent2 4 2 5 2" xfId="2810"/>
    <cellStyle name="20% - Accent2 4 2 5 2 2" xfId="2811"/>
    <cellStyle name="20% - Accent2 4 2 5 2 2 2" xfId="2812"/>
    <cellStyle name="20% - Accent2 4 2 5 2 3" xfId="2813"/>
    <cellStyle name="20% - Accent2 4 2 5 2 4" xfId="2814"/>
    <cellStyle name="20% - Accent2 4 2 5 3" xfId="2815"/>
    <cellStyle name="20% - Accent2 4 2 5 3 2" xfId="2816"/>
    <cellStyle name="20% - Accent2 4 2 5 4" xfId="2817"/>
    <cellStyle name="20% - Accent2 4 2 5 5" xfId="2818"/>
    <cellStyle name="20% - Accent2 4 2 6" xfId="2819"/>
    <cellStyle name="20% - Accent2 4 2 6 2" xfId="2820"/>
    <cellStyle name="20% - Accent2 4 2 6 2 2" xfId="2821"/>
    <cellStyle name="20% - Accent2 4 2 6 3" xfId="2822"/>
    <cellStyle name="20% - Accent2 4 2 6 4" xfId="2823"/>
    <cellStyle name="20% - Accent2 4 2 7" xfId="2824"/>
    <cellStyle name="20% - Accent2 4 2 7 2" xfId="2825"/>
    <cellStyle name="20% - Accent2 4 2 7 2 2" xfId="2826"/>
    <cellStyle name="20% - Accent2 4 2 7 3" xfId="2827"/>
    <cellStyle name="20% - Accent2 4 2 7 4" xfId="2828"/>
    <cellStyle name="20% - Accent2 4 2 8" xfId="2829"/>
    <cellStyle name="20% - Accent2 4 2 8 2" xfId="2830"/>
    <cellStyle name="20% - Accent2 4 2 8 2 2" xfId="2831"/>
    <cellStyle name="20% - Accent2 4 2 8 3" xfId="2832"/>
    <cellStyle name="20% - Accent2 4 2 8 4" xfId="2833"/>
    <cellStyle name="20% - Accent2 4 2 9" xfId="2834"/>
    <cellStyle name="20% - Accent2 4 2 9 2" xfId="2835"/>
    <cellStyle name="20% - Accent2 4 3" xfId="2836"/>
    <cellStyle name="20% - Accent2 4 3 10" xfId="2837"/>
    <cellStyle name="20% - Accent2 4 3 2" xfId="2838"/>
    <cellStyle name="20% - Accent2 4 3 2 2" xfId="2839"/>
    <cellStyle name="20% - Accent2 4 3 2 2 2" xfId="2840"/>
    <cellStyle name="20% - Accent2 4 3 2 2 2 2" xfId="2841"/>
    <cellStyle name="20% - Accent2 4 3 2 2 2 2 2" xfId="2842"/>
    <cellStyle name="20% - Accent2 4 3 2 2 2 3" xfId="2843"/>
    <cellStyle name="20% - Accent2 4 3 2 2 2 4" xfId="2844"/>
    <cellStyle name="20% - Accent2 4 3 2 2 3" xfId="2845"/>
    <cellStyle name="20% - Accent2 4 3 2 2 3 2" xfId="2846"/>
    <cellStyle name="20% - Accent2 4 3 2 2 4" xfId="2847"/>
    <cellStyle name="20% - Accent2 4 3 2 2 5" xfId="2848"/>
    <cellStyle name="20% - Accent2 4 3 2 3" xfId="2849"/>
    <cellStyle name="20% - Accent2 4 3 2 3 2" xfId="2850"/>
    <cellStyle name="20% - Accent2 4 3 2 3 2 2" xfId="2851"/>
    <cellStyle name="20% - Accent2 4 3 2 3 2 2 2" xfId="2852"/>
    <cellStyle name="20% - Accent2 4 3 2 3 2 3" xfId="2853"/>
    <cellStyle name="20% - Accent2 4 3 2 3 2 4" xfId="2854"/>
    <cellStyle name="20% - Accent2 4 3 2 3 3" xfId="2855"/>
    <cellStyle name="20% - Accent2 4 3 2 3 3 2" xfId="2856"/>
    <cellStyle name="20% - Accent2 4 3 2 3 4" xfId="2857"/>
    <cellStyle name="20% - Accent2 4 3 2 3 5" xfId="2858"/>
    <cellStyle name="20% - Accent2 4 3 2 4" xfId="2859"/>
    <cellStyle name="20% - Accent2 4 3 2 4 2" xfId="2860"/>
    <cellStyle name="20% - Accent2 4 3 2 4 2 2" xfId="2861"/>
    <cellStyle name="20% - Accent2 4 3 2 4 3" xfId="2862"/>
    <cellStyle name="20% - Accent2 4 3 2 4 4" xfId="2863"/>
    <cellStyle name="20% - Accent2 4 3 2 5" xfId="2864"/>
    <cellStyle name="20% - Accent2 4 3 2 5 2" xfId="2865"/>
    <cellStyle name="20% - Accent2 4 3 2 5 2 2" xfId="2866"/>
    <cellStyle name="20% - Accent2 4 3 2 5 3" xfId="2867"/>
    <cellStyle name="20% - Accent2 4 3 2 5 4" xfId="2868"/>
    <cellStyle name="20% - Accent2 4 3 2 6" xfId="2869"/>
    <cellStyle name="20% - Accent2 4 3 2 6 2" xfId="2870"/>
    <cellStyle name="20% - Accent2 4 3 2 6 2 2" xfId="2871"/>
    <cellStyle name="20% - Accent2 4 3 2 6 3" xfId="2872"/>
    <cellStyle name="20% - Accent2 4 3 2 6 4" xfId="2873"/>
    <cellStyle name="20% - Accent2 4 3 2 7" xfId="2874"/>
    <cellStyle name="20% - Accent2 4 3 2 7 2" xfId="2875"/>
    <cellStyle name="20% - Accent2 4 3 2 8" xfId="2876"/>
    <cellStyle name="20% - Accent2 4 3 2 9" xfId="2877"/>
    <cellStyle name="20% - Accent2 4 3 3" xfId="2878"/>
    <cellStyle name="20% - Accent2 4 3 3 2" xfId="2879"/>
    <cellStyle name="20% - Accent2 4 3 3 2 2" xfId="2880"/>
    <cellStyle name="20% - Accent2 4 3 3 2 2 2" xfId="2881"/>
    <cellStyle name="20% - Accent2 4 3 3 2 3" xfId="2882"/>
    <cellStyle name="20% - Accent2 4 3 3 2 4" xfId="2883"/>
    <cellStyle name="20% - Accent2 4 3 3 3" xfId="2884"/>
    <cellStyle name="20% - Accent2 4 3 3 3 2" xfId="2885"/>
    <cellStyle name="20% - Accent2 4 3 3 4" xfId="2886"/>
    <cellStyle name="20% - Accent2 4 3 3 5" xfId="2887"/>
    <cellStyle name="20% - Accent2 4 3 4" xfId="2888"/>
    <cellStyle name="20% - Accent2 4 3 4 2" xfId="2889"/>
    <cellStyle name="20% - Accent2 4 3 4 2 2" xfId="2890"/>
    <cellStyle name="20% - Accent2 4 3 4 2 2 2" xfId="2891"/>
    <cellStyle name="20% - Accent2 4 3 4 2 3" xfId="2892"/>
    <cellStyle name="20% - Accent2 4 3 4 2 4" xfId="2893"/>
    <cellStyle name="20% - Accent2 4 3 4 3" xfId="2894"/>
    <cellStyle name="20% - Accent2 4 3 4 3 2" xfId="2895"/>
    <cellStyle name="20% - Accent2 4 3 4 4" xfId="2896"/>
    <cellStyle name="20% - Accent2 4 3 4 5" xfId="2897"/>
    <cellStyle name="20% - Accent2 4 3 5" xfId="2898"/>
    <cellStyle name="20% - Accent2 4 3 5 2" xfId="2899"/>
    <cellStyle name="20% - Accent2 4 3 5 2 2" xfId="2900"/>
    <cellStyle name="20% - Accent2 4 3 5 3" xfId="2901"/>
    <cellStyle name="20% - Accent2 4 3 5 4" xfId="2902"/>
    <cellStyle name="20% - Accent2 4 3 6" xfId="2903"/>
    <cellStyle name="20% - Accent2 4 3 6 2" xfId="2904"/>
    <cellStyle name="20% - Accent2 4 3 6 2 2" xfId="2905"/>
    <cellStyle name="20% - Accent2 4 3 6 3" xfId="2906"/>
    <cellStyle name="20% - Accent2 4 3 6 4" xfId="2907"/>
    <cellStyle name="20% - Accent2 4 3 7" xfId="2908"/>
    <cellStyle name="20% - Accent2 4 3 7 2" xfId="2909"/>
    <cellStyle name="20% - Accent2 4 3 7 2 2" xfId="2910"/>
    <cellStyle name="20% - Accent2 4 3 7 3" xfId="2911"/>
    <cellStyle name="20% - Accent2 4 3 7 4" xfId="2912"/>
    <cellStyle name="20% - Accent2 4 3 8" xfId="2913"/>
    <cellStyle name="20% - Accent2 4 3 8 2" xfId="2914"/>
    <cellStyle name="20% - Accent2 4 3 9" xfId="2915"/>
    <cellStyle name="20% - Accent2 4 4" xfId="2916"/>
    <cellStyle name="20% - Accent2 4 4 2" xfId="2917"/>
    <cellStyle name="20% - Accent2 4 4 2 2" xfId="2918"/>
    <cellStyle name="20% - Accent2 4 4 2 2 2" xfId="2919"/>
    <cellStyle name="20% - Accent2 4 4 2 2 2 2" xfId="2920"/>
    <cellStyle name="20% - Accent2 4 4 2 2 3" xfId="2921"/>
    <cellStyle name="20% - Accent2 4 4 2 2 4" xfId="2922"/>
    <cellStyle name="20% - Accent2 4 4 2 3" xfId="2923"/>
    <cellStyle name="20% - Accent2 4 4 2 3 2" xfId="2924"/>
    <cellStyle name="20% - Accent2 4 4 2 4" xfId="2925"/>
    <cellStyle name="20% - Accent2 4 4 2 5" xfId="2926"/>
    <cellStyle name="20% - Accent2 4 4 3" xfId="2927"/>
    <cellStyle name="20% - Accent2 4 4 3 2" xfId="2928"/>
    <cellStyle name="20% - Accent2 4 4 3 2 2" xfId="2929"/>
    <cellStyle name="20% - Accent2 4 4 3 2 2 2" xfId="2930"/>
    <cellStyle name="20% - Accent2 4 4 3 2 3" xfId="2931"/>
    <cellStyle name="20% - Accent2 4 4 3 2 4" xfId="2932"/>
    <cellStyle name="20% - Accent2 4 4 3 3" xfId="2933"/>
    <cellStyle name="20% - Accent2 4 4 3 3 2" xfId="2934"/>
    <cellStyle name="20% - Accent2 4 4 3 4" xfId="2935"/>
    <cellStyle name="20% - Accent2 4 4 3 5" xfId="2936"/>
    <cellStyle name="20% - Accent2 4 4 4" xfId="2937"/>
    <cellStyle name="20% - Accent2 4 4 4 2" xfId="2938"/>
    <cellStyle name="20% - Accent2 4 4 4 2 2" xfId="2939"/>
    <cellStyle name="20% - Accent2 4 4 4 3" xfId="2940"/>
    <cellStyle name="20% - Accent2 4 4 4 4" xfId="2941"/>
    <cellStyle name="20% - Accent2 4 4 5" xfId="2942"/>
    <cellStyle name="20% - Accent2 4 4 5 2" xfId="2943"/>
    <cellStyle name="20% - Accent2 4 4 5 2 2" xfId="2944"/>
    <cellStyle name="20% - Accent2 4 4 5 3" xfId="2945"/>
    <cellStyle name="20% - Accent2 4 4 5 4" xfId="2946"/>
    <cellStyle name="20% - Accent2 4 4 6" xfId="2947"/>
    <cellStyle name="20% - Accent2 4 4 6 2" xfId="2948"/>
    <cellStyle name="20% - Accent2 4 4 6 2 2" xfId="2949"/>
    <cellStyle name="20% - Accent2 4 4 6 3" xfId="2950"/>
    <cellStyle name="20% - Accent2 4 4 6 4" xfId="2951"/>
    <cellStyle name="20% - Accent2 4 4 7" xfId="2952"/>
    <cellStyle name="20% - Accent2 4 4 7 2" xfId="2953"/>
    <cellStyle name="20% - Accent2 4 4 8" xfId="2954"/>
    <cellStyle name="20% - Accent2 4 4 9" xfId="2955"/>
    <cellStyle name="20% - Accent2 4 5" xfId="2956"/>
    <cellStyle name="20% - Accent2 4 5 2" xfId="2957"/>
    <cellStyle name="20% - Accent2 4 5 2 2" xfId="2958"/>
    <cellStyle name="20% - Accent2 4 5 2 2 2" xfId="2959"/>
    <cellStyle name="20% - Accent2 4 5 2 3" xfId="2960"/>
    <cellStyle name="20% - Accent2 4 5 2 4" xfId="2961"/>
    <cellStyle name="20% - Accent2 4 5 3" xfId="2962"/>
    <cellStyle name="20% - Accent2 4 5 4" xfId="2963"/>
    <cellStyle name="20% - Accent2 4 5 4 2" xfId="2964"/>
    <cellStyle name="20% - Accent2 4 5 5" xfId="2965"/>
    <cellStyle name="20% - Accent2 4 5 6" xfId="2966"/>
    <cellStyle name="20% - Accent2 4 6" xfId="2967"/>
    <cellStyle name="20% - Accent2 4 6 2" xfId="2968"/>
    <cellStyle name="20% - Accent2 4 6 2 2" xfId="2969"/>
    <cellStyle name="20% - Accent2 4 6 2 2 2" xfId="2970"/>
    <cellStyle name="20% - Accent2 4 6 2 3" xfId="2971"/>
    <cellStyle name="20% - Accent2 4 6 2 4" xfId="2972"/>
    <cellStyle name="20% - Accent2 4 6 3" xfId="2973"/>
    <cellStyle name="20% - Accent2 4 6 3 2" xfId="2974"/>
    <cellStyle name="20% - Accent2 4 6 3 2 2" xfId="2975"/>
    <cellStyle name="20% - Accent2 4 6 3 3" xfId="2976"/>
    <cellStyle name="20% - Accent2 4 6 3 4" xfId="2977"/>
    <cellStyle name="20% - Accent2 4 6 4" xfId="2978"/>
    <cellStyle name="20% - Accent2 4 6 4 2" xfId="2979"/>
    <cellStyle name="20% - Accent2 4 6 5" xfId="2980"/>
    <cellStyle name="20% - Accent2 4 6 6" xfId="2981"/>
    <cellStyle name="20% - Accent2 4 7" xfId="2982"/>
    <cellStyle name="20% - Accent2 4 7 2" xfId="2983"/>
    <cellStyle name="20% - Accent2 4 7 2 2" xfId="2984"/>
    <cellStyle name="20% - Accent2 4 7 3" xfId="2985"/>
    <cellStyle name="20% - Accent2 4 7 4" xfId="2986"/>
    <cellStyle name="20% - Accent2 4 8" xfId="2987"/>
    <cellStyle name="20% - Accent2 4 8 2" xfId="2988"/>
    <cellStyle name="20% - Accent2 4 8 2 2" xfId="2989"/>
    <cellStyle name="20% - Accent2 4 8 3" xfId="2990"/>
    <cellStyle name="20% - Accent2 4 8 4" xfId="2991"/>
    <cellStyle name="20% - Accent2 4 9" xfId="2992"/>
    <cellStyle name="20% - Accent2 4 9 2" xfId="2993"/>
    <cellStyle name="20% - Accent2 4 9 2 2" xfId="2994"/>
    <cellStyle name="20% - Accent2 4 9 3" xfId="2995"/>
    <cellStyle name="20% - Accent2 4 9 4" xfId="2996"/>
    <cellStyle name="20% - Accent2 5" xfId="2997"/>
    <cellStyle name="20% - Accent2 5 10" xfId="2998"/>
    <cellStyle name="20% - Accent2 5 10 2" xfId="2999"/>
    <cellStyle name="20% - Accent2 5 11" xfId="3000"/>
    <cellStyle name="20% - Accent2 5 12" xfId="3001"/>
    <cellStyle name="20% - Accent2 5 2" xfId="3002"/>
    <cellStyle name="20% - Accent2 5 2 10" xfId="3003"/>
    <cellStyle name="20% - Accent2 5 2 11" xfId="3004"/>
    <cellStyle name="20% - Accent2 5 2 2" xfId="3005"/>
    <cellStyle name="20% - Accent2 5 2 2 10" xfId="3006"/>
    <cellStyle name="20% - Accent2 5 2 2 2" xfId="3007"/>
    <cellStyle name="20% - Accent2 5 2 2 2 2" xfId="3008"/>
    <cellStyle name="20% - Accent2 5 2 2 2 2 2" xfId="3009"/>
    <cellStyle name="20% - Accent2 5 2 2 2 2 2 2" xfId="3010"/>
    <cellStyle name="20% - Accent2 5 2 2 2 2 2 2 2" xfId="3011"/>
    <cellStyle name="20% - Accent2 5 2 2 2 2 2 3" xfId="3012"/>
    <cellStyle name="20% - Accent2 5 2 2 2 2 2 4" xfId="3013"/>
    <cellStyle name="20% - Accent2 5 2 2 2 2 3" xfId="3014"/>
    <cellStyle name="20% - Accent2 5 2 2 2 2 3 2" xfId="3015"/>
    <cellStyle name="20% - Accent2 5 2 2 2 2 4" xfId="3016"/>
    <cellStyle name="20% - Accent2 5 2 2 2 2 5" xfId="3017"/>
    <cellStyle name="20% - Accent2 5 2 2 2 3" xfId="3018"/>
    <cellStyle name="20% - Accent2 5 2 2 2 3 2" xfId="3019"/>
    <cellStyle name="20% - Accent2 5 2 2 2 3 2 2" xfId="3020"/>
    <cellStyle name="20% - Accent2 5 2 2 2 3 2 2 2" xfId="3021"/>
    <cellStyle name="20% - Accent2 5 2 2 2 3 2 3" xfId="3022"/>
    <cellStyle name="20% - Accent2 5 2 2 2 3 2 4" xfId="3023"/>
    <cellStyle name="20% - Accent2 5 2 2 2 3 3" xfId="3024"/>
    <cellStyle name="20% - Accent2 5 2 2 2 3 3 2" xfId="3025"/>
    <cellStyle name="20% - Accent2 5 2 2 2 3 4" xfId="3026"/>
    <cellStyle name="20% - Accent2 5 2 2 2 3 5" xfId="3027"/>
    <cellStyle name="20% - Accent2 5 2 2 2 4" xfId="3028"/>
    <cellStyle name="20% - Accent2 5 2 2 2 4 2" xfId="3029"/>
    <cellStyle name="20% - Accent2 5 2 2 2 4 2 2" xfId="3030"/>
    <cellStyle name="20% - Accent2 5 2 2 2 4 3" xfId="3031"/>
    <cellStyle name="20% - Accent2 5 2 2 2 4 4" xfId="3032"/>
    <cellStyle name="20% - Accent2 5 2 2 2 5" xfId="3033"/>
    <cellStyle name="20% - Accent2 5 2 2 2 5 2" xfId="3034"/>
    <cellStyle name="20% - Accent2 5 2 2 2 5 2 2" xfId="3035"/>
    <cellStyle name="20% - Accent2 5 2 2 2 5 3" xfId="3036"/>
    <cellStyle name="20% - Accent2 5 2 2 2 5 4" xfId="3037"/>
    <cellStyle name="20% - Accent2 5 2 2 2 6" xfId="3038"/>
    <cellStyle name="20% - Accent2 5 2 2 2 6 2" xfId="3039"/>
    <cellStyle name="20% - Accent2 5 2 2 2 6 2 2" xfId="3040"/>
    <cellStyle name="20% - Accent2 5 2 2 2 6 3" xfId="3041"/>
    <cellStyle name="20% - Accent2 5 2 2 2 6 4" xfId="3042"/>
    <cellStyle name="20% - Accent2 5 2 2 2 7" xfId="3043"/>
    <cellStyle name="20% - Accent2 5 2 2 2 7 2" xfId="3044"/>
    <cellStyle name="20% - Accent2 5 2 2 2 8" xfId="3045"/>
    <cellStyle name="20% - Accent2 5 2 2 2 9" xfId="3046"/>
    <cellStyle name="20% - Accent2 5 2 2 3" xfId="3047"/>
    <cellStyle name="20% - Accent2 5 2 2 3 2" xfId="3048"/>
    <cellStyle name="20% - Accent2 5 2 2 3 2 2" xfId="3049"/>
    <cellStyle name="20% - Accent2 5 2 2 3 2 2 2" xfId="3050"/>
    <cellStyle name="20% - Accent2 5 2 2 3 2 3" xfId="3051"/>
    <cellStyle name="20% - Accent2 5 2 2 3 2 4" xfId="3052"/>
    <cellStyle name="20% - Accent2 5 2 2 3 3" xfId="3053"/>
    <cellStyle name="20% - Accent2 5 2 2 3 3 2" xfId="3054"/>
    <cellStyle name="20% - Accent2 5 2 2 3 4" xfId="3055"/>
    <cellStyle name="20% - Accent2 5 2 2 3 5" xfId="3056"/>
    <cellStyle name="20% - Accent2 5 2 2 4" xfId="3057"/>
    <cellStyle name="20% - Accent2 5 2 2 4 2" xfId="3058"/>
    <cellStyle name="20% - Accent2 5 2 2 4 2 2" xfId="3059"/>
    <cellStyle name="20% - Accent2 5 2 2 4 2 2 2" xfId="3060"/>
    <cellStyle name="20% - Accent2 5 2 2 4 2 3" xfId="3061"/>
    <cellStyle name="20% - Accent2 5 2 2 4 2 4" xfId="3062"/>
    <cellStyle name="20% - Accent2 5 2 2 4 3" xfId="3063"/>
    <cellStyle name="20% - Accent2 5 2 2 4 3 2" xfId="3064"/>
    <cellStyle name="20% - Accent2 5 2 2 4 4" xfId="3065"/>
    <cellStyle name="20% - Accent2 5 2 2 4 5" xfId="3066"/>
    <cellStyle name="20% - Accent2 5 2 2 5" xfId="3067"/>
    <cellStyle name="20% - Accent2 5 2 2 5 2" xfId="3068"/>
    <cellStyle name="20% - Accent2 5 2 2 5 2 2" xfId="3069"/>
    <cellStyle name="20% - Accent2 5 2 2 5 3" xfId="3070"/>
    <cellStyle name="20% - Accent2 5 2 2 5 4" xfId="3071"/>
    <cellStyle name="20% - Accent2 5 2 2 6" xfId="3072"/>
    <cellStyle name="20% - Accent2 5 2 2 6 2" xfId="3073"/>
    <cellStyle name="20% - Accent2 5 2 2 6 2 2" xfId="3074"/>
    <cellStyle name="20% - Accent2 5 2 2 6 3" xfId="3075"/>
    <cellStyle name="20% - Accent2 5 2 2 6 4" xfId="3076"/>
    <cellStyle name="20% - Accent2 5 2 2 7" xfId="3077"/>
    <cellStyle name="20% - Accent2 5 2 2 7 2" xfId="3078"/>
    <cellStyle name="20% - Accent2 5 2 2 7 2 2" xfId="3079"/>
    <cellStyle name="20% - Accent2 5 2 2 7 3" xfId="3080"/>
    <cellStyle name="20% - Accent2 5 2 2 7 4" xfId="3081"/>
    <cellStyle name="20% - Accent2 5 2 2 8" xfId="3082"/>
    <cellStyle name="20% - Accent2 5 2 2 8 2" xfId="3083"/>
    <cellStyle name="20% - Accent2 5 2 2 9" xfId="3084"/>
    <cellStyle name="20% - Accent2 5 2 3" xfId="3085"/>
    <cellStyle name="20% - Accent2 5 2 3 2" xfId="3086"/>
    <cellStyle name="20% - Accent2 5 2 3 2 2" xfId="3087"/>
    <cellStyle name="20% - Accent2 5 2 3 2 2 2" xfId="3088"/>
    <cellStyle name="20% - Accent2 5 2 3 2 2 2 2" xfId="3089"/>
    <cellStyle name="20% - Accent2 5 2 3 2 2 3" xfId="3090"/>
    <cellStyle name="20% - Accent2 5 2 3 2 2 4" xfId="3091"/>
    <cellStyle name="20% - Accent2 5 2 3 2 3" xfId="3092"/>
    <cellStyle name="20% - Accent2 5 2 3 2 3 2" xfId="3093"/>
    <cellStyle name="20% - Accent2 5 2 3 2 4" xfId="3094"/>
    <cellStyle name="20% - Accent2 5 2 3 2 5" xfId="3095"/>
    <cellStyle name="20% - Accent2 5 2 3 3" xfId="3096"/>
    <cellStyle name="20% - Accent2 5 2 3 3 2" xfId="3097"/>
    <cellStyle name="20% - Accent2 5 2 3 3 2 2" xfId="3098"/>
    <cellStyle name="20% - Accent2 5 2 3 3 2 2 2" xfId="3099"/>
    <cellStyle name="20% - Accent2 5 2 3 3 2 3" xfId="3100"/>
    <cellStyle name="20% - Accent2 5 2 3 3 2 4" xfId="3101"/>
    <cellStyle name="20% - Accent2 5 2 3 3 3" xfId="3102"/>
    <cellStyle name="20% - Accent2 5 2 3 3 3 2" xfId="3103"/>
    <cellStyle name="20% - Accent2 5 2 3 3 4" xfId="3104"/>
    <cellStyle name="20% - Accent2 5 2 3 3 5" xfId="3105"/>
    <cellStyle name="20% - Accent2 5 2 3 4" xfId="3106"/>
    <cellStyle name="20% - Accent2 5 2 3 4 2" xfId="3107"/>
    <cellStyle name="20% - Accent2 5 2 3 4 2 2" xfId="3108"/>
    <cellStyle name="20% - Accent2 5 2 3 4 3" xfId="3109"/>
    <cellStyle name="20% - Accent2 5 2 3 4 4" xfId="3110"/>
    <cellStyle name="20% - Accent2 5 2 3 5" xfId="3111"/>
    <cellStyle name="20% - Accent2 5 2 3 5 2" xfId="3112"/>
    <cellStyle name="20% - Accent2 5 2 3 5 2 2" xfId="3113"/>
    <cellStyle name="20% - Accent2 5 2 3 5 3" xfId="3114"/>
    <cellStyle name="20% - Accent2 5 2 3 5 4" xfId="3115"/>
    <cellStyle name="20% - Accent2 5 2 3 6" xfId="3116"/>
    <cellStyle name="20% - Accent2 5 2 3 6 2" xfId="3117"/>
    <cellStyle name="20% - Accent2 5 2 3 6 2 2" xfId="3118"/>
    <cellStyle name="20% - Accent2 5 2 3 6 3" xfId="3119"/>
    <cellStyle name="20% - Accent2 5 2 3 6 4" xfId="3120"/>
    <cellStyle name="20% - Accent2 5 2 3 7" xfId="3121"/>
    <cellStyle name="20% - Accent2 5 2 3 7 2" xfId="3122"/>
    <cellStyle name="20% - Accent2 5 2 3 8" xfId="3123"/>
    <cellStyle name="20% - Accent2 5 2 3 9" xfId="3124"/>
    <cellStyle name="20% - Accent2 5 2 4" xfId="3125"/>
    <cellStyle name="20% - Accent2 5 2 4 2" xfId="3126"/>
    <cellStyle name="20% - Accent2 5 2 4 2 2" xfId="3127"/>
    <cellStyle name="20% - Accent2 5 2 4 2 2 2" xfId="3128"/>
    <cellStyle name="20% - Accent2 5 2 4 2 3" xfId="3129"/>
    <cellStyle name="20% - Accent2 5 2 4 2 4" xfId="3130"/>
    <cellStyle name="20% - Accent2 5 2 4 3" xfId="3131"/>
    <cellStyle name="20% - Accent2 5 2 4 3 2" xfId="3132"/>
    <cellStyle name="20% - Accent2 5 2 4 4" xfId="3133"/>
    <cellStyle name="20% - Accent2 5 2 4 5" xfId="3134"/>
    <cellStyle name="20% - Accent2 5 2 5" xfId="3135"/>
    <cellStyle name="20% - Accent2 5 2 5 2" xfId="3136"/>
    <cellStyle name="20% - Accent2 5 2 5 2 2" xfId="3137"/>
    <cellStyle name="20% - Accent2 5 2 5 2 2 2" xfId="3138"/>
    <cellStyle name="20% - Accent2 5 2 5 2 3" xfId="3139"/>
    <cellStyle name="20% - Accent2 5 2 5 2 4" xfId="3140"/>
    <cellStyle name="20% - Accent2 5 2 5 3" xfId="3141"/>
    <cellStyle name="20% - Accent2 5 2 5 3 2" xfId="3142"/>
    <cellStyle name="20% - Accent2 5 2 5 4" xfId="3143"/>
    <cellStyle name="20% - Accent2 5 2 5 5" xfId="3144"/>
    <cellStyle name="20% - Accent2 5 2 6" xfId="3145"/>
    <cellStyle name="20% - Accent2 5 2 6 2" xfId="3146"/>
    <cellStyle name="20% - Accent2 5 2 6 2 2" xfId="3147"/>
    <cellStyle name="20% - Accent2 5 2 6 3" xfId="3148"/>
    <cellStyle name="20% - Accent2 5 2 6 4" xfId="3149"/>
    <cellStyle name="20% - Accent2 5 2 7" xfId="3150"/>
    <cellStyle name="20% - Accent2 5 2 7 2" xfId="3151"/>
    <cellStyle name="20% - Accent2 5 2 7 2 2" xfId="3152"/>
    <cellStyle name="20% - Accent2 5 2 7 3" xfId="3153"/>
    <cellStyle name="20% - Accent2 5 2 7 4" xfId="3154"/>
    <cellStyle name="20% - Accent2 5 2 8" xfId="3155"/>
    <cellStyle name="20% - Accent2 5 2 8 2" xfId="3156"/>
    <cellStyle name="20% - Accent2 5 2 8 2 2" xfId="3157"/>
    <cellStyle name="20% - Accent2 5 2 8 3" xfId="3158"/>
    <cellStyle name="20% - Accent2 5 2 8 4" xfId="3159"/>
    <cellStyle name="20% - Accent2 5 2 9" xfId="3160"/>
    <cellStyle name="20% - Accent2 5 2 9 2" xfId="3161"/>
    <cellStyle name="20% - Accent2 5 3" xfId="3162"/>
    <cellStyle name="20% - Accent2 5 3 10" xfId="3163"/>
    <cellStyle name="20% - Accent2 5 3 2" xfId="3164"/>
    <cellStyle name="20% - Accent2 5 3 2 2" xfId="3165"/>
    <cellStyle name="20% - Accent2 5 3 2 2 2" xfId="3166"/>
    <cellStyle name="20% - Accent2 5 3 2 2 2 2" xfId="3167"/>
    <cellStyle name="20% - Accent2 5 3 2 2 2 2 2" xfId="3168"/>
    <cellStyle name="20% - Accent2 5 3 2 2 2 3" xfId="3169"/>
    <cellStyle name="20% - Accent2 5 3 2 2 2 4" xfId="3170"/>
    <cellStyle name="20% - Accent2 5 3 2 2 3" xfId="3171"/>
    <cellStyle name="20% - Accent2 5 3 2 2 3 2" xfId="3172"/>
    <cellStyle name="20% - Accent2 5 3 2 2 4" xfId="3173"/>
    <cellStyle name="20% - Accent2 5 3 2 2 5" xfId="3174"/>
    <cellStyle name="20% - Accent2 5 3 2 3" xfId="3175"/>
    <cellStyle name="20% - Accent2 5 3 2 3 2" xfId="3176"/>
    <cellStyle name="20% - Accent2 5 3 2 3 2 2" xfId="3177"/>
    <cellStyle name="20% - Accent2 5 3 2 3 2 2 2" xfId="3178"/>
    <cellStyle name="20% - Accent2 5 3 2 3 2 3" xfId="3179"/>
    <cellStyle name="20% - Accent2 5 3 2 3 2 4" xfId="3180"/>
    <cellStyle name="20% - Accent2 5 3 2 3 3" xfId="3181"/>
    <cellStyle name="20% - Accent2 5 3 2 3 3 2" xfId="3182"/>
    <cellStyle name="20% - Accent2 5 3 2 3 4" xfId="3183"/>
    <cellStyle name="20% - Accent2 5 3 2 3 5" xfId="3184"/>
    <cellStyle name="20% - Accent2 5 3 2 4" xfId="3185"/>
    <cellStyle name="20% - Accent2 5 3 2 4 2" xfId="3186"/>
    <cellStyle name="20% - Accent2 5 3 2 4 2 2" xfId="3187"/>
    <cellStyle name="20% - Accent2 5 3 2 4 3" xfId="3188"/>
    <cellStyle name="20% - Accent2 5 3 2 4 4" xfId="3189"/>
    <cellStyle name="20% - Accent2 5 3 2 5" xfId="3190"/>
    <cellStyle name="20% - Accent2 5 3 2 5 2" xfId="3191"/>
    <cellStyle name="20% - Accent2 5 3 2 5 2 2" xfId="3192"/>
    <cellStyle name="20% - Accent2 5 3 2 5 3" xfId="3193"/>
    <cellStyle name="20% - Accent2 5 3 2 5 4" xfId="3194"/>
    <cellStyle name="20% - Accent2 5 3 2 6" xfId="3195"/>
    <cellStyle name="20% - Accent2 5 3 2 6 2" xfId="3196"/>
    <cellStyle name="20% - Accent2 5 3 2 6 2 2" xfId="3197"/>
    <cellStyle name="20% - Accent2 5 3 2 6 3" xfId="3198"/>
    <cellStyle name="20% - Accent2 5 3 2 6 4" xfId="3199"/>
    <cellStyle name="20% - Accent2 5 3 2 7" xfId="3200"/>
    <cellStyle name="20% - Accent2 5 3 2 7 2" xfId="3201"/>
    <cellStyle name="20% - Accent2 5 3 2 8" xfId="3202"/>
    <cellStyle name="20% - Accent2 5 3 2 9" xfId="3203"/>
    <cellStyle name="20% - Accent2 5 3 3" xfId="3204"/>
    <cellStyle name="20% - Accent2 5 3 3 2" xfId="3205"/>
    <cellStyle name="20% - Accent2 5 3 3 2 2" xfId="3206"/>
    <cellStyle name="20% - Accent2 5 3 3 2 2 2" xfId="3207"/>
    <cellStyle name="20% - Accent2 5 3 3 2 3" xfId="3208"/>
    <cellStyle name="20% - Accent2 5 3 3 2 4" xfId="3209"/>
    <cellStyle name="20% - Accent2 5 3 3 3" xfId="3210"/>
    <cellStyle name="20% - Accent2 5 3 3 3 2" xfId="3211"/>
    <cellStyle name="20% - Accent2 5 3 3 4" xfId="3212"/>
    <cellStyle name="20% - Accent2 5 3 3 5" xfId="3213"/>
    <cellStyle name="20% - Accent2 5 3 4" xfId="3214"/>
    <cellStyle name="20% - Accent2 5 3 4 2" xfId="3215"/>
    <cellStyle name="20% - Accent2 5 3 4 2 2" xfId="3216"/>
    <cellStyle name="20% - Accent2 5 3 4 2 2 2" xfId="3217"/>
    <cellStyle name="20% - Accent2 5 3 4 2 3" xfId="3218"/>
    <cellStyle name="20% - Accent2 5 3 4 2 4" xfId="3219"/>
    <cellStyle name="20% - Accent2 5 3 4 3" xfId="3220"/>
    <cellStyle name="20% - Accent2 5 3 4 3 2" xfId="3221"/>
    <cellStyle name="20% - Accent2 5 3 4 4" xfId="3222"/>
    <cellStyle name="20% - Accent2 5 3 4 5" xfId="3223"/>
    <cellStyle name="20% - Accent2 5 3 5" xfId="3224"/>
    <cellStyle name="20% - Accent2 5 3 5 2" xfId="3225"/>
    <cellStyle name="20% - Accent2 5 3 5 2 2" xfId="3226"/>
    <cellStyle name="20% - Accent2 5 3 5 3" xfId="3227"/>
    <cellStyle name="20% - Accent2 5 3 5 4" xfId="3228"/>
    <cellStyle name="20% - Accent2 5 3 6" xfId="3229"/>
    <cellStyle name="20% - Accent2 5 3 6 2" xfId="3230"/>
    <cellStyle name="20% - Accent2 5 3 6 2 2" xfId="3231"/>
    <cellStyle name="20% - Accent2 5 3 6 3" xfId="3232"/>
    <cellStyle name="20% - Accent2 5 3 6 4" xfId="3233"/>
    <cellStyle name="20% - Accent2 5 3 7" xfId="3234"/>
    <cellStyle name="20% - Accent2 5 3 7 2" xfId="3235"/>
    <cellStyle name="20% - Accent2 5 3 7 2 2" xfId="3236"/>
    <cellStyle name="20% - Accent2 5 3 7 3" xfId="3237"/>
    <cellStyle name="20% - Accent2 5 3 7 4" xfId="3238"/>
    <cellStyle name="20% - Accent2 5 3 8" xfId="3239"/>
    <cellStyle name="20% - Accent2 5 3 8 2" xfId="3240"/>
    <cellStyle name="20% - Accent2 5 3 9" xfId="3241"/>
    <cellStyle name="20% - Accent2 5 4" xfId="3242"/>
    <cellStyle name="20% - Accent2 5 4 2" xfId="3243"/>
    <cellStyle name="20% - Accent2 5 4 2 2" xfId="3244"/>
    <cellStyle name="20% - Accent2 5 4 2 2 2" xfId="3245"/>
    <cellStyle name="20% - Accent2 5 4 2 2 2 2" xfId="3246"/>
    <cellStyle name="20% - Accent2 5 4 2 2 3" xfId="3247"/>
    <cellStyle name="20% - Accent2 5 4 2 2 4" xfId="3248"/>
    <cellStyle name="20% - Accent2 5 4 2 3" xfId="3249"/>
    <cellStyle name="20% - Accent2 5 4 2 3 2" xfId="3250"/>
    <cellStyle name="20% - Accent2 5 4 2 4" xfId="3251"/>
    <cellStyle name="20% - Accent2 5 4 2 5" xfId="3252"/>
    <cellStyle name="20% - Accent2 5 4 3" xfId="3253"/>
    <cellStyle name="20% - Accent2 5 4 3 2" xfId="3254"/>
    <cellStyle name="20% - Accent2 5 4 3 2 2" xfId="3255"/>
    <cellStyle name="20% - Accent2 5 4 3 2 2 2" xfId="3256"/>
    <cellStyle name="20% - Accent2 5 4 3 2 3" xfId="3257"/>
    <cellStyle name="20% - Accent2 5 4 3 2 4" xfId="3258"/>
    <cellStyle name="20% - Accent2 5 4 3 3" xfId="3259"/>
    <cellStyle name="20% - Accent2 5 4 3 3 2" xfId="3260"/>
    <cellStyle name="20% - Accent2 5 4 3 4" xfId="3261"/>
    <cellStyle name="20% - Accent2 5 4 3 5" xfId="3262"/>
    <cellStyle name="20% - Accent2 5 4 4" xfId="3263"/>
    <cellStyle name="20% - Accent2 5 4 4 2" xfId="3264"/>
    <cellStyle name="20% - Accent2 5 4 4 2 2" xfId="3265"/>
    <cellStyle name="20% - Accent2 5 4 4 3" xfId="3266"/>
    <cellStyle name="20% - Accent2 5 4 4 4" xfId="3267"/>
    <cellStyle name="20% - Accent2 5 4 5" xfId="3268"/>
    <cellStyle name="20% - Accent2 5 4 5 2" xfId="3269"/>
    <cellStyle name="20% - Accent2 5 4 5 2 2" xfId="3270"/>
    <cellStyle name="20% - Accent2 5 4 5 3" xfId="3271"/>
    <cellStyle name="20% - Accent2 5 4 5 4" xfId="3272"/>
    <cellStyle name="20% - Accent2 5 4 6" xfId="3273"/>
    <cellStyle name="20% - Accent2 5 4 6 2" xfId="3274"/>
    <cellStyle name="20% - Accent2 5 4 6 2 2" xfId="3275"/>
    <cellStyle name="20% - Accent2 5 4 6 3" xfId="3276"/>
    <cellStyle name="20% - Accent2 5 4 6 4" xfId="3277"/>
    <cellStyle name="20% - Accent2 5 4 7" xfId="3278"/>
    <cellStyle name="20% - Accent2 5 4 7 2" xfId="3279"/>
    <cellStyle name="20% - Accent2 5 4 8" xfId="3280"/>
    <cellStyle name="20% - Accent2 5 4 9" xfId="3281"/>
    <cellStyle name="20% - Accent2 5 5" xfId="3282"/>
    <cellStyle name="20% - Accent2 5 5 2" xfId="3283"/>
    <cellStyle name="20% - Accent2 5 5 2 2" xfId="3284"/>
    <cellStyle name="20% - Accent2 5 5 2 2 2" xfId="3285"/>
    <cellStyle name="20% - Accent2 5 5 2 3" xfId="3286"/>
    <cellStyle name="20% - Accent2 5 5 2 4" xfId="3287"/>
    <cellStyle name="20% - Accent2 5 5 3" xfId="3288"/>
    <cellStyle name="20% - Accent2 5 5 3 2" xfId="3289"/>
    <cellStyle name="20% - Accent2 5 5 3 2 2" xfId="3290"/>
    <cellStyle name="20% - Accent2 5 5 3 3" xfId="3291"/>
    <cellStyle name="20% - Accent2 5 5 3 4" xfId="3292"/>
    <cellStyle name="20% - Accent2 5 5 4" xfId="3293"/>
    <cellStyle name="20% - Accent2 5 5 4 2" xfId="3294"/>
    <cellStyle name="20% - Accent2 5 5 5" xfId="3295"/>
    <cellStyle name="20% - Accent2 5 5 6" xfId="3296"/>
    <cellStyle name="20% - Accent2 5 6" xfId="3297"/>
    <cellStyle name="20% - Accent2 5 6 2" xfId="3298"/>
    <cellStyle name="20% - Accent2 5 6 2 2" xfId="3299"/>
    <cellStyle name="20% - Accent2 5 6 2 2 2" xfId="3300"/>
    <cellStyle name="20% - Accent2 5 6 2 3" xfId="3301"/>
    <cellStyle name="20% - Accent2 5 6 2 4" xfId="3302"/>
    <cellStyle name="20% - Accent2 5 6 3" xfId="3303"/>
    <cellStyle name="20% - Accent2 5 6 3 2" xfId="3304"/>
    <cellStyle name="20% - Accent2 5 6 4" xfId="3305"/>
    <cellStyle name="20% - Accent2 5 6 5" xfId="3306"/>
    <cellStyle name="20% - Accent2 5 7" xfId="3307"/>
    <cellStyle name="20% - Accent2 5 7 2" xfId="3308"/>
    <cellStyle name="20% - Accent2 5 7 2 2" xfId="3309"/>
    <cellStyle name="20% - Accent2 5 7 3" xfId="3310"/>
    <cellStyle name="20% - Accent2 5 7 4" xfId="3311"/>
    <cellStyle name="20% - Accent2 5 8" xfId="3312"/>
    <cellStyle name="20% - Accent2 5 8 2" xfId="3313"/>
    <cellStyle name="20% - Accent2 5 8 2 2" xfId="3314"/>
    <cellStyle name="20% - Accent2 5 8 3" xfId="3315"/>
    <cellStyle name="20% - Accent2 5 8 4" xfId="3316"/>
    <cellStyle name="20% - Accent2 5 9" xfId="3317"/>
    <cellStyle name="20% - Accent2 5 9 2" xfId="3318"/>
    <cellStyle name="20% - Accent2 5 9 2 2" xfId="3319"/>
    <cellStyle name="20% - Accent2 5 9 3" xfId="3320"/>
    <cellStyle name="20% - Accent2 5 9 4" xfId="3321"/>
    <cellStyle name="20% - Accent2 6" xfId="3322"/>
    <cellStyle name="20% - Accent2 7" xfId="3323"/>
    <cellStyle name="20% - Accent2 8" xfId="3324"/>
    <cellStyle name="20% - Accent2 9" xfId="3325"/>
    <cellStyle name="20% - Accent2 9 2" xfId="3326"/>
    <cellStyle name="20% - Accent2 9 2 2" xfId="3327"/>
    <cellStyle name="20% - Accent2 9 3" xfId="3328"/>
    <cellStyle name="20% - Accent2 9 4" xfId="3329"/>
    <cellStyle name="20% - Accent3" xfId="35692" builtinId="38" customBuiltin="1"/>
    <cellStyle name="20% - Accent3 2" xfId="35"/>
    <cellStyle name="20% - Accent3 2 10" xfId="3330"/>
    <cellStyle name="20% - Accent3 2 10 2" xfId="3331"/>
    <cellStyle name="20% - Accent3 2 10 2 2" xfId="3332"/>
    <cellStyle name="20% - Accent3 2 10 3" xfId="3333"/>
    <cellStyle name="20% - Accent3 2 10 4" xfId="3334"/>
    <cellStyle name="20% - Accent3 2 11" xfId="3335"/>
    <cellStyle name="20% - Accent3 2 11 2" xfId="3336"/>
    <cellStyle name="20% - Accent3 2 12" xfId="3337"/>
    <cellStyle name="20% - Accent3 2 13" xfId="3338"/>
    <cellStyle name="20% - Accent3 2 2" xfId="102"/>
    <cellStyle name="20% - Accent3 2 2 2" xfId="3340"/>
    <cellStyle name="20% - Accent3 2 2 3" xfId="3341"/>
    <cellStyle name="20% - Accent3 2 2 4" xfId="3342"/>
    <cellStyle name="20% - Accent3 2 2 5" xfId="35614"/>
    <cellStyle name="20% - Accent3 2 2 6" xfId="3339"/>
    <cellStyle name="20% - Accent3 2 3" xfId="3343"/>
    <cellStyle name="20% - Accent3 2 3 10" xfId="3344"/>
    <cellStyle name="20% - Accent3 2 3 11" xfId="3345"/>
    <cellStyle name="20% - Accent3 2 3 2" xfId="3346"/>
    <cellStyle name="20% - Accent3 2 3 2 10" xfId="3347"/>
    <cellStyle name="20% - Accent3 2 3 2 2" xfId="3348"/>
    <cellStyle name="20% - Accent3 2 3 2 2 2" xfId="3349"/>
    <cellStyle name="20% - Accent3 2 3 2 2 2 2" xfId="3350"/>
    <cellStyle name="20% - Accent3 2 3 2 2 2 2 2" xfId="3351"/>
    <cellStyle name="20% - Accent3 2 3 2 2 2 2 2 2" xfId="3352"/>
    <cellStyle name="20% - Accent3 2 3 2 2 2 2 3" xfId="3353"/>
    <cellStyle name="20% - Accent3 2 3 2 2 2 2 4" xfId="3354"/>
    <cellStyle name="20% - Accent3 2 3 2 2 2 3" xfId="3355"/>
    <cellStyle name="20% - Accent3 2 3 2 2 2 3 2" xfId="3356"/>
    <cellStyle name="20% - Accent3 2 3 2 2 2 4" xfId="3357"/>
    <cellStyle name="20% - Accent3 2 3 2 2 2 5" xfId="3358"/>
    <cellStyle name="20% - Accent3 2 3 2 2 3" xfId="3359"/>
    <cellStyle name="20% - Accent3 2 3 2 2 3 2" xfId="3360"/>
    <cellStyle name="20% - Accent3 2 3 2 2 3 2 2" xfId="3361"/>
    <cellStyle name="20% - Accent3 2 3 2 2 3 2 2 2" xfId="3362"/>
    <cellStyle name="20% - Accent3 2 3 2 2 3 2 3" xfId="3363"/>
    <cellStyle name="20% - Accent3 2 3 2 2 3 2 4" xfId="3364"/>
    <cellStyle name="20% - Accent3 2 3 2 2 3 3" xfId="3365"/>
    <cellStyle name="20% - Accent3 2 3 2 2 3 3 2" xfId="3366"/>
    <cellStyle name="20% - Accent3 2 3 2 2 3 4" xfId="3367"/>
    <cellStyle name="20% - Accent3 2 3 2 2 3 5" xfId="3368"/>
    <cellStyle name="20% - Accent3 2 3 2 2 4" xfId="3369"/>
    <cellStyle name="20% - Accent3 2 3 2 2 4 2" xfId="3370"/>
    <cellStyle name="20% - Accent3 2 3 2 2 4 2 2" xfId="3371"/>
    <cellStyle name="20% - Accent3 2 3 2 2 4 3" xfId="3372"/>
    <cellStyle name="20% - Accent3 2 3 2 2 4 4" xfId="3373"/>
    <cellStyle name="20% - Accent3 2 3 2 2 5" xfId="3374"/>
    <cellStyle name="20% - Accent3 2 3 2 2 5 2" xfId="3375"/>
    <cellStyle name="20% - Accent3 2 3 2 2 5 2 2" xfId="3376"/>
    <cellStyle name="20% - Accent3 2 3 2 2 5 3" xfId="3377"/>
    <cellStyle name="20% - Accent3 2 3 2 2 5 4" xfId="3378"/>
    <cellStyle name="20% - Accent3 2 3 2 2 6" xfId="3379"/>
    <cellStyle name="20% - Accent3 2 3 2 2 6 2" xfId="3380"/>
    <cellStyle name="20% - Accent3 2 3 2 2 6 2 2" xfId="3381"/>
    <cellStyle name="20% - Accent3 2 3 2 2 6 3" xfId="3382"/>
    <cellStyle name="20% - Accent3 2 3 2 2 6 4" xfId="3383"/>
    <cellStyle name="20% - Accent3 2 3 2 2 7" xfId="3384"/>
    <cellStyle name="20% - Accent3 2 3 2 2 7 2" xfId="3385"/>
    <cellStyle name="20% - Accent3 2 3 2 2 8" xfId="3386"/>
    <cellStyle name="20% - Accent3 2 3 2 2 9" xfId="3387"/>
    <cellStyle name="20% - Accent3 2 3 2 3" xfId="3388"/>
    <cellStyle name="20% - Accent3 2 3 2 3 2" xfId="3389"/>
    <cellStyle name="20% - Accent3 2 3 2 3 2 2" xfId="3390"/>
    <cellStyle name="20% - Accent3 2 3 2 3 2 2 2" xfId="3391"/>
    <cellStyle name="20% - Accent3 2 3 2 3 2 3" xfId="3392"/>
    <cellStyle name="20% - Accent3 2 3 2 3 2 4" xfId="3393"/>
    <cellStyle name="20% - Accent3 2 3 2 3 3" xfId="3394"/>
    <cellStyle name="20% - Accent3 2 3 2 3 3 2" xfId="3395"/>
    <cellStyle name="20% - Accent3 2 3 2 3 4" xfId="3396"/>
    <cellStyle name="20% - Accent3 2 3 2 3 5" xfId="3397"/>
    <cellStyle name="20% - Accent3 2 3 2 4" xfId="3398"/>
    <cellStyle name="20% - Accent3 2 3 2 4 2" xfId="3399"/>
    <cellStyle name="20% - Accent3 2 3 2 4 2 2" xfId="3400"/>
    <cellStyle name="20% - Accent3 2 3 2 4 2 2 2" xfId="3401"/>
    <cellStyle name="20% - Accent3 2 3 2 4 2 3" xfId="3402"/>
    <cellStyle name="20% - Accent3 2 3 2 4 2 4" xfId="3403"/>
    <cellStyle name="20% - Accent3 2 3 2 4 3" xfId="3404"/>
    <cellStyle name="20% - Accent3 2 3 2 4 3 2" xfId="3405"/>
    <cellStyle name="20% - Accent3 2 3 2 4 4" xfId="3406"/>
    <cellStyle name="20% - Accent3 2 3 2 4 5" xfId="3407"/>
    <cellStyle name="20% - Accent3 2 3 2 5" xfId="3408"/>
    <cellStyle name="20% - Accent3 2 3 2 5 2" xfId="3409"/>
    <cellStyle name="20% - Accent3 2 3 2 5 2 2" xfId="3410"/>
    <cellStyle name="20% - Accent3 2 3 2 5 3" xfId="3411"/>
    <cellStyle name="20% - Accent3 2 3 2 5 4" xfId="3412"/>
    <cellStyle name="20% - Accent3 2 3 2 6" xfId="3413"/>
    <cellStyle name="20% - Accent3 2 3 2 6 2" xfId="3414"/>
    <cellStyle name="20% - Accent3 2 3 2 6 2 2" xfId="3415"/>
    <cellStyle name="20% - Accent3 2 3 2 6 3" xfId="3416"/>
    <cellStyle name="20% - Accent3 2 3 2 6 4" xfId="3417"/>
    <cellStyle name="20% - Accent3 2 3 2 7" xfId="3418"/>
    <cellStyle name="20% - Accent3 2 3 2 7 2" xfId="3419"/>
    <cellStyle name="20% - Accent3 2 3 2 7 2 2" xfId="3420"/>
    <cellStyle name="20% - Accent3 2 3 2 7 3" xfId="3421"/>
    <cellStyle name="20% - Accent3 2 3 2 7 4" xfId="3422"/>
    <cellStyle name="20% - Accent3 2 3 2 8" xfId="3423"/>
    <cellStyle name="20% - Accent3 2 3 2 8 2" xfId="3424"/>
    <cellStyle name="20% - Accent3 2 3 2 9" xfId="3425"/>
    <cellStyle name="20% - Accent3 2 3 3" xfId="3426"/>
    <cellStyle name="20% - Accent3 2 3 3 2" xfId="3427"/>
    <cellStyle name="20% - Accent3 2 3 3 2 2" xfId="3428"/>
    <cellStyle name="20% - Accent3 2 3 3 2 2 2" xfId="3429"/>
    <cellStyle name="20% - Accent3 2 3 3 2 2 2 2" xfId="3430"/>
    <cellStyle name="20% - Accent3 2 3 3 2 2 3" xfId="3431"/>
    <cellStyle name="20% - Accent3 2 3 3 2 2 4" xfId="3432"/>
    <cellStyle name="20% - Accent3 2 3 3 2 3" xfId="3433"/>
    <cellStyle name="20% - Accent3 2 3 3 2 3 2" xfId="3434"/>
    <cellStyle name="20% - Accent3 2 3 3 2 4" xfId="3435"/>
    <cellStyle name="20% - Accent3 2 3 3 2 5" xfId="3436"/>
    <cellStyle name="20% - Accent3 2 3 3 3" xfId="3437"/>
    <cellStyle name="20% - Accent3 2 3 3 3 2" xfId="3438"/>
    <cellStyle name="20% - Accent3 2 3 3 3 2 2" xfId="3439"/>
    <cellStyle name="20% - Accent3 2 3 3 3 2 2 2" xfId="3440"/>
    <cellStyle name="20% - Accent3 2 3 3 3 2 3" xfId="3441"/>
    <cellStyle name="20% - Accent3 2 3 3 3 2 4" xfId="3442"/>
    <cellStyle name="20% - Accent3 2 3 3 3 3" xfId="3443"/>
    <cellStyle name="20% - Accent3 2 3 3 3 3 2" xfId="3444"/>
    <cellStyle name="20% - Accent3 2 3 3 3 4" xfId="3445"/>
    <cellStyle name="20% - Accent3 2 3 3 3 5" xfId="3446"/>
    <cellStyle name="20% - Accent3 2 3 3 4" xfId="3447"/>
    <cellStyle name="20% - Accent3 2 3 3 4 2" xfId="3448"/>
    <cellStyle name="20% - Accent3 2 3 3 4 2 2" xfId="3449"/>
    <cellStyle name="20% - Accent3 2 3 3 4 3" xfId="3450"/>
    <cellStyle name="20% - Accent3 2 3 3 4 4" xfId="3451"/>
    <cellStyle name="20% - Accent3 2 3 3 5" xfId="3452"/>
    <cellStyle name="20% - Accent3 2 3 3 5 2" xfId="3453"/>
    <cellStyle name="20% - Accent3 2 3 3 5 2 2" xfId="3454"/>
    <cellStyle name="20% - Accent3 2 3 3 5 3" xfId="3455"/>
    <cellStyle name="20% - Accent3 2 3 3 5 4" xfId="3456"/>
    <cellStyle name="20% - Accent3 2 3 3 6" xfId="3457"/>
    <cellStyle name="20% - Accent3 2 3 3 6 2" xfId="3458"/>
    <cellStyle name="20% - Accent3 2 3 3 6 2 2" xfId="3459"/>
    <cellStyle name="20% - Accent3 2 3 3 6 3" xfId="3460"/>
    <cellStyle name="20% - Accent3 2 3 3 6 4" xfId="3461"/>
    <cellStyle name="20% - Accent3 2 3 3 7" xfId="3462"/>
    <cellStyle name="20% - Accent3 2 3 3 7 2" xfId="3463"/>
    <cellStyle name="20% - Accent3 2 3 3 8" xfId="3464"/>
    <cellStyle name="20% - Accent3 2 3 3 9" xfId="3465"/>
    <cellStyle name="20% - Accent3 2 3 4" xfId="3466"/>
    <cellStyle name="20% - Accent3 2 3 4 2" xfId="3467"/>
    <cellStyle name="20% - Accent3 2 3 4 2 2" xfId="3468"/>
    <cellStyle name="20% - Accent3 2 3 4 2 2 2" xfId="3469"/>
    <cellStyle name="20% - Accent3 2 3 4 2 3" xfId="3470"/>
    <cellStyle name="20% - Accent3 2 3 4 2 4" xfId="3471"/>
    <cellStyle name="20% - Accent3 2 3 4 3" xfId="3472"/>
    <cellStyle name="20% - Accent3 2 3 4 4" xfId="3473"/>
    <cellStyle name="20% - Accent3 2 3 4 4 2" xfId="3474"/>
    <cellStyle name="20% - Accent3 2 3 4 5" xfId="3475"/>
    <cellStyle name="20% - Accent3 2 3 4 6" xfId="3476"/>
    <cellStyle name="20% - Accent3 2 3 5" xfId="3477"/>
    <cellStyle name="20% - Accent3 2 3 5 2" xfId="3478"/>
    <cellStyle name="20% - Accent3 2 3 5 2 2" xfId="3479"/>
    <cellStyle name="20% - Accent3 2 3 5 2 2 2" xfId="3480"/>
    <cellStyle name="20% - Accent3 2 3 5 2 3" xfId="3481"/>
    <cellStyle name="20% - Accent3 2 3 5 2 4" xfId="3482"/>
    <cellStyle name="20% - Accent3 2 3 5 3" xfId="3483"/>
    <cellStyle name="20% - Accent3 2 3 5 3 2" xfId="3484"/>
    <cellStyle name="20% - Accent3 2 3 5 4" xfId="3485"/>
    <cellStyle name="20% - Accent3 2 3 5 5" xfId="3486"/>
    <cellStyle name="20% - Accent3 2 3 6" xfId="3487"/>
    <cellStyle name="20% - Accent3 2 3 6 2" xfId="3488"/>
    <cellStyle name="20% - Accent3 2 3 6 2 2" xfId="3489"/>
    <cellStyle name="20% - Accent3 2 3 6 3" xfId="3490"/>
    <cellStyle name="20% - Accent3 2 3 6 4" xfId="3491"/>
    <cellStyle name="20% - Accent3 2 3 7" xfId="3492"/>
    <cellStyle name="20% - Accent3 2 3 7 2" xfId="3493"/>
    <cellStyle name="20% - Accent3 2 3 7 2 2" xfId="3494"/>
    <cellStyle name="20% - Accent3 2 3 7 3" xfId="3495"/>
    <cellStyle name="20% - Accent3 2 3 7 4" xfId="3496"/>
    <cellStyle name="20% - Accent3 2 3 8" xfId="3497"/>
    <cellStyle name="20% - Accent3 2 3 8 2" xfId="3498"/>
    <cellStyle name="20% - Accent3 2 3 8 2 2" xfId="3499"/>
    <cellStyle name="20% - Accent3 2 3 8 3" xfId="3500"/>
    <cellStyle name="20% - Accent3 2 3 8 4" xfId="3501"/>
    <cellStyle name="20% - Accent3 2 3 9" xfId="3502"/>
    <cellStyle name="20% - Accent3 2 3 9 2" xfId="3503"/>
    <cellStyle name="20% - Accent3 2 4" xfId="3504"/>
    <cellStyle name="20% - Accent3 2 4 10" xfId="3505"/>
    <cellStyle name="20% - Accent3 2 4 2" xfId="3506"/>
    <cellStyle name="20% - Accent3 2 4 2 2" xfId="3507"/>
    <cellStyle name="20% - Accent3 2 4 2 2 2" xfId="3508"/>
    <cellStyle name="20% - Accent3 2 4 2 2 2 2" xfId="3509"/>
    <cellStyle name="20% - Accent3 2 4 2 2 2 2 2" xfId="3510"/>
    <cellStyle name="20% - Accent3 2 4 2 2 2 3" xfId="3511"/>
    <cellStyle name="20% - Accent3 2 4 2 2 2 4" xfId="3512"/>
    <cellStyle name="20% - Accent3 2 4 2 2 3" xfId="3513"/>
    <cellStyle name="20% - Accent3 2 4 2 2 3 2" xfId="3514"/>
    <cellStyle name="20% - Accent3 2 4 2 2 4" xfId="3515"/>
    <cellStyle name="20% - Accent3 2 4 2 2 5" xfId="3516"/>
    <cellStyle name="20% - Accent3 2 4 2 3" xfId="3517"/>
    <cellStyle name="20% - Accent3 2 4 2 3 2" xfId="3518"/>
    <cellStyle name="20% - Accent3 2 4 2 3 2 2" xfId="3519"/>
    <cellStyle name="20% - Accent3 2 4 2 3 2 2 2" xfId="3520"/>
    <cellStyle name="20% - Accent3 2 4 2 3 2 3" xfId="3521"/>
    <cellStyle name="20% - Accent3 2 4 2 3 2 4" xfId="3522"/>
    <cellStyle name="20% - Accent3 2 4 2 3 3" xfId="3523"/>
    <cellStyle name="20% - Accent3 2 4 2 3 3 2" xfId="3524"/>
    <cellStyle name="20% - Accent3 2 4 2 3 4" xfId="3525"/>
    <cellStyle name="20% - Accent3 2 4 2 3 5" xfId="3526"/>
    <cellStyle name="20% - Accent3 2 4 2 4" xfId="3527"/>
    <cellStyle name="20% - Accent3 2 4 2 4 2" xfId="3528"/>
    <cellStyle name="20% - Accent3 2 4 2 4 2 2" xfId="3529"/>
    <cellStyle name="20% - Accent3 2 4 2 4 3" xfId="3530"/>
    <cellStyle name="20% - Accent3 2 4 2 4 4" xfId="3531"/>
    <cellStyle name="20% - Accent3 2 4 2 5" xfId="3532"/>
    <cellStyle name="20% - Accent3 2 4 2 5 2" xfId="3533"/>
    <cellStyle name="20% - Accent3 2 4 2 5 2 2" xfId="3534"/>
    <cellStyle name="20% - Accent3 2 4 2 5 3" xfId="3535"/>
    <cellStyle name="20% - Accent3 2 4 2 5 4" xfId="3536"/>
    <cellStyle name="20% - Accent3 2 4 2 6" xfId="3537"/>
    <cellStyle name="20% - Accent3 2 4 2 6 2" xfId="3538"/>
    <cellStyle name="20% - Accent3 2 4 2 6 2 2" xfId="3539"/>
    <cellStyle name="20% - Accent3 2 4 2 6 3" xfId="3540"/>
    <cellStyle name="20% - Accent3 2 4 2 6 4" xfId="3541"/>
    <cellStyle name="20% - Accent3 2 4 2 7" xfId="3542"/>
    <cellStyle name="20% - Accent3 2 4 2 7 2" xfId="3543"/>
    <cellStyle name="20% - Accent3 2 4 2 8" xfId="3544"/>
    <cellStyle name="20% - Accent3 2 4 2 9" xfId="3545"/>
    <cellStyle name="20% - Accent3 2 4 3" xfId="3546"/>
    <cellStyle name="20% - Accent3 2 4 3 2" xfId="3547"/>
    <cellStyle name="20% - Accent3 2 4 3 2 2" xfId="3548"/>
    <cellStyle name="20% - Accent3 2 4 3 2 2 2" xfId="3549"/>
    <cellStyle name="20% - Accent3 2 4 3 2 3" xfId="3550"/>
    <cellStyle name="20% - Accent3 2 4 3 2 4" xfId="3551"/>
    <cellStyle name="20% - Accent3 2 4 3 3" xfId="3552"/>
    <cellStyle name="20% - Accent3 2 4 3 3 2" xfId="3553"/>
    <cellStyle name="20% - Accent3 2 4 3 4" xfId="3554"/>
    <cellStyle name="20% - Accent3 2 4 3 5" xfId="3555"/>
    <cellStyle name="20% - Accent3 2 4 4" xfId="3556"/>
    <cellStyle name="20% - Accent3 2 4 4 2" xfId="3557"/>
    <cellStyle name="20% - Accent3 2 4 4 2 2" xfId="3558"/>
    <cellStyle name="20% - Accent3 2 4 4 2 2 2" xfId="3559"/>
    <cellStyle name="20% - Accent3 2 4 4 2 3" xfId="3560"/>
    <cellStyle name="20% - Accent3 2 4 4 2 4" xfId="3561"/>
    <cellStyle name="20% - Accent3 2 4 4 3" xfId="3562"/>
    <cellStyle name="20% - Accent3 2 4 4 3 2" xfId="3563"/>
    <cellStyle name="20% - Accent3 2 4 4 4" xfId="3564"/>
    <cellStyle name="20% - Accent3 2 4 4 5" xfId="3565"/>
    <cellStyle name="20% - Accent3 2 4 5" xfId="3566"/>
    <cellStyle name="20% - Accent3 2 4 5 2" xfId="3567"/>
    <cellStyle name="20% - Accent3 2 4 5 2 2" xfId="3568"/>
    <cellStyle name="20% - Accent3 2 4 5 3" xfId="3569"/>
    <cellStyle name="20% - Accent3 2 4 5 4" xfId="3570"/>
    <cellStyle name="20% - Accent3 2 4 6" xfId="3571"/>
    <cellStyle name="20% - Accent3 2 4 6 2" xfId="3572"/>
    <cellStyle name="20% - Accent3 2 4 6 2 2" xfId="3573"/>
    <cellStyle name="20% - Accent3 2 4 6 3" xfId="3574"/>
    <cellStyle name="20% - Accent3 2 4 6 4" xfId="3575"/>
    <cellStyle name="20% - Accent3 2 4 7" xfId="3576"/>
    <cellStyle name="20% - Accent3 2 4 7 2" xfId="3577"/>
    <cellStyle name="20% - Accent3 2 4 7 2 2" xfId="3578"/>
    <cellStyle name="20% - Accent3 2 4 7 3" xfId="3579"/>
    <cellStyle name="20% - Accent3 2 4 7 4" xfId="3580"/>
    <cellStyle name="20% - Accent3 2 4 8" xfId="3581"/>
    <cellStyle name="20% - Accent3 2 4 8 2" xfId="3582"/>
    <cellStyle name="20% - Accent3 2 4 9" xfId="3583"/>
    <cellStyle name="20% - Accent3 2 5" xfId="3584"/>
    <cellStyle name="20% - Accent3 2 5 2" xfId="3585"/>
    <cellStyle name="20% - Accent3 2 5 2 2" xfId="3586"/>
    <cellStyle name="20% - Accent3 2 5 2 2 2" xfId="3587"/>
    <cellStyle name="20% - Accent3 2 5 2 2 2 2" xfId="3588"/>
    <cellStyle name="20% - Accent3 2 5 2 2 3" xfId="3589"/>
    <cellStyle name="20% - Accent3 2 5 2 2 4" xfId="3590"/>
    <cellStyle name="20% - Accent3 2 5 2 3" xfId="3591"/>
    <cellStyle name="20% - Accent3 2 5 2 3 2" xfId="3592"/>
    <cellStyle name="20% - Accent3 2 5 2 4" xfId="3593"/>
    <cellStyle name="20% - Accent3 2 5 2 5" xfId="3594"/>
    <cellStyle name="20% - Accent3 2 5 3" xfId="3595"/>
    <cellStyle name="20% - Accent3 2 5 3 2" xfId="3596"/>
    <cellStyle name="20% - Accent3 2 5 3 2 2" xfId="3597"/>
    <cellStyle name="20% - Accent3 2 5 3 2 2 2" xfId="3598"/>
    <cellStyle name="20% - Accent3 2 5 3 2 3" xfId="3599"/>
    <cellStyle name="20% - Accent3 2 5 3 2 4" xfId="3600"/>
    <cellStyle name="20% - Accent3 2 5 3 3" xfId="3601"/>
    <cellStyle name="20% - Accent3 2 5 3 3 2" xfId="3602"/>
    <cellStyle name="20% - Accent3 2 5 3 4" xfId="3603"/>
    <cellStyle name="20% - Accent3 2 5 3 5" xfId="3604"/>
    <cellStyle name="20% - Accent3 2 5 4" xfId="3605"/>
    <cellStyle name="20% - Accent3 2 5 4 2" xfId="3606"/>
    <cellStyle name="20% - Accent3 2 5 4 2 2" xfId="3607"/>
    <cellStyle name="20% - Accent3 2 5 4 3" xfId="3608"/>
    <cellStyle name="20% - Accent3 2 5 4 4" xfId="3609"/>
    <cellStyle name="20% - Accent3 2 5 5" xfId="3610"/>
    <cellStyle name="20% - Accent3 2 5 5 2" xfId="3611"/>
    <cellStyle name="20% - Accent3 2 5 5 2 2" xfId="3612"/>
    <cellStyle name="20% - Accent3 2 5 5 3" xfId="3613"/>
    <cellStyle name="20% - Accent3 2 5 5 4" xfId="3614"/>
    <cellStyle name="20% - Accent3 2 5 6" xfId="3615"/>
    <cellStyle name="20% - Accent3 2 5 6 2" xfId="3616"/>
    <cellStyle name="20% - Accent3 2 5 6 2 2" xfId="3617"/>
    <cellStyle name="20% - Accent3 2 5 6 3" xfId="3618"/>
    <cellStyle name="20% - Accent3 2 5 6 4" xfId="3619"/>
    <cellStyle name="20% - Accent3 2 5 7" xfId="3620"/>
    <cellStyle name="20% - Accent3 2 5 7 2" xfId="3621"/>
    <cellStyle name="20% - Accent3 2 5 8" xfId="3622"/>
    <cellStyle name="20% - Accent3 2 5 9" xfId="3623"/>
    <cellStyle name="20% - Accent3 2 6" xfId="3624"/>
    <cellStyle name="20% - Accent3 2 7" xfId="3625"/>
    <cellStyle name="20% - Accent3 2 8" xfId="3626"/>
    <cellStyle name="20% - Accent3 2 8 2" xfId="3627"/>
    <cellStyle name="20% - Accent3 2 9" xfId="3628"/>
    <cellStyle name="20% - Accent3 2 9 2" xfId="3629"/>
    <cellStyle name="20% - Accent3 2 9 2 2" xfId="3630"/>
    <cellStyle name="20% - Accent3 2 9 2 2 2" xfId="3631"/>
    <cellStyle name="20% - Accent3 2 9 2 3" xfId="3632"/>
    <cellStyle name="20% - Accent3 2 9 2 4" xfId="3633"/>
    <cellStyle name="20% - Accent3 2 9 3" xfId="3634"/>
    <cellStyle name="20% - Accent3 2 9 4" xfId="3635"/>
    <cellStyle name="20% - Accent3 2 9 4 2" xfId="3636"/>
    <cellStyle name="20% - Accent3 2 9 5" xfId="3637"/>
    <cellStyle name="20% - Accent3 2 9 6" xfId="3638"/>
    <cellStyle name="20% - Accent3 3" xfId="103"/>
    <cellStyle name="20% - Accent3 3 2" xfId="3640"/>
    <cellStyle name="20% - Accent3 3 2 10" xfId="3641"/>
    <cellStyle name="20% - Accent3 3 2 10 2" xfId="3642"/>
    <cellStyle name="20% - Accent3 3 2 11" xfId="3643"/>
    <cellStyle name="20% - Accent3 3 2 12" xfId="3644"/>
    <cellStyle name="20% - Accent3 3 2 2" xfId="3645"/>
    <cellStyle name="20% - Accent3 3 2 2 10" xfId="3646"/>
    <cellStyle name="20% - Accent3 3 2 2 11" xfId="3647"/>
    <cellStyle name="20% - Accent3 3 2 2 2" xfId="3648"/>
    <cellStyle name="20% - Accent3 3 2 2 2 10" xfId="3649"/>
    <cellStyle name="20% - Accent3 3 2 2 2 2" xfId="3650"/>
    <cellStyle name="20% - Accent3 3 2 2 2 2 2" xfId="3651"/>
    <cellStyle name="20% - Accent3 3 2 2 2 2 2 2" xfId="3652"/>
    <cellStyle name="20% - Accent3 3 2 2 2 2 2 2 2" xfId="3653"/>
    <cellStyle name="20% - Accent3 3 2 2 2 2 2 2 2 2" xfId="3654"/>
    <cellStyle name="20% - Accent3 3 2 2 2 2 2 2 3" xfId="3655"/>
    <cellStyle name="20% - Accent3 3 2 2 2 2 2 2 4" xfId="3656"/>
    <cellStyle name="20% - Accent3 3 2 2 2 2 2 3" xfId="3657"/>
    <cellStyle name="20% - Accent3 3 2 2 2 2 2 3 2" xfId="3658"/>
    <cellStyle name="20% - Accent3 3 2 2 2 2 2 4" xfId="3659"/>
    <cellStyle name="20% - Accent3 3 2 2 2 2 2 5" xfId="3660"/>
    <cellStyle name="20% - Accent3 3 2 2 2 2 3" xfId="3661"/>
    <cellStyle name="20% - Accent3 3 2 2 2 2 3 2" xfId="3662"/>
    <cellStyle name="20% - Accent3 3 2 2 2 2 3 2 2" xfId="3663"/>
    <cellStyle name="20% - Accent3 3 2 2 2 2 3 2 2 2" xfId="3664"/>
    <cellStyle name="20% - Accent3 3 2 2 2 2 3 2 3" xfId="3665"/>
    <cellStyle name="20% - Accent3 3 2 2 2 2 3 2 4" xfId="3666"/>
    <cellStyle name="20% - Accent3 3 2 2 2 2 3 3" xfId="3667"/>
    <cellStyle name="20% - Accent3 3 2 2 2 2 3 3 2" xfId="3668"/>
    <cellStyle name="20% - Accent3 3 2 2 2 2 3 4" xfId="3669"/>
    <cellStyle name="20% - Accent3 3 2 2 2 2 3 5" xfId="3670"/>
    <cellStyle name="20% - Accent3 3 2 2 2 2 4" xfId="3671"/>
    <cellStyle name="20% - Accent3 3 2 2 2 2 4 2" xfId="3672"/>
    <cellStyle name="20% - Accent3 3 2 2 2 2 4 2 2" xfId="3673"/>
    <cellStyle name="20% - Accent3 3 2 2 2 2 4 3" xfId="3674"/>
    <cellStyle name="20% - Accent3 3 2 2 2 2 4 4" xfId="3675"/>
    <cellStyle name="20% - Accent3 3 2 2 2 2 5" xfId="3676"/>
    <cellStyle name="20% - Accent3 3 2 2 2 2 5 2" xfId="3677"/>
    <cellStyle name="20% - Accent3 3 2 2 2 2 5 2 2" xfId="3678"/>
    <cellStyle name="20% - Accent3 3 2 2 2 2 5 3" xfId="3679"/>
    <cellStyle name="20% - Accent3 3 2 2 2 2 5 4" xfId="3680"/>
    <cellStyle name="20% - Accent3 3 2 2 2 2 6" xfId="3681"/>
    <cellStyle name="20% - Accent3 3 2 2 2 2 6 2" xfId="3682"/>
    <cellStyle name="20% - Accent3 3 2 2 2 2 6 2 2" xfId="3683"/>
    <cellStyle name="20% - Accent3 3 2 2 2 2 6 3" xfId="3684"/>
    <cellStyle name="20% - Accent3 3 2 2 2 2 6 4" xfId="3685"/>
    <cellStyle name="20% - Accent3 3 2 2 2 2 7" xfId="3686"/>
    <cellStyle name="20% - Accent3 3 2 2 2 2 7 2" xfId="3687"/>
    <cellStyle name="20% - Accent3 3 2 2 2 2 8" xfId="3688"/>
    <cellStyle name="20% - Accent3 3 2 2 2 2 9" xfId="3689"/>
    <cellStyle name="20% - Accent3 3 2 2 2 3" xfId="3690"/>
    <cellStyle name="20% - Accent3 3 2 2 2 3 2" xfId="3691"/>
    <cellStyle name="20% - Accent3 3 2 2 2 3 2 2" xfId="3692"/>
    <cellStyle name="20% - Accent3 3 2 2 2 3 2 2 2" xfId="3693"/>
    <cellStyle name="20% - Accent3 3 2 2 2 3 2 3" xfId="3694"/>
    <cellStyle name="20% - Accent3 3 2 2 2 3 2 4" xfId="3695"/>
    <cellStyle name="20% - Accent3 3 2 2 2 3 3" xfId="3696"/>
    <cellStyle name="20% - Accent3 3 2 2 2 3 3 2" xfId="3697"/>
    <cellStyle name="20% - Accent3 3 2 2 2 3 4" xfId="3698"/>
    <cellStyle name="20% - Accent3 3 2 2 2 3 5" xfId="3699"/>
    <cellStyle name="20% - Accent3 3 2 2 2 4" xfId="3700"/>
    <cellStyle name="20% - Accent3 3 2 2 2 4 2" xfId="3701"/>
    <cellStyle name="20% - Accent3 3 2 2 2 4 2 2" xfId="3702"/>
    <cellStyle name="20% - Accent3 3 2 2 2 4 2 2 2" xfId="3703"/>
    <cellStyle name="20% - Accent3 3 2 2 2 4 2 3" xfId="3704"/>
    <cellStyle name="20% - Accent3 3 2 2 2 4 2 4" xfId="3705"/>
    <cellStyle name="20% - Accent3 3 2 2 2 4 3" xfId="3706"/>
    <cellStyle name="20% - Accent3 3 2 2 2 4 3 2" xfId="3707"/>
    <cellStyle name="20% - Accent3 3 2 2 2 4 4" xfId="3708"/>
    <cellStyle name="20% - Accent3 3 2 2 2 4 5" xfId="3709"/>
    <cellStyle name="20% - Accent3 3 2 2 2 5" xfId="3710"/>
    <cellStyle name="20% - Accent3 3 2 2 2 5 2" xfId="3711"/>
    <cellStyle name="20% - Accent3 3 2 2 2 5 2 2" xfId="3712"/>
    <cellStyle name="20% - Accent3 3 2 2 2 5 3" xfId="3713"/>
    <cellStyle name="20% - Accent3 3 2 2 2 5 4" xfId="3714"/>
    <cellStyle name="20% - Accent3 3 2 2 2 6" xfId="3715"/>
    <cellStyle name="20% - Accent3 3 2 2 2 6 2" xfId="3716"/>
    <cellStyle name="20% - Accent3 3 2 2 2 6 2 2" xfId="3717"/>
    <cellStyle name="20% - Accent3 3 2 2 2 6 3" xfId="3718"/>
    <cellStyle name="20% - Accent3 3 2 2 2 6 4" xfId="3719"/>
    <cellStyle name="20% - Accent3 3 2 2 2 7" xfId="3720"/>
    <cellStyle name="20% - Accent3 3 2 2 2 7 2" xfId="3721"/>
    <cellStyle name="20% - Accent3 3 2 2 2 7 2 2" xfId="3722"/>
    <cellStyle name="20% - Accent3 3 2 2 2 7 3" xfId="3723"/>
    <cellStyle name="20% - Accent3 3 2 2 2 7 4" xfId="3724"/>
    <cellStyle name="20% - Accent3 3 2 2 2 8" xfId="3725"/>
    <cellStyle name="20% - Accent3 3 2 2 2 8 2" xfId="3726"/>
    <cellStyle name="20% - Accent3 3 2 2 2 9" xfId="3727"/>
    <cellStyle name="20% - Accent3 3 2 2 3" xfId="3728"/>
    <cellStyle name="20% - Accent3 3 2 2 3 2" xfId="3729"/>
    <cellStyle name="20% - Accent3 3 2 2 3 2 2" xfId="3730"/>
    <cellStyle name="20% - Accent3 3 2 2 3 2 2 2" xfId="3731"/>
    <cellStyle name="20% - Accent3 3 2 2 3 2 2 2 2" xfId="3732"/>
    <cellStyle name="20% - Accent3 3 2 2 3 2 2 3" xfId="3733"/>
    <cellStyle name="20% - Accent3 3 2 2 3 2 2 4" xfId="3734"/>
    <cellStyle name="20% - Accent3 3 2 2 3 2 3" xfId="3735"/>
    <cellStyle name="20% - Accent3 3 2 2 3 2 3 2" xfId="3736"/>
    <cellStyle name="20% - Accent3 3 2 2 3 2 4" xfId="3737"/>
    <cellStyle name="20% - Accent3 3 2 2 3 2 5" xfId="3738"/>
    <cellStyle name="20% - Accent3 3 2 2 3 3" xfId="3739"/>
    <cellStyle name="20% - Accent3 3 2 2 3 3 2" xfId="3740"/>
    <cellStyle name="20% - Accent3 3 2 2 3 3 2 2" xfId="3741"/>
    <cellStyle name="20% - Accent3 3 2 2 3 3 2 2 2" xfId="3742"/>
    <cellStyle name="20% - Accent3 3 2 2 3 3 2 3" xfId="3743"/>
    <cellStyle name="20% - Accent3 3 2 2 3 3 2 4" xfId="3744"/>
    <cellStyle name="20% - Accent3 3 2 2 3 3 3" xfId="3745"/>
    <cellStyle name="20% - Accent3 3 2 2 3 3 3 2" xfId="3746"/>
    <cellStyle name="20% - Accent3 3 2 2 3 3 4" xfId="3747"/>
    <cellStyle name="20% - Accent3 3 2 2 3 3 5" xfId="3748"/>
    <cellStyle name="20% - Accent3 3 2 2 3 4" xfId="3749"/>
    <cellStyle name="20% - Accent3 3 2 2 3 4 2" xfId="3750"/>
    <cellStyle name="20% - Accent3 3 2 2 3 4 2 2" xfId="3751"/>
    <cellStyle name="20% - Accent3 3 2 2 3 4 3" xfId="3752"/>
    <cellStyle name="20% - Accent3 3 2 2 3 4 4" xfId="3753"/>
    <cellStyle name="20% - Accent3 3 2 2 3 5" xfId="3754"/>
    <cellStyle name="20% - Accent3 3 2 2 3 5 2" xfId="3755"/>
    <cellStyle name="20% - Accent3 3 2 2 3 5 2 2" xfId="3756"/>
    <cellStyle name="20% - Accent3 3 2 2 3 5 3" xfId="3757"/>
    <cellStyle name="20% - Accent3 3 2 2 3 5 4" xfId="3758"/>
    <cellStyle name="20% - Accent3 3 2 2 3 6" xfId="3759"/>
    <cellStyle name="20% - Accent3 3 2 2 3 6 2" xfId="3760"/>
    <cellStyle name="20% - Accent3 3 2 2 3 6 2 2" xfId="3761"/>
    <cellStyle name="20% - Accent3 3 2 2 3 6 3" xfId="3762"/>
    <cellStyle name="20% - Accent3 3 2 2 3 6 4" xfId="3763"/>
    <cellStyle name="20% - Accent3 3 2 2 3 7" xfId="3764"/>
    <cellStyle name="20% - Accent3 3 2 2 3 7 2" xfId="3765"/>
    <cellStyle name="20% - Accent3 3 2 2 3 8" xfId="3766"/>
    <cellStyle name="20% - Accent3 3 2 2 3 9" xfId="3767"/>
    <cellStyle name="20% - Accent3 3 2 2 4" xfId="3768"/>
    <cellStyle name="20% - Accent3 3 2 2 4 2" xfId="3769"/>
    <cellStyle name="20% - Accent3 3 2 2 4 2 2" xfId="3770"/>
    <cellStyle name="20% - Accent3 3 2 2 4 2 2 2" xfId="3771"/>
    <cellStyle name="20% - Accent3 3 2 2 4 2 3" xfId="3772"/>
    <cellStyle name="20% - Accent3 3 2 2 4 2 4" xfId="3773"/>
    <cellStyle name="20% - Accent3 3 2 2 4 3" xfId="3774"/>
    <cellStyle name="20% - Accent3 3 2 2 4 3 2" xfId="3775"/>
    <cellStyle name="20% - Accent3 3 2 2 4 4" xfId="3776"/>
    <cellStyle name="20% - Accent3 3 2 2 4 5" xfId="3777"/>
    <cellStyle name="20% - Accent3 3 2 2 5" xfId="3778"/>
    <cellStyle name="20% - Accent3 3 2 2 5 2" xfId="3779"/>
    <cellStyle name="20% - Accent3 3 2 2 5 2 2" xfId="3780"/>
    <cellStyle name="20% - Accent3 3 2 2 5 2 2 2" xfId="3781"/>
    <cellStyle name="20% - Accent3 3 2 2 5 2 3" xfId="3782"/>
    <cellStyle name="20% - Accent3 3 2 2 5 2 4" xfId="3783"/>
    <cellStyle name="20% - Accent3 3 2 2 5 3" xfId="3784"/>
    <cellStyle name="20% - Accent3 3 2 2 5 3 2" xfId="3785"/>
    <cellStyle name="20% - Accent3 3 2 2 5 4" xfId="3786"/>
    <cellStyle name="20% - Accent3 3 2 2 5 5" xfId="3787"/>
    <cellStyle name="20% - Accent3 3 2 2 6" xfId="3788"/>
    <cellStyle name="20% - Accent3 3 2 2 6 2" xfId="3789"/>
    <cellStyle name="20% - Accent3 3 2 2 6 2 2" xfId="3790"/>
    <cellStyle name="20% - Accent3 3 2 2 6 3" xfId="3791"/>
    <cellStyle name="20% - Accent3 3 2 2 6 4" xfId="3792"/>
    <cellStyle name="20% - Accent3 3 2 2 7" xfId="3793"/>
    <cellStyle name="20% - Accent3 3 2 2 7 2" xfId="3794"/>
    <cellStyle name="20% - Accent3 3 2 2 7 2 2" xfId="3795"/>
    <cellStyle name="20% - Accent3 3 2 2 7 3" xfId="3796"/>
    <cellStyle name="20% - Accent3 3 2 2 7 4" xfId="3797"/>
    <cellStyle name="20% - Accent3 3 2 2 8" xfId="3798"/>
    <cellStyle name="20% - Accent3 3 2 2 8 2" xfId="3799"/>
    <cellStyle name="20% - Accent3 3 2 2 8 2 2" xfId="3800"/>
    <cellStyle name="20% - Accent3 3 2 2 8 3" xfId="3801"/>
    <cellStyle name="20% - Accent3 3 2 2 8 4" xfId="3802"/>
    <cellStyle name="20% - Accent3 3 2 2 9" xfId="3803"/>
    <cellStyle name="20% - Accent3 3 2 2 9 2" xfId="3804"/>
    <cellStyle name="20% - Accent3 3 2 3" xfId="3805"/>
    <cellStyle name="20% - Accent3 3 2 3 10" xfId="3806"/>
    <cellStyle name="20% - Accent3 3 2 3 2" xfId="3807"/>
    <cellStyle name="20% - Accent3 3 2 3 2 2" xfId="3808"/>
    <cellStyle name="20% - Accent3 3 2 3 2 2 2" xfId="3809"/>
    <cellStyle name="20% - Accent3 3 2 3 2 2 2 2" xfId="3810"/>
    <cellStyle name="20% - Accent3 3 2 3 2 2 2 2 2" xfId="3811"/>
    <cellStyle name="20% - Accent3 3 2 3 2 2 2 3" xfId="3812"/>
    <cellStyle name="20% - Accent3 3 2 3 2 2 2 4" xfId="3813"/>
    <cellStyle name="20% - Accent3 3 2 3 2 2 3" xfId="3814"/>
    <cellStyle name="20% - Accent3 3 2 3 2 2 3 2" xfId="3815"/>
    <cellStyle name="20% - Accent3 3 2 3 2 2 4" xfId="3816"/>
    <cellStyle name="20% - Accent3 3 2 3 2 2 5" xfId="3817"/>
    <cellStyle name="20% - Accent3 3 2 3 2 3" xfId="3818"/>
    <cellStyle name="20% - Accent3 3 2 3 2 3 2" xfId="3819"/>
    <cellStyle name="20% - Accent3 3 2 3 2 3 2 2" xfId="3820"/>
    <cellStyle name="20% - Accent3 3 2 3 2 3 2 2 2" xfId="3821"/>
    <cellStyle name="20% - Accent3 3 2 3 2 3 2 3" xfId="3822"/>
    <cellStyle name="20% - Accent3 3 2 3 2 3 2 4" xfId="3823"/>
    <cellStyle name="20% - Accent3 3 2 3 2 3 3" xfId="3824"/>
    <cellStyle name="20% - Accent3 3 2 3 2 3 3 2" xfId="3825"/>
    <cellStyle name="20% - Accent3 3 2 3 2 3 4" xfId="3826"/>
    <cellStyle name="20% - Accent3 3 2 3 2 3 5" xfId="3827"/>
    <cellStyle name="20% - Accent3 3 2 3 2 4" xfId="3828"/>
    <cellStyle name="20% - Accent3 3 2 3 2 4 2" xfId="3829"/>
    <cellStyle name="20% - Accent3 3 2 3 2 4 2 2" xfId="3830"/>
    <cellStyle name="20% - Accent3 3 2 3 2 4 3" xfId="3831"/>
    <cellStyle name="20% - Accent3 3 2 3 2 4 4" xfId="3832"/>
    <cellStyle name="20% - Accent3 3 2 3 2 5" xfId="3833"/>
    <cellStyle name="20% - Accent3 3 2 3 2 5 2" xfId="3834"/>
    <cellStyle name="20% - Accent3 3 2 3 2 5 2 2" xfId="3835"/>
    <cellStyle name="20% - Accent3 3 2 3 2 5 3" xfId="3836"/>
    <cellStyle name="20% - Accent3 3 2 3 2 5 4" xfId="3837"/>
    <cellStyle name="20% - Accent3 3 2 3 2 6" xfId="3838"/>
    <cellStyle name="20% - Accent3 3 2 3 2 6 2" xfId="3839"/>
    <cellStyle name="20% - Accent3 3 2 3 2 6 2 2" xfId="3840"/>
    <cellStyle name="20% - Accent3 3 2 3 2 6 3" xfId="3841"/>
    <cellStyle name="20% - Accent3 3 2 3 2 6 4" xfId="3842"/>
    <cellStyle name="20% - Accent3 3 2 3 2 7" xfId="3843"/>
    <cellStyle name="20% - Accent3 3 2 3 2 7 2" xfId="3844"/>
    <cellStyle name="20% - Accent3 3 2 3 2 8" xfId="3845"/>
    <cellStyle name="20% - Accent3 3 2 3 2 9" xfId="3846"/>
    <cellStyle name="20% - Accent3 3 2 3 3" xfId="3847"/>
    <cellStyle name="20% - Accent3 3 2 3 3 2" xfId="3848"/>
    <cellStyle name="20% - Accent3 3 2 3 3 2 2" xfId="3849"/>
    <cellStyle name="20% - Accent3 3 2 3 3 2 2 2" xfId="3850"/>
    <cellStyle name="20% - Accent3 3 2 3 3 2 3" xfId="3851"/>
    <cellStyle name="20% - Accent3 3 2 3 3 2 4" xfId="3852"/>
    <cellStyle name="20% - Accent3 3 2 3 3 3" xfId="3853"/>
    <cellStyle name="20% - Accent3 3 2 3 3 3 2" xfId="3854"/>
    <cellStyle name="20% - Accent3 3 2 3 3 4" xfId="3855"/>
    <cellStyle name="20% - Accent3 3 2 3 3 5" xfId="3856"/>
    <cellStyle name="20% - Accent3 3 2 3 4" xfId="3857"/>
    <cellStyle name="20% - Accent3 3 2 3 4 2" xfId="3858"/>
    <cellStyle name="20% - Accent3 3 2 3 4 2 2" xfId="3859"/>
    <cellStyle name="20% - Accent3 3 2 3 4 2 2 2" xfId="3860"/>
    <cellStyle name="20% - Accent3 3 2 3 4 2 3" xfId="3861"/>
    <cellStyle name="20% - Accent3 3 2 3 4 2 4" xfId="3862"/>
    <cellStyle name="20% - Accent3 3 2 3 4 3" xfId="3863"/>
    <cellStyle name="20% - Accent3 3 2 3 4 3 2" xfId="3864"/>
    <cellStyle name="20% - Accent3 3 2 3 4 4" xfId="3865"/>
    <cellStyle name="20% - Accent3 3 2 3 4 5" xfId="3866"/>
    <cellStyle name="20% - Accent3 3 2 3 5" xfId="3867"/>
    <cellStyle name="20% - Accent3 3 2 3 5 2" xfId="3868"/>
    <cellStyle name="20% - Accent3 3 2 3 5 2 2" xfId="3869"/>
    <cellStyle name="20% - Accent3 3 2 3 5 3" xfId="3870"/>
    <cellStyle name="20% - Accent3 3 2 3 5 4" xfId="3871"/>
    <cellStyle name="20% - Accent3 3 2 3 6" xfId="3872"/>
    <cellStyle name="20% - Accent3 3 2 3 6 2" xfId="3873"/>
    <cellStyle name="20% - Accent3 3 2 3 6 2 2" xfId="3874"/>
    <cellStyle name="20% - Accent3 3 2 3 6 3" xfId="3875"/>
    <cellStyle name="20% - Accent3 3 2 3 6 4" xfId="3876"/>
    <cellStyle name="20% - Accent3 3 2 3 7" xfId="3877"/>
    <cellStyle name="20% - Accent3 3 2 3 7 2" xfId="3878"/>
    <cellStyle name="20% - Accent3 3 2 3 7 2 2" xfId="3879"/>
    <cellStyle name="20% - Accent3 3 2 3 7 3" xfId="3880"/>
    <cellStyle name="20% - Accent3 3 2 3 7 4" xfId="3881"/>
    <cellStyle name="20% - Accent3 3 2 3 8" xfId="3882"/>
    <cellStyle name="20% - Accent3 3 2 3 8 2" xfId="3883"/>
    <cellStyle name="20% - Accent3 3 2 3 9" xfId="3884"/>
    <cellStyle name="20% - Accent3 3 2 4" xfId="3885"/>
    <cellStyle name="20% - Accent3 3 2 4 2" xfId="3886"/>
    <cellStyle name="20% - Accent3 3 2 4 2 2" xfId="3887"/>
    <cellStyle name="20% - Accent3 3 2 4 2 2 2" xfId="3888"/>
    <cellStyle name="20% - Accent3 3 2 4 2 2 2 2" xfId="3889"/>
    <cellStyle name="20% - Accent3 3 2 4 2 2 3" xfId="3890"/>
    <cellStyle name="20% - Accent3 3 2 4 2 2 4" xfId="3891"/>
    <cellStyle name="20% - Accent3 3 2 4 2 3" xfId="3892"/>
    <cellStyle name="20% - Accent3 3 2 4 2 3 2" xfId="3893"/>
    <cellStyle name="20% - Accent3 3 2 4 2 4" xfId="3894"/>
    <cellStyle name="20% - Accent3 3 2 4 2 5" xfId="3895"/>
    <cellStyle name="20% - Accent3 3 2 4 3" xfId="3896"/>
    <cellStyle name="20% - Accent3 3 2 4 3 2" xfId="3897"/>
    <cellStyle name="20% - Accent3 3 2 4 3 2 2" xfId="3898"/>
    <cellStyle name="20% - Accent3 3 2 4 3 2 2 2" xfId="3899"/>
    <cellStyle name="20% - Accent3 3 2 4 3 2 3" xfId="3900"/>
    <cellStyle name="20% - Accent3 3 2 4 3 2 4" xfId="3901"/>
    <cellStyle name="20% - Accent3 3 2 4 3 3" xfId="3902"/>
    <cellStyle name="20% - Accent3 3 2 4 3 3 2" xfId="3903"/>
    <cellStyle name="20% - Accent3 3 2 4 3 4" xfId="3904"/>
    <cellStyle name="20% - Accent3 3 2 4 3 5" xfId="3905"/>
    <cellStyle name="20% - Accent3 3 2 4 4" xfId="3906"/>
    <cellStyle name="20% - Accent3 3 2 4 4 2" xfId="3907"/>
    <cellStyle name="20% - Accent3 3 2 4 4 2 2" xfId="3908"/>
    <cellStyle name="20% - Accent3 3 2 4 4 3" xfId="3909"/>
    <cellStyle name="20% - Accent3 3 2 4 4 4" xfId="3910"/>
    <cellStyle name="20% - Accent3 3 2 4 5" xfId="3911"/>
    <cellStyle name="20% - Accent3 3 2 4 5 2" xfId="3912"/>
    <cellStyle name="20% - Accent3 3 2 4 5 2 2" xfId="3913"/>
    <cellStyle name="20% - Accent3 3 2 4 5 3" xfId="3914"/>
    <cellStyle name="20% - Accent3 3 2 4 5 4" xfId="3915"/>
    <cellStyle name="20% - Accent3 3 2 4 6" xfId="3916"/>
    <cellStyle name="20% - Accent3 3 2 4 6 2" xfId="3917"/>
    <cellStyle name="20% - Accent3 3 2 4 6 2 2" xfId="3918"/>
    <cellStyle name="20% - Accent3 3 2 4 6 3" xfId="3919"/>
    <cellStyle name="20% - Accent3 3 2 4 6 4" xfId="3920"/>
    <cellStyle name="20% - Accent3 3 2 4 7" xfId="3921"/>
    <cellStyle name="20% - Accent3 3 2 4 7 2" xfId="3922"/>
    <cellStyle name="20% - Accent3 3 2 4 8" xfId="3923"/>
    <cellStyle name="20% - Accent3 3 2 4 9" xfId="3924"/>
    <cellStyle name="20% - Accent3 3 2 5" xfId="3925"/>
    <cellStyle name="20% - Accent3 3 2 5 2" xfId="3926"/>
    <cellStyle name="20% - Accent3 3 2 5 2 2" xfId="3927"/>
    <cellStyle name="20% - Accent3 3 2 5 2 2 2" xfId="3928"/>
    <cellStyle name="20% - Accent3 3 2 5 2 3" xfId="3929"/>
    <cellStyle name="20% - Accent3 3 2 5 2 4" xfId="3930"/>
    <cellStyle name="20% - Accent3 3 2 5 3" xfId="3931"/>
    <cellStyle name="20% - Accent3 3 2 5 3 2" xfId="3932"/>
    <cellStyle name="20% - Accent3 3 2 5 4" xfId="3933"/>
    <cellStyle name="20% - Accent3 3 2 5 5" xfId="3934"/>
    <cellStyle name="20% - Accent3 3 2 6" xfId="3935"/>
    <cellStyle name="20% - Accent3 3 2 6 2" xfId="3936"/>
    <cellStyle name="20% - Accent3 3 2 6 2 2" xfId="3937"/>
    <cellStyle name="20% - Accent3 3 2 6 2 2 2" xfId="3938"/>
    <cellStyle name="20% - Accent3 3 2 6 2 3" xfId="3939"/>
    <cellStyle name="20% - Accent3 3 2 6 2 4" xfId="3940"/>
    <cellStyle name="20% - Accent3 3 2 6 3" xfId="3941"/>
    <cellStyle name="20% - Accent3 3 2 6 3 2" xfId="3942"/>
    <cellStyle name="20% - Accent3 3 2 6 4" xfId="3943"/>
    <cellStyle name="20% - Accent3 3 2 6 5" xfId="3944"/>
    <cellStyle name="20% - Accent3 3 2 7" xfId="3945"/>
    <cellStyle name="20% - Accent3 3 2 7 2" xfId="3946"/>
    <cellStyle name="20% - Accent3 3 2 7 2 2" xfId="3947"/>
    <cellStyle name="20% - Accent3 3 2 7 3" xfId="3948"/>
    <cellStyle name="20% - Accent3 3 2 7 4" xfId="3949"/>
    <cellStyle name="20% - Accent3 3 2 8" xfId="3950"/>
    <cellStyle name="20% - Accent3 3 2 8 2" xfId="3951"/>
    <cellStyle name="20% - Accent3 3 2 8 2 2" xfId="3952"/>
    <cellStyle name="20% - Accent3 3 2 8 3" xfId="3953"/>
    <cellStyle name="20% - Accent3 3 2 8 4" xfId="3954"/>
    <cellStyle name="20% - Accent3 3 2 9" xfId="3955"/>
    <cellStyle name="20% - Accent3 3 2 9 2" xfId="3956"/>
    <cellStyle name="20% - Accent3 3 2 9 2 2" xfId="3957"/>
    <cellStyle name="20% - Accent3 3 2 9 3" xfId="3958"/>
    <cellStyle name="20% - Accent3 3 2 9 4" xfId="3959"/>
    <cellStyle name="20% - Accent3 3 3" xfId="3960"/>
    <cellStyle name="20% - Accent3 3 4" xfId="3961"/>
    <cellStyle name="20% - Accent3 3 5" xfId="3962"/>
    <cellStyle name="20% - Accent3 3 5 2" xfId="3963"/>
    <cellStyle name="20% - Accent3 3 5 2 2" xfId="3964"/>
    <cellStyle name="20% - Accent3 3 5 3" xfId="3965"/>
    <cellStyle name="20% - Accent3 3 5 4" xfId="3966"/>
    <cellStyle name="20% - Accent3 3 6" xfId="3967"/>
    <cellStyle name="20% - Accent3 3 6 2" xfId="3968"/>
    <cellStyle name="20% - Accent3 3 6 2 2" xfId="3969"/>
    <cellStyle name="20% - Accent3 3 6 3" xfId="3970"/>
    <cellStyle name="20% - Accent3 3 6 4" xfId="3971"/>
    <cellStyle name="20% - Accent3 3 7" xfId="3972"/>
    <cellStyle name="20% - Accent3 3 8" xfId="3639"/>
    <cellStyle name="20% - Accent3 4" xfId="211"/>
    <cellStyle name="20% - Accent3 4 10" xfId="3974"/>
    <cellStyle name="20% - Accent3 4 10 2" xfId="3975"/>
    <cellStyle name="20% - Accent3 4 11" xfId="3976"/>
    <cellStyle name="20% - Accent3 4 12" xfId="3977"/>
    <cellStyle name="20% - Accent3 4 13" xfId="35497"/>
    <cellStyle name="20% - Accent3 4 14" xfId="3973"/>
    <cellStyle name="20% - Accent3 4 2" xfId="3978"/>
    <cellStyle name="20% - Accent3 4 2 10" xfId="3979"/>
    <cellStyle name="20% - Accent3 4 2 11" xfId="3980"/>
    <cellStyle name="20% - Accent3 4 2 2" xfId="3981"/>
    <cellStyle name="20% - Accent3 4 2 2 10" xfId="3982"/>
    <cellStyle name="20% - Accent3 4 2 2 2" xfId="3983"/>
    <cellStyle name="20% - Accent3 4 2 2 2 2" xfId="3984"/>
    <cellStyle name="20% - Accent3 4 2 2 2 2 2" xfId="3985"/>
    <cellStyle name="20% - Accent3 4 2 2 2 2 2 2" xfId="3986"/>
    <cellStyle name="20% - Accent3 4 2 2 2 2 2 2 2" xfId="3987"/>
    <cellStyle name="20% - Accent3 4 2 2 2 2 2 3" xfId="3988"/>
    <cellStyle name="20% - Accent3 4 2 2 2 2 2 4" xfId="3989"/>
    <cellStyle name="20% - Accent3 4 2 2 2 2 3" xfId="3990"/>
    <cellStyle name="20% - Accent3 4 2 2 2 2 3 2" xfId="3991"/>
    <cellStyle name="20% - Accent3 4 2 2 2 2 4" xfId="3992"/>
    <cellStyle name="20% - Accent3 4 2 2 2 2 5" xfId="3993"/>
    <cellStyle name="20% - Accent3 4 2 2 2 3" xfId="3994"/>
    <cellStyle name="20% - Accent3 4 2 2 2 3 2" xfId="3995"/>
    <cellStyle name="20% - Accent3 4 2 2 2 3 2 2" xfId="3996"/>
    <cellStyle name="20% - Accent3 4 2 2 2 3 2 2 2" xfId="3997"/>
    <cellStyle name="20% - Accent3 4 2 2 2 3 2 3" xfId="3998"/>
    <cellStyle name="20% - Accent3 4 2 2 2 3 2 4" xfId="3999"/>
    <cellStyle name="20% - Accent3 4 2 2 2 3 3" xfId="4000"/>
    <cellStyle name="20% - Accent3 4 2 2 2 3 3 2" xfId="4001"/>
    <cellStyle name="20% - Accent3 4 2 2 2 3 4" xfId="4002"/>
    <cellStyle name="20% - Accent3 4 2 2 2 3 5" xfId="4003"/>
    <cellStyle name="20% - Accent3 4 2 2 2 4" xfId="4004"/>
    <cellStyle name="20% - Accent3 4 2 2 2 4 2" xfId="4005"/>
    <cellStyle name="20% - Accent3 4 2 2 2 4 2 2" xfId="4006"/>
    <cellStyle name="20% - Accent3 4 2 2 2 4 3" xfId="4007"/>
    <cellStyle name="20% - Accent3 4 2 2 2 4 4" xfId="4008"/>
    <cellStyle name="20% - Accent3 4 2 2 2 5" xfId="4009"/>
    <cellStyle name="20% - Accent3 4 2 2 2 5 2" xfId="4010"/>
    <cellStyle name="20% - Accent3 4 2 2 2 5 2 2" xfId="4011"/>
    <cellStyle name="20% - Accent3 4 2 2 2 5 3" xfId="4012"/>
    <cellStyle name="20% - Accent3 4 2 2 2 5 4" xfId="4013"/>
    <cellStyle name="20% - Accent3 4 2 2 2 6" xfId="4014"/>
    <cellStyle name="20% - Accent3 4 2 2 2 6 2" xfId="4015"/>
    <cellStyle name="20% - Accent3 4 2 2 2 6 2 2" xfId="4016"/>
    <cellStyle name="20% - Accent3 4 2 2 2 6 3" xfId="4017"/>
    <cellStyle name="20% - Accent3 4 2 2 2 6 4" xfId="4018"/>
    <cellStyle name="20% - Accent3 4 2 2 2 7" xfId="4019"/>
    <cellStyle name="20% - Accent3 4 2 2 2 7 2" xfId="4020"/>
    <cellStyle name="20% - Accent3 4 2 2 2 8" xfId="4021"/>
    <cellStyle name="20% - Accent3 4 2 2 2 9" xfId="4022"/>
    <cellStyle name="20% - Accent3 4 2 2 3" xfId="4023"/>
    <cellStyle name="20% - Accent3 4 2 2 3 2" xfId="4024"/>
    <cellStyle name="20% - Accent3 4 2 2 3 2 2" xfId="4025"/>
    <cellStyle name="20% - Accent3 4 2 2 3 2 2 2" xfId="4026"/>
    <cellStyle name="20% - Accent3 4 2 2 3 2 3" xfId="4027"/>
    <cellStyle name="20% - Accent3 4 2 2 3 2 4" xfId="4028"/>
    <cellStyle name="20% - Accent3 4 2 2 3 3" xfId="4029"/>
    <cellStyle name="20% - Accent3 4 2 2 3 3 2" xfId="4030"/>
    <cellStyle name="20% - Accent3 4 2 2 3 4" xfId="4031"/>
    <cellStyle name="20% - Accent3 4 2 2 3 5" xfId="4032"/>
    <cellStyle name="20% - Accent3 4 2 2 4" xfId="4033"/>
    <cellStyle name="20% - Accent3 4 2 2 4 2" xfId="4034"/>
    <cellStyle name="20% - Accent3 4 2 2 4 2 2" xfId="4035"/>
    <cellStyle name="20% - Accent3 4 2 2 4 2 2 2" xfId="4036"/>
    <cellStyle name="20% - Accent3 4 2 2 4 2 3" xfId="4037"/>
    <cellStyle name="20% - Accent3 4 2 2 4 2 4" xfId="4038"/>
    <cellStyle name="20% - Accent3 4 2 2 4 3" xfId="4039"/>
    <cellStyle name="20% - Accent3 4 2 2 4 3 2" xfId="4040"/>
    <cellStyle name="20% - Accent3 4 2 2 4 4" xfId="4041"/>
    <cellStyle name="20% - Accent3 4 2 2 4 5" xfId="4042"/>
    <cellStyle name="20% - Accent3 4 2 2 5" xfId="4043"/>
    <cellStyle name="20% - Accent3 4 2 2 5 2" xfId="4044"/>
    <cellStyle name="20% - Accent3 4 2 2 5 2 2" xfId="4045"/>
    <cellStyle name="20% - Accent3 4 2 2 5 3" xfId="4046"/>
    <cellStyle name="20% - Accent3 4 2 2 5 4" xfId="4047"/>
    <cellStyle name="20% - Accent3 4 2 2 6" xfId="4048"/>
    <cellStyle name="20% - Accent3 4 2 2 6 2" xfId="4049"/>
    <cellStyle name="20% - Accent3 4 2 2 6 2 2" xfId="4050"/>
    <cellStyle name="20% - Accent3 4 2 2 6 3" xfId="4051"/>
    <cellStyle name="20% - Accent3 4 2 2 6 4" xfId="4052"/>
    <cellStyle name="20% - Accent3 4 2 2 7" xfId="4053"/>
    <cellStyle name="20% - Accent3 4 2 2 7 2" xfId="4054"/>
    <cellStyle name="20% - Accent3 4 2 2 7 2 2" xfId="4055"/>
    <cellStyle name="20% - Accent3 4 2 2 7 3" xfId="4056"/>
    <cellStyle name="20% - Accent3 4 2 2 7 4" xfId="4057"/>
    <cellStyle name="20% - Accent3 4 2 2 8" xfId="4058"/>
    <cellStyle name="20% - Accent3 4 2 2 8 2" xfId="4059"/>
    <cellStyle name="20% - Accent3 4 2 2 9" xfId="4060"/>
    <cellStyle name="20% - Accent3 4 2 3" xfId="4061"/>
    <cellStyle name="20% - Accent3 4 2 3 2" xfId="4062"/>
    <cellStyle name="20% - Accent3 4 2 3 2 2" xfId="4063"/>
    <cellStyle name="20% - Accent3 4 2 3 2 2 2" xfId="4064"/>
    <cellStyle name="20% - Accent3 4 2 3 2 2 2 2" xfId="4065"/>
    <cellStyle name="20% - Accent3 4 2 3 2 2 3" xfId="4066"/>
    <cellStyle name="20% - Accent3 4 2 3 2 2 4" xfId="4067"/>
    <cellStyle name="20% - Accent3 4 2 3 2 3" xfId="4068"/>
    <cellStyle name="20% - Accent3 4 2 3 2 3 2" xfId="4069"/>
    <cellStyle name="20% - Accent3 4 2 3 2 4" xfId="4070"/>
    <cellStyle name="20% - Accent3 4 2 3 2 5" xfId="4071"/>
    <cellStyle name="20% - Accent3 4 2 3 3" xfId="4072"/>
    <cellStyle name="20% - Accent3 4 2 3 3 2" xfId="4073"/>
    <cellStyle name="20% - Accent3 4 2 3 3 2 2" xfId="4074"/>
    <cellStyle name="20% - Accent3 4 2 3 3 2 2 2" xfId="4075"/>
    <cellStyle name="20% - Accent3 4 2 3 3 2 3" xfId="4076"/>
    <cellStyle name="20% - Accent3 4 2 3 3 2 4" xfId="4077"/>
    <cellStyle name="20% - Accent3 4 2 3 3 3" xfId="4078"/>
    <cellStyle name="20% - Accent3 4 2 3 3 3 2" xfId="4079"/>
    <cellStyle name="20% - Accent3 4 2 3 3 4" xfId="4080"/>
    <cellStyle name="20% - Accent3 4 2 3 3 5" xfId="4081"/>
    <cellStyle name="20% - Accent3 4 2 3 4" xfId="4082"/>
    <cellStyle name="20% - Accent3 4 2 3 4 2" xfId="4083"/>
    <cellStyle name="20% - Accent3 4 2 3 4 2 2" xfId="4084"/>
    <cellStyle name="20% - Accent3 4 2 3 4 3" xfId="4085"/>
    <cellStyle name="20% - Accent3 4 2 3 4 4" xfId="4086"/>
    <cellStyle name="20% - Accent3 4 2 3 5" xfId="4087"/>
    <cellStyle name="20% - Accent3 4 2 3 5 2" xfId="4088"/>
    <cellStyle name="20% - Accent3 4 2 3 5 2 2" xfId="4089"/>
    <cellStyle name="20% - Accent3 4 2 3 5 3" xfId="4090"/>
    <cellStyle name="20% - Accent3 4 2 3 5 4" xfId="4091"/>
    <cellStyle name="20% - Accent3 4 2 3 6" xfId="4092"/>
    <cellStyle name="20% - Accent3 4 2 3 6 2" xfId="4093"/>
    <cellStyle name="20% - Accent3 4 2 3 6 2 2" xfId="4094"/>
    <cellStyle name="20% - Accent3 4 2 3 6 3" xfId="4095"/>
    <cellStyle name="20% - Accent3 4 2 3 6 4" xfId="4096"/>
    <cellStyle name="20% - Accent3 4 2 3 7" xfId="4097"/>
    <cellStyle name="20% - Accent3 4 2 3 7 2" xfId="4098"/>
    <cellStyle name="20% - Accent3 4 2 3 8" xfId="4099"/>
    <cellStyle name="20% - Accent3 4 2 3 9" xfId="4100"/>
    <cellStyle name="20% - Accent3 4 2 4" xfId="4101"/>
    <cellStyle name="20% - Accent3 4 2 4 2" xfId="4102"/>
    <cellStyle name="20% - Accent3 4 2 4 2 2" xfId="4103"/>
    <cellStyle name="20% - Accent3 4 2 4 2 2 2" xfId="4104"/>
    <cellStyle name="20% - Accent3 4 2 4 2 3" xfId="4105"/>
    <cellStyle name="20% - Accent3 4 2 4 2 4" xfId="4106"/>
    <cellStyle name="20% - Accent3 4 2 4 3" xfId="4107"/>
    <cellStyle name="20% - Accent3 4 2 4 3 2" xfId="4108"/>
    <cellStyle name="20% - Accent3 4 2 4 4" xfId="4109"/>
    <cellStyle name="20% - Accent3 4 2 4 5" xfId="4110"/>
    <cellStyle name="20% - Accent3 4 2 5" xfId="4111"/>
    <cellStyle name="20% - Accent3 4 2 5 2" xfId="4112"/>
    <cellStyle name="20% - Accent3 4 2 5 2 2" xfId="4113"/>
    <cellStyle name="20% - Accent3 4 2 5 2 2 2" xfId="4114"/>
    <cellStyle name="20% - Accent3 4 2 5 2 3" xfId="4115"/>
    <cellStyle name="20% - Accent3 4 2 5 2 4" xfId="4116"/>
    <cellStyle name="20% - Accent3 4 2 5 3" xfId="4117"/>
    <cellStyle name="20% - Accent3 4 2 5 3 2" xfId="4118"/>
    <cellStyle name="20% - Accent3 4 2 5 4" xfId="4119"/>
    <cellStyle name="20% - Accent3 4 2 5 5" xfId="4120"/>
    <cellStyle name="20% - Accent3 4 2 6" xfId="4121"/>
    <cellStyle name="20% - Accent3 4 2 6 2" xfId="4122"/>
    <cellStyle name="20% - Accent3 4 2 6 2 2" xfId="4123"/>
    <cellStyle name="20% - Accent3 4 2 6 3" xfId="4124"/>
    <cellStyle name="20% - Accent3 4 2 6 4" xfId="4125"/>
    <cellStyle name="20% - Accent3 4 2 7" xfId="4126"/>
    <cellStyle name="20% - Accent3 4 2 7 2" xfId="4127"/>
    <cellStyle name="20% - Accent3 4 2 7 2 2" xfId="4128"/>
    <cellStyle name="20% - Accent3 4 2 7 3" xfId="4129"/>
    <cellStyle name="20% - Accent3 4 2 7 4" xfId="4130"/>
    <cellStyle name="20% - Accent3 4 2 8" xfId="4131"/>
    <cellStyle name="20% - Accent3 4 2 8 2" xfId="4132"/>
    <cellStyle name="20% - Accent3 4 2 8 2 2" xfId="4133"/>
    <cellStyle name="20% - Accent3 4 2 8 3" xfId="4134"/>
    <cellStyle name="20% - Accent3 4 2 8 4" xfId="4135"/>
    <cellStyle name="20% - Accent3 4 2 9" xfId="4136"/>
    <cellStyle name="20% - Accent3 4 2 9 2" xfId="4137"/>
    <cellStyle name="20% - Accent3 4 3" xfId="4138"/>
    <cellStyle name="20% - Accent3 4 3 10" xfId="4139"/>
    <cellStyle name="20% - Accent3 4 3 2" xfId="4140"/>
    <cellStyle name="20% - Accent3 4 3 2 2" xfId="4141"/>
    <cellStyle name="20% - Accent3 4 3 2 2 2" xfId="4142"/>
    <cellStyle name="20% - Accent3 4 3 2 2 2 2" xfId="4143"/>
    <cellStyle name="20% - Accent3 4 3 2 2 2 2 2" xfId="4144"/>
    <cellStyle name="20% - Accent3 4 3 2 2 2 3" xfId="4145"/>
    <cellStyle name="20% - Accent3 4 3 2 2 2 4" xfId="4146"/>
    <cellStyle name="20% - Accent3 4 3 2 2 3" xfId="4147"/>
    <cellStyle name="20% - Accent3 4 3 2 2 3 2" xfId="4148"/>
    <cellStyle name="20% - Accent3 4 3 2 2 4" xfId="4149"/>
    <cellStyle name="20% - Accent3 4 3 2 2 5" xfId="4150"/>
    <cellStyle name="20% - Accent3 4 3 2 3" xfId="4151"/>
    <cellStyle name="20% - Accent3 4 3 2 3 2" xfId="4152"/>
    <cellStyle name="20% - Accent3 4 3 2 3 2 2" xfId="4153"/>
    <cellStyle name="20% - Accent3 4 3 2 3 2 2 2" xfId="4154"/>
    <cellStyle name="20% - Accent3 4 3 2 3 2 3" xfId="4155"/>
    <cellStyle name="20% - Accent3 4 3 2 3 2 4" xfId="4156"/>
    <cellStyle name="20% - Accent3 4 3 2 3 3" xfId="4157"/>
    <cellStyle name="20% - Accent3 4 3 2 3 3 2" xfId="4158"/>
    <cellStyle name="20% - Accent3 4 3 2 3 4" xfId="4159"/>
    <cellStyle name="20% - Accent3 4 3 2 3 5" xfId="4160"/>
    <cellStyle name="20% - Accent3 4 3 2 4" xfId="4161"/>
    <cellStyle name="20% - Accent3 4 3 2 4 2" xfId="4162"/>
    <cellStyle name="20% - Accent3 4 3 2 4 2 2" xfId="4163"/>
    <cellStyle name="20% - Accent3 4 3 2 4 3" xfId="4164"/>
    <cellStyle name="20% - Accent3 4 3 2 4 4" xfId="4165"/>
    <cellStyle name="20% - Accent3 4 3 2 5" xfId="4166"/>
    <cellStyle name="20% - Accent3 4 3 2 5 2" xfId="4167"/>
    <cellStyle name="20% - Accent3 4 3 2 5 2 2" xfId="4168"/>
    <cellStyle name="20% - Accent3 4 3 2 5 3" xfId="4169"/>
    <cellStyle name="20% - Accent3 4 3 2 5 4" xfId="4170"/>
    <cellStyle name="20% - Accent3 4 3 2 6" xfId="4171"/>
    <cellStyle name="20% - Accent3 4 3 2 6 2" xfId="4172"/>
    <cellStyle name="20% - Accent3 4 3 2 6 2 2" xfId="4173"/>
    <cellStyle name="20% - Accent3 4 3 2 6 3" xfId="4174"/>
    <cellStyle name="20% - Accent3 4 3 2 6 4" xfId="4175"/>
    <cellStyle name="20% - Accent3 4 3 2 7" xfId="4176"/>
    <cellStyle name="20% - Accent3 4 3 2 7 2" xfId="4177"/>
    <cellStyle name="20% - Accent3 4 3 2 8" xfId="4178"/>
    <cellStyle name="20% - Accent3 4 3 2 9" xfId="4179"/>
    <cellStyle name="20% - Accent3 4 3 3" xfId="4180"/>
    <cellStyle name="20% - Accent3 4 3 3 2" xfId="4181"/>
    <cellStyle name="20% - Accent3 4 3 3 2 2" xfId="4182"/>
    <cellStyle name="20% - Accent3 4 3 3 2 2 2" xfId="4183"/>
    <cellStyle name="20% - Accent3 4 3 3 2 3" xfId="4184"/>
    <cellStyle name="20% - Accent3 4 3 3 2 4" xfId="4185"/>
    <cellStyle name="20% - Accent3 4 3 3 3" xfId="4186"/>
    <cellStyle name="20% - Accent3 4 3 3 3 2" xfId="4187"/>
    <cellStyle name="20% - Accent3 4 3 3 4" xfId="4188"/>
    <cellStyle name="20% - Accent3 4 3 3 5" xfId="4189"/>
    <cellStyle name="20% - Accent3 4 3 4" xfId="4190"/>
    <cellStyle name="20% - Accent3 4 3 4 2" xfId="4191"/>
    <cellStyle name="20% - Accent3 4 3 4 2 2" xfId="4192"/>
    <cellStyle name="20% - Accent3 4 3 4 2 2 2" xfId="4193"/>
    <cellStyle name="20% - Accent3 4 3 4 2 3" xfId="4194"/>
    <cellStyle name="20% - Accent3 4 3 4 2 4" xfId="4195"/>
    <cellStyle name="20% - Accent3 4 3 4 3" xfId="4196"/>
    <cellStyle name="20% - Accent3 4 3 4 3 2" xfId="4197"/>
    <cellStyle name="20% - Accent3 4 3 4 4" xfId="4198"/>
    <cellStyle name="20% - Accent3 4 3 4 5" xfId="4199"/>
    <cellStyle name="20% - Accent3 4 3 5" xfId="4200"/>
    <cellStyle name="20% - Accent3 4 3 5 2" xfId="4201"/>
    <cellStyle name="20% - Accent3 4 3 5 2 2" xfId="4202"/>
    <cellStyle name="20% - Accent3 4 3 5 3" xfId="4203"/>
    <cellStyle name="20% - Accent3 4 3 5 4" xfId="4204"/>
    <cellStyle name="20% - Accent3 4 3 6" xfId="4205"/>
    <cellStyle name="20% - Accent3 4 3 6 2" xfId="4206"/>
    <cellStyle name="20% - Accent3 4 3 6 2 2" xfId="4207"/>
    <cellStyle name="20% - Accent3 4 3 6 3" xfId="4208"/>
    <cellStyle name="20% - Accent3 4 3 6 4" xfId="4209"/>
    <cellStyle name="20% - Accent3 4 3 7" xfId="4210"/>
    <cellStyle name="20% - Accent3 4 3 7 2" xfId="4211"/>
    <cellStyle name="20% - Accent3 4 3 7 2 2" xfId="4212"/>
    <cellStyle name="20% - Accent3 4 3 7 3" xfId="4213"/>
    <cellStyle name="20% - Accent3 4 3 7 4" xfId="4214"/>
    <cellStyle name="20% - Accent3 4 3 8" xfId="4215"/>
    <cellStyle name="20% - Accent3 4 3 8 2" xfId="4216"/>
    <cellStyle name="20% - Accent3 4 3 9" xfId="4217"/>
    <cellStyle name="20% - Accent3 4 4" xfId="4218"/>
    <cellStyle name="20% - Accent3 4 4 2" xfId="4219"/>
    <cellStyle name="20% - Accent3 4 4 2 2" xfId="4220"/>
    <cellStyle name="20% - Accent3 4 4 2 2 2" xfId="4221"/>
    <cellStyle name="20% - Accent3 4 4 2 2 2 2" xfId="4222"/>
    <cellStyle name="20% - Accent3 4 4 2 2 3" xfId="4223"/>
    <cellStyle name="20% - Accent3 4 4 2 2 4" xfId="4224"/>
    <cellStyle name="20% - Accent3 4 4 2 3" xfId="4225"/>
    <cellStyle name="20% - Accent3 4 4 2 3 2" xfId="4226"/>
    <cellStyle name="20% - Accent3 4 4 2 4" xfId="4227"/>
    <cellStyle name="20% - Accent3 4 4 2 5" xfId="4228"/>
    <cellStyle name="20% - Accent3 4 4 3" xfId="4229"/>
    <cellStyle name="20% - Accent3 4 4 3 2" xfId="4230"/>
    <cellStyle name="20% - Accent3 4 4 3 2 2" xfId="4231"/>
    <cellStyle name="20% - Accent3 4 4 3 2 2 2" xfId="4232"/>
    <cellStyle name="20% - Accent3 4 4 3 2 3" xfId="4233"/>
    <cellStyle name="20% - Accent3 4 4 3 2 4" xfId="4234"/>
    <cellStyle name="20% - Accent3 4 4 3 3" xfId="4235"/>
    <cellStyle name="20% - Accent3 4 4 3 3 2" xfId="4236"/>
    <cellStyle name="20% - Accent3 4 4 3 4" xfId="4237"/>
    <cellStyle name="20% - Accent3 4 4 3 5" xfId="4238"/>
    <cellStyle name="20% - Accent3 4 4 4" xfId="4239"/>
    <cellStyle name="20% - Accent3 4 4 4 2" xfId="4240"/>
    <cellStyle name="20% - Accent3 4 4 4 2 2" xfId="4241"/>
    <cellStyle name="20% - Accent3 4 4 4 3" xfId="4242"/>
    <cellStyle name="20% - Accent3 4 4 4 4" xfId="4243"/>
    <cellStyle name="20% - Accent3 4 4 5" xfId="4244"/>
    <cellStyle name="20% - Accent3 4 4 5 2" xfId="4245"/>
    <cellStyle name="20% - Accent3 4 4 5 2 2" xfId="4246"/>
    <cellStyle name="20% - Accent3 4 4 5 3" xfId="4247"/>
    <cellStyle name="20% - Accent3 4 4 5 4" xfId="4248"/>
    <cellStyle name="20% - Accent3 4 4 6" xfId="4249"/>
    <cellStyle name="20% - Accent3 4 4 6 2" xfId="4250"/>
    <cellStyle name="20% - Accent3 4 4 6 2 2" xfId="4251"/>
    <cellStyle name="20% - Accent3 4 4 6 3" xfId="4252"/>
    <cellStyle name="20% - Accent3 4 4 6 4" xfId="4253"/>
    <cellStyle name="20% - Accent3 4 4 7" xfId="4254"/>
    <cellStyle name="20% - Accent3 4 4 7 2" xfId="4255"/>
    <cellStyle name="20% - Accent3 4 4 8" xfId="4256"/>
    <cellStyle name="20% - Accent3 4 4 9" xfId="4257"/>
    <cellStyle name="20% - Accent3 4 5" xfId="4258"/>
    <cellStyle name="20% - Accent3 4 5 2" xfId="4259"/>
    <cellStyle name="20% - Accent3 4 5 2 2" xfId="4260"/>
    <cellStyle name="20% - Accent3 4 5 2 2 2" xfId="4261"/>
    <cellStyle name="20% - Accent3 4 5 2 3" xfId="4262"/>
    <cellStyle name="20% - Accent3 4 5 2 4" xfId="4263"/>
    <cellStyle name="20% - Accent3 4 5 3" xfId="4264"/>
    <cellStyle name="20% - Accent3 4 5 3 2" xfId="4265"/>
    <cellStyle name="20% - Accent3 4 5 3 2 2" xfId="4266"/>
    <cellStyle name="20% - Accent3 4 5 3 3" xfId="4267"/>
    <cellStyle name="20% - Accent3 4 5 3 4" xfId="4268"/>
    <cellStyle name="20% - Accent3 4 5 4" xfId="4269"/>
    <cellStyle name="20% - Accent3 4 5 4 2" xfId="4270"/>
    <cellStyle name="20% - Accent3 4 5 5" xfId="4271"/>
    <cellStyle name="20% - Accent3 4 5 6" xfId="4272"/>
    <cellStyle name="20% - Accent3 4 6" xfId="4273"/>
    <cellStyle name="20% - Accent3 4 6 2" xfId="4274"/>
    <cellStyle name="20% - Accent3 4 6 2 2" xfId="4275"/>
    <cellStyle name="20% - Accent3 4 6 2 2 2" xfId="4276"/>
    <cellStyle name="20% - Accent3 4 6 2 3" xfId="4277"/>
    <cellStyle name="20% - Accent3 4 6 2 4" xfId="4278"/>
    <cellStyle name="20% - Accent3 4 6 3" xfId="4279"/>
    <cellStyle name="20% - Accent3 4 6 4" xfId="4280"/>
    <cellStyle name="20% - Accent3 4 6 4 2" xfId="4281"/>
    <cellStyle name="20% - Accent3 4 6 5" xfId="4282"/>
    <cellStyle name="20% - Accent3 4 6 6" xfId="4283"/>
    <cellStyle name="20% - Accent3 4 7" xfId="4284"/>
    <cellStyle name="20% - Accent3 4 7 2" xfId="4285"/>
    <cellStyle name="20% - Accent3 4 7 2 2" xfId="4286"/>
    <cellStyle name="20% - Accent3 4 7 3" xfId="4287"/>
    <cellStyle name="20% - Accent3 4 7 4" xfId="4288"/>
    <cellStyle name="20% - Accent3 4 8" xfId="4289"/>
    <cellStyle name="20% - Accent3 4 8 2" xfId="4290"/>
    <cellStyle name="20% - Accent3 4 8 2 2" xfId="4291"/>
    <cellStyle name="20% - Accent3 4 8 3" xfId="4292"/>
    <cellStyle name="20% - Accent3 4 8 4" xfId="4293"/>
    <cellStyle name="20% - Accent3 4 9" xfId="4294"/>
    <cellStyle name="20% - Accent3 5" xfId="4295"/>
    <cellStyle name="20% - Accent3 5 10" xfId="4296"/>
    <cellStyle name="20% - Accent3 5 10 2" xfId="4297"/>
    <cellStyle name="20% - Accent3 5 11" xfId="4298"/>
    <cellStyle name="20% - Accent3 5 12" xfId="4299"/>
    <cellStyle name="20% - Accent3 5 2" xfId="4300"/>
    <cellStyle name="20% - Accent3 5 2 10" xfId="4301"/>
    <cellStyle name="20% - Accent3 5 2 11" xfId="4302"/>
    <cellStyle name="20% - Accent3 5 2 2" xfId="4303"/>
    <cellStyle name="20% - Accent3 5 2 2 10" xfId="4304"/>
    <cellStyle name="20% - Accent3 5 2 2 2" xfId="4305"/>
    <cellStyle name="20% - Accent3 5 2 2 2 2" xfId="4306"/>
    <cellStyle name="20% - Accent3 5 2 2 2 2 2" xfId="4307"/>
    <cellStyle name="20% - Accent3 5 2 2 2 2 2 2" xfId="4308"/>
    <cellStyle name="20% - Accent3 5 2 2 2 2 2 2 2" xfId="4309"/>
    <cellStyle name="20% - Accent3 5 2 2 2 2 2 3" xfId="4310"/>
    <cellStyle name="20% - Accent3 5 2 2 2 2 2 4" xfId="4311"/>
    <cellStyle name="20% - Accent3 5 2 2 2 2 3" xfId="4312"/>
    <cellStyle name="20% - Accent3 5 2 2 2 2 3 2" xfId="4313"/>
    <cellStyle name="20% - Accent3 5 2 2 2 2 4" xfId="4314"/>
    <cellStyle name="20% - Accent3 5 2 2 2 2 5" xfId="4315"/>
    <cellStyle name="20% - Accent3 5 2 2 2 3" xfId="4316"/>
    <cellStyle name="20% - Accent3 5 2 2 2 3 2" xfId="4317"/>
    <cellStyle name="20% - Accent3 5 2 2 2 3 2 2" xfId="4318"/>
    <cellStyle name="20% - Accent3 5 2 2 2 3 2 2 2" xfId="4319"/>
    <cellStyle name="20% - Accent3 5 2 2 2 3 2 3" xfId="4320"/>
    <cellStyle name="20% - Accent3 5 2 2 2 3 2 4" xfId="4321"/>
    <cellStyle name="20% - Accent3 5 2 2 2 3 3" xfId="4322"/>
    <cellStyle name="20% - Accent3 5 2 2 2 3 3 2" xfId="4323"/>
    <cellStyle name="20% - Accent3 5 2 2 2 3 4" xfId="4324"/>
    <cellStyle name="20% - Accent3 5 2 2 2 3 5" xfId="4325"/>
    <cellStyle name="20% - Accent3 5 2 2 2 4" xfId="4326"/>
    <cellStyle name="20% - Accent3 5 2 2 2 4 2" xfId="4327"/>
    <cellStyle name="20% - Accent3 5 2 2 2 4 2 2" xfId="4328"/>
    <cellStyle name="20% - Accent3 5 2 2 2 4 3" xfId="4329"/>
    <cellStyle name="20% - Accent3 5 2 2 2 4 4" xfId="4330"/>
    <cellStyle name="20% - Accent3 5 2 2 2 5" xfId="4331"/>
    <cellStyle name="20% - Accent3 5 2 2 2 5 2" xfId="4332"/>
    <cellStyle name="20% - Accent3 5 2 2 2 5 2 2" xfId="4333"/>
    <cellStyle name="20% - Accent3 5 2 2 2 5 3" xfId="4334"/>
    <cellStyle name="20% - Accent3 5 2 2 2 5 4" xfId="4335"/>
    <cellStyle name="20% - Accent3 5 2 2 2 6" xfId="4336"/>
    <cellStyle name="20% - Accent3 5 2 2 2 6 2" xfId="4337"/>
    <cellStyle name="20% - Accent3 5 2 2 2 6 2 2" xfId="4338"/>
    <cellStyle name="20% - Accent3 5 2 2 2 6 3" xfId="4339"/>
    <cellStyle name="20% - Accent3 5 2 2 2 6 4" xfId="4340"/>
    <cellStyle name="20% - Accent3 5 2 2 2 7" xfId="4341"/>
    <cellStyle name="20% - Accent3 5 2 2 2 7 2" xfId="4342"/>
    <cellStyle name="20% - Accent3 5 2 2 2 8" xfId="4343"/>
    <cellStyle name="20% - Accent3 5 2 2 2 9" xfId="4344"/>
    <cellStyle name="20% - Accent3 5 2 2 3" xfId="4345"/>
    <cellStyle name="20% - Accent3 5 2 2 3 2" xfId="4346"/>
    <cellStyle name="20% - Accent3 5 2 2 3 2 2" xfId="4347"/>
    <cellStyle name="20% - Accent3 5 2 2 3 2 2 2" xfId="4348"/>
    <cellStyle name="20% - Accent3 5 2 2 3 2 3" xfId="4349"/>
    <cellStyle name="20% - Accent3 5 2 2 3 2 4" xfId="4350"/>
    <cellStyle name="20% - Accent3 5 2 2 3 3" xfId="4351"/>
    <cellStyle name="20% - Accent3 5 2 2 3 3 2" xfId="4352"/>
    <cellStyle name="20% - Accent3 5 2 2 3 4" xfId="4353"/>
    <cellStyle name="20% - Accent3 5 2 2 3 5" xfId="4354"/>
    <cellStyle name="20% - Accent3 5 2 2 4" xfId="4355"/>
    <cellStyle name="20% - Accent3 5 2 2 4 2" xfId="4356"/>
    <cellStyle name="20% - Accent3 5 2 2 4 2 2" xfId="4357"/>
    <cellStyle name="20% - Accent3 5 2 2 4 2 2 2" xfId="4358"/>
    <cellStyle name="20% - Accent3 5 2 2 4 2 3" xfId="4359"/>
    <cellStyle name="20% - Accent3 5 2 2 4 2 4" xfId="4360"/>
    <cellStyle name="20% - Accent3 5 2 2 4 3" xfId="4361"/>
    <cellStyle name="20% - Accent3 5 2 2 4 3 2" xfId="4362"/>
    <cellStyle name="20% - Accent3 5 2 2 4 4" xfId="4363"/>
    <cellStyle name="20% - Accent3 5 2 2 4 5" xfId="4364"/>
    <cellStyle name="20% - Accent3 5 2 2 5" xfId="4365"/>
    <cellStyle name="20% - Accent3 5 2 2 5 2" xfId="4366"/>
    <cellStyle name="20% - Accent3 5 2 2 5 2 2" xfId="4367"/>
    <cellStyle name="20% - Accent3 5 2 2 5 3" xfId="4368"/>
    <cellStyle name="20% - Accent3 5 2 2 5 4" xfId="4369"/>
    <cellStyle name="20% - Accent3 5 2 2 6" xfId="4370"/>
    <cellStyle name="20% - Accent3 5 2 2 6 2" xfId="4371"/>
    <cellStyle name="20% - Accent3 5 2 2 6 2 2" xfId="4372"/>
    <cellStyle name="20% - Accent3 5 2 2 6 3" xfId="4373"/>
    <cellStyle name="20% - Accent3 5 2 2 6 4" xfId="4374"/>
    <cellStyle name="20% - Accent3 5 2 2 7" xfId="4375"/>
    <cellStyle name="20% - Accent3 5 2 2 7 2" xfId="4376"/>
    <cellStyle name="20% - Accent3 5 2 2 7 2 2" xfId="4377"/>
    <cellStyle name="20% - Accent3 5 2 2 7 3" xfId="4378"/>
    <cellStyle name="20% - Accent3 5 2 2 7 4" xfId="4379"/>
    <cellStyle name="20% - Accent3 5 2 2 8" xfId="4380"/>
    <cellStyle name="20% - Accent3 5 2 2 8 2" xfId="4381"/>
    <cellStyle name="20% - Accent3 5 2 2 9" xfId="4382"/>
    <cellStyle name="20% - Accent3 5 2 3" xfId="4383"/>
    <cellStyle name="20% - Accent3 5 2 3 2" xfId="4384"/>
    <cellStyle name="20% - Accent3 5 2 3 2 2" xfId="4385"/>
    <cellStyle name="20% - Accent3 5 2 3 2 2 2" xfId="4386"/>
    <cellStyle name="20% - Accent3 5 2 3 2 2 2 2" xfId="4387"/>
    <cellStyle name="20% - Accent3 5 2 3 2 2 3" xfId="4388"/>
    <cellStyle name="20% - Accent3 5 2 3 2 2 4" xfId="4389"/>
    <cellStyle name="20% - Accent3 5 2 3 2 3" xfId="4390"/>
    <cellStyle name="20% - Accent3 5 2 3 2 3 2" xfId="4391"/>
    <cellStyle name="20% - Accent3 5 2 3 2 4" xfId="4392"/>
    <cellStyle name="20% - Accent3 5 2 3 2 5" xfId="4393"/>
    <cellStyle name="20% - Accent3 5 2 3 3" xfId="4394"/>
    <cellStyle name="20% - Accent3 5 2 3 3 2" xfId="4395"/>
    <cellStyle name="20% - Accent3 5 2 3 3 2 2" xfId="4396"/>
    <cellStyle name="20% - Accent3 5 2 3 3 2 2 2" xfId="4397"/>
    <cellStyle name="20% - Accent3 5 2 3 3 2 3" xfId="4398"/>
    <cellStyle name="20% - Accent3 5 2 3 3 2 4" xfId="4399"/>
    <cellStyle name="20% - Accent3 5 2 3 3 3" xfId="4400"/>
    <cellStyle name="20% - Accent3 5 2 3 3 3 2" xfId="4401"/>
    <cellStyle name="20% - Accent3 5 2 3 3 4" xfId="4402"/>
    <cellStyle name="20% - Accent3 5 2 3 3 5" xfId="4403"/>
    <cellStyle name="20% - Accent3 5 2 3 4" xfId="4404"/>
    <cellStyle name="20% - Accent3 5 2 3 4 2" xfId="4405"/>
    <cellStyle name="20% - Accent3 5 2 3 4 2 2" xfId="4406"/>
    <cellStyle name="20% - Accent3 5 2 3 4 3" xfId="4407"/>
    <cellStyle name="20% - Accent3 5 2 3 4 4" xfId="4408"/>
    <cellStyle name="20% - Accent3 5 2 3 5" xfId="4409"/>
    <cellStyle name="20% - Accent3 5 2 3 5 2" xfId="4410"/>
    <cellStyle name="20% - Accent3 5 2 3 5 2 2" xfId="4411"/>
    <cellStyle name="20% - Accent3 5 2 3 5 3" xfId="4412"/>
    <cellStyle name="20% - Accent3 5 2 3 5 4" xfId="4413"/>
    <cellStyle name="20% - Accent3 5 2 3 6" xfId="4414"/>
    <cellStyle name="20% - Accent3 5 2 3 6 2" xfId="4415"/>
    <cellStyle name="20% - Accent3 5 2 3 6 2 2" xfId="4416"/>
    <cellStyle name="20% - Accent3 5 2 3 6 3" xfId="4417"/>
    <cellStyle name="20% - Accent3 5 2 3 6 4" xfId="4418"/>
    <cellStyle name="20% - Accent3 5 2 3 7" xfId="4419"/>
    <cellStyle name="20% - Accent3 5 2 3 7 2" xfId="4420"/>
    <cellStyle name="20% - Accent3 5 2 3 8" xfId="4421"/>
    <cellStyle name="20% - Accent3 5 2 3 9" xfId="4422"/>
    <cellStyle name="20% - Accent3 5 2 4" xfId="4423"/>
    <cellStyle name="20% - Accent3 5 2 4 2" xfId="4424"/>
    <cellStyle name="20% - Accent3 5 2 4 2 2" xfId="4425"/>
    <cellStyle name="20% - Accent3 5 2 4 2 2 2" xfId="4426"/>
    <cellStyle name="20% - Accent3 5 2 4 2 3" xfId="4427"/>
    <cellStyle name="20% - Accent3 5 2 4 2 4" xfId="4428"/>
    <cellStyle name="20% - Accent3 5 2 4 3" xfId="4429"/>
    <cellStyle name="20% - Accent3 5 2 4 3 2" xfId="4430"/>
    <cellStyle name="20% - Accent3 5 2 4 4" xfId="4431"/>
    <cellStyle name="20% - Accent3 5 2 4 5" xfId="4432"/>
    <cellStyle name="20% - Accent3 5 2 5" xfId="4433"/>
    <cellStyle name="20% - Accent3 5 2 5 2" xfId="4434"/>
    <cellStyle name="20% - Accent3 5 2 5 2 2" xfId="4435"/>
    <cellStyle name="20% - Accent3 5 2 5 2 2 2" xfId="4436"/>
    <cellStyle name="20% - Accent3 5 2 5 2 3" xfId="4437"/>
    <cellStyle name="20% - Accent3 5 2 5 2 4" xfId="4438"/>
    <cellStyle name="20% - Accent3 5 2 5 3" xfId="4439"/>
    <cellStyle name="20% - Accent3 5 2 5 3 2" xfId="4440"/>
    <cellStyle name="20% - Accent3 5 2 5 4" xfId="4441"/>
    <cellStyle name="20% - Accent3 5 2 5 5" xfId="4442"/>
    <cellStyle name="20% - Accent3 5 2 6" xfId="4443"/>
    <cellStyle name="20% - Accent3 5 2 6 2" xfId="4444"/>
    <cellStyle name="20% - Accent3 5 2 6 2 2" xfId="4445"/>
    <cellStyle name="20% - Accent3 5 2 6 3" xfId="4446"/>
    <cellStyle name="20% - Accent3 5 2 6 4" xfId="4447"/>
    <cellStyle name="20% - Accent3 5 2 7" xfId="4448"/>
    <cellStyle name="20% - Accent3 5 2 7 2" xfId="4449"/>
    <cellStyle name="20% - Accent3 5 2 7 2 2" xfId="4450"/>
    <cellStyle name="20% - Accent3 5 2 7 3" xfId="4451"/>
    <cellStyle name="20% - Accent3 5 2 7 4" xfId="4452"/>
    <cellStyle name="20% - Accent3 5 2 8" xfId="4453"/>
    <cellStyle name="20% - Accent3 5 2 8 2" xfId="4454"/>
    <cellStyle name="20% - Accent3 5 2 8 2 2" xfId="4455"/>
    <cellStyle name="20% - Accent3 5 2 8 3" xfId="4456"/>
    <cellStyle name="20% - Accent3 5 2 8 4" xfId="4457"/>
    <cellStyle name="20% - Accent3 5 2 9" xfId="4458"/>
    <cellStyle name="20% - Accent3 5 2 9 2" xfId="4459"/>
    <cellStyle name="20% - Accent3 5 3" xfId="4460"/>
    <cellStyle name="20% - Accent3 5 3 10" xfId="4461"/>
    <cellStyle name="20% - Accent3 5 3 2" xfId="4462"/>
    <cellStyle name="20% - Accent3 5 3 2 2" xfId="4463"/>
    <cellStyle name="20% - Accent3 5 3 2 2 2" xfId="4464"/>
    <cellStyle name="20% - Accent3 5 3 2 2 2 2" xfId="4465"/>
    <cellStyle name="20% - Accent3 5 3 2 2 2 2 2" xfId="4466"/>
    <cellStyle name="20% - Accent3 5 3 2 2 2 3" xfId="4467"/>
    <cellStyle name="20% - Accent3 5 3 2 2 2 4" xfId="4468"/>
    <cellStyle name="20% - Accent3 5 3 2 2 3" xfId="4469"/>
    <cellStyle name="20% - Accent3 5 3 2 2 3 2" xfId="4470"/>
    <cellStyle name="20% - Accent3 5 3 2 2 4" xfId="4471"/>
    <cellStyle name="20% - Accent3 5 3 2 2 5" xfId="4472"/>
    <cellStyle name="20% - Accent3 5 3 2 3" xfId="4473"/>
    <cellStyle name="20% - Accent3 5 3 2 3 2" xfId="4474"/>
    <cellStyle name="20% - Accent3 5 3 2 3 2 2" xfId="4475"/>
    <cellStyle name="20% - Accent3 5 3 2 3 2 2 2" xfId="4476"/>
    <cellStyle name="20% - Accent3 5 3 2 3 2 3" xfId="4477"/>
    <cellStyle name="20% - Accent3 5 3 2 3 2 4" xfId="4478"/>
    <cellStyle name="20% - Accent3 5 3 2 3 3" xfId="4479"/>
    <cellStyle name="20% - Accent3 5 3 2 3 3 2" xfId="4480"/>
    <cellStyle name="20% - Accent3 5 3 2 3 4" xfId="4481"/>
    <cellStyle name="20% - Accent3 5 3 2 3 5" xfId="4482"/>
    <cellStyle name="20% - Accent3 5 3 2 4" xfId="4483"/>
    <cellStyle name="20% - Accent3 5 3 2 4 2" xfId="4484"/>
    <cellStyle name="20% - Accent3 5 3 2 4 2 2" xfId="4485"/>
    <cellStyle name="20% - Accent3 5 3 2 4 3" xfId="4486"/>
    <cellStyle name="20% - Accent3 5 3 2 4 4" xfId="4487"/>
    <cellStyle name="20% - Accent3 5 3 2 5" xfId="4488"/>
    <cellStyle name="20% - Accent3 5 3 2 5 2" xfId="4489"/>
    <cellStyle name="20% - Accent3 5 3 2 5 2 2" xfId="4490"/>
    <cellStyle name="20% - Accent3 5 3 2 5 3" xfId="4491"/>
    <cellStyle name="20% - Accent3 5 3 2 5 4" xfId="4492"/>
    <cellStyle name="20% - Accent3 5 3 2 6" xfId="4493"/>
    <cellStyle name="20% - Accent3 5 3 2 6 2" xfId="4494"/>
    <cellStyle name="20% - Accent3 5 3 2 6 2 2" xfId="4495"/>
    <cellStyle name="20% - Accent3 5 3 2 6 3" xfId="4496"/>
    <cellStyle name="20% - Accent3 5 3 2 6 4" xfId="4497"/>
    <cellStyle name="20% - Accent3 5 3 2 7" xfId="4498"/>
    <cellStyle name="20% - Accent3 5 3 2 7 2" xfId="4499"/>
    <cellStyle name="20% - Accent3 5 3 2 8" xfId="4500"/>
    <cellStyle name="20% - Accent3 5 3 2 9" xfId="4501"/>
    <cellStyle name="20% - Accent3 5 3 3" xfId="4502"/>
    <cellStyle name="20% - Accent3 5 3 3 2" xfId="4503"/>
    <cellStyle name="20% - Accent3 5 3 3 2 2" xfId="4504"/>
    <cellStyle name="20% - Accent3 5 3 3 2 2 2" xfId="4505"/>
    <cellStyle name="20% - Accent3 5 3 3 2 3" xfId="4506"/>
    <cellStyle name="20% - Accent3 5 3 3 2 4" xfId="4507"/>
    <cellStyle name="20% - Accent3 5 3 3 3" xfId="4508"/>
    <cellStyle name="20% - Accent3 5 3 3 3 2" xfId="4509"/>
    <cellStyle name="20% - Accent3 5 3 3 4" xfId="4510"/>
    <cellStyle name="20% - Accent3 5 3 3 5" xfId="4511"/>
    <cellStyle name="20% - Accent3 5 3 4" xfId="4512"/>
    <cellStyle name="20% - Accent3 5 3 4 2" xfId="4513"/>
    <cellStyle name="20% - Accent3 5 3 4 2 2" xfId="4514"/>
    <cellStyle name="20% - Accent3 5 3 4 2 2 2" xfId="4515"/>
    <cellStyle name="20% - Accent3 5 3 4 2 3" xfId="4516"/>
    <cellStyle name="20% - Accent3 5 3 4 2 4" xfId="4517"/>
    <cellStyle name="20% - Accent3 5 3 4 3" xfId="4518"/>
    <cellStyle name="20% - Accent3 5 3 4 3 2" xfId="4519"/>
    <cellStyle name="20% - Accent3 5 3 4 4" xfId="4520"/>
    <cellStyle name="20% - Accent3 5 3 4 5" xfId="4521"/>
    <cellStyle name="20% - Accent3 5 3 5" xfId="4522"/>
    <cellStyle name="20% - Accent3 5 3 5 2" xfId="4523"/>
    <cellStyle name="20% - Accent3 5 3 5 2 2" xfId="4524"/>
    <cellStyle name="20% - Accent3 5 3 5 3" xfId="4525"/>
    <cellStyle name="20% - Accent3 5 3 5 4" xfId="4526"/>
    <cellStyle name="20% - Accent3 5 3 6" xfId="4527"/>
    <cellStyle name="20% - Accent3 5 3 6 2" xfId="4528"/>
    <cellStyle name="20% - Accent3 5 3 6 2 2" xfId="4529"/>
    <cellStyle name="20% - Accent3 5 3 6 3" xfId="4530"/>
    <cellStyle name="20% - Accent3 5 3 6 4" xfId="4531"/>
    <cellStyle name="20% - Accent3 5 3 7" xfId="4532"/>
    <cellStyle name="20% - Accent3 5 3 7 2" xfId="4533"/>
    <cellStyle name="20% - Accent3 5 3 7 2 2" xfId="4534"/>
    <cellStyle name="20% - Accent3 5 3 7 3" xfId="4535"/>
    <cellStyle name="20% - Accent3 5 3 7 4" xfId="4536"/>
    <cellStyle name="20% - Accent3 5 3 8" xfId="4537"/>
    <cellStyle name="20% - Accent3 5 3 8 2" xfId="4538"/>
    <cellStyle name="20% - Accent3 5 3 9" xfId="4539"/>
    <cellStyle name="20% - Accent3 5 4" xfId="4540"/>
    <cellStyle name="20% - Accent3 5 4 2" xfId="4541"/>
    <cellStyle name="20% - Accent3 5 4 2 2" xfId="4542"/>
    <cellStyle name="20% - Accent3 5 4 2 2 2" xfId="4543"/>
    <cellStyle name="20% - Accent3 5 4 2 2 2 2" xfId="4544"/>
    <cellStyle name="20% - Accent3 5 4 2 2 3" xfId="4545"/>
    <cellStyle name="20% - Accent3 5 4 2 2 4" xfId="4546"/>
    <cellStyle name="20% - Accent3 5 4 2 3" xfId="4547"/>
    <cellStyle name="20% - Accent3 5 4 2 3 2" xfId="4548"/>
    <cellStyle name="20% - Accent3 5 4 2 4" xfId="4549"/>
    <cellStyle name="20% - Accent3 5 4 2 5" xfId="4550"/>
    <cellStyle name="20% - Accent3 5 4 3" xfId="4551"/>
    <cellStyle name="20% - Accent3 5 4 3 2" xfId="4552"/>
    <cellStyle name="20% - Accent3 5 4 3 2 2" xfId="4553"/>
    <cellStyle name="20% - Accent3 5 4 3 2 2 2" xfId="4554"/>
    <cellStyle name="20% - Accent3 5 4 3 2 3" xfId="4555"/>
    <cellStyle name="20% - Accent3 5 4 3 2 4" xfId="4556"/>
    <cellStyle name="20% - Accent3 5 4 3 3" xfId="4557"/>
    <cellStyle name="20% - Accent3 5 4 3 3 2" xfId="4558"/>
    <cellStyle name="20% - Accent3 5 4 3 4" xfId="4559"/>
    <cellStyle name="20% - Accent3 5 4 3 5" xfId="4560"/>
    <cellStyle name="20% - Accent3 5 4 4" xfId="4561"/>
    <cellStyle name="20% - Accent3 5 4 4 2" xfId="4562"/>
    <cellStyle name="20% - Accent3 5 4 4 2 2" xfId="4563"/>
    <cellStyle name="20% - Accent3 5 4 4 3" xfId="4564"/>
    <cellStyle name="20% - Accent3 5 4 4 4" xfId="4565"/>
    <cellStyle name="20% - Accent3 5 4 5" xfId="4566"/>
    <cellStyle name="20% - Accent3 5 4 5 2" xfId="4567"/>
    <cellStyle name="20% - Accent3 5 4 5 2 2" xfId="4568"/>
    <cellStyle name="20% - Accent3 5 4 5 3" xfId="4569"/>
    <cellStyle name="20% - Accent3 5 4 5 4" xfId="4570"/>
    <cellStyle name="20% - Accent3 5 4 6" xfId="4571"/>
    <cellStyle name="20% - Accent3 5 4 6 2" xfId="4572"/>
    <cellStyle name="20% - Accent3 5 4 6 2 2" xfId="4573"/>
    <cellStyle name="20% - Accent3 5 4 6 3" xfId="4574"/>
    <cellStyle name="20% - Accent3 5 4 6 4" xfId="4575"/>
    <cellStyle name="20% - Accent3 5 4 7" xfId="4576"/>
    <cellStyle name="20% - Accent3 5 4 7 2" xfId="4577"/>
    <cellStyle name="20% - Accent3 5 4 8" xfId="4578"/>
    <cellStyle name="20% - Accent3 5 4 9" xfId="4579"/>
    <cellStyle name="20% - Accent3 5 5" xfId="4580"/>
    <cellStyle name="20% - Accent3 5 5 2" xfId="4581"/>
    <cellStyle name="20% - Accent3 5 5 2 2" xfId="4582"/>
    <cellStyle name="20% - Accent3 5 5 2 2 2" xfId="4583"/>
    <cellStyle name="20% - Accent3 5 5 2 3" xfId="4584"/>
    <cellStyle name="20% - Accent3 5 5 2 4" xfId="4585"/>
    <cellStyle name="20% - Accent3 5 5 3" xfId="4586"/>
    <cellStyle name="20% - Accent3 5 5 3 2" xfId="4587"/>
    <cellStyle name="20% - Accent3 5 5 3 2 2" xfId="4588"/>
    <cellStyle name="20% - Accent3 5 5 3 3" xfId="4589"/>
    <cellStyle name="20% - Accent3 5 5 3 4" xfId="4590"/>
    <cellStyle name="20% - Accent3 5 5 4" xfId="4591"/>
    <cellStyle name="20% - Accent3 5 5 4 2" xfId="4592"/>
    <cellStyle name="20% - Accent3 5 5 5" xfId="4593"/>
    <cellStyle name="20% - Accent3 5 5 6" xfId="4594"/>
    <cellStyle name="20% - Accent3 5 6" xfId="4595"/>
    <cellStyle name="20% - Accent3 5 6 2" xfId="4596"/>
    <cellStyle name="20% - Accent3 5 6 2 2" xfId="4597"/>
    <cellStyle name="20% - Accent3 5 6 2 2 2" xfId="4598"/>
    <cellStyle name="20% - Accent3 5 6 2 3" xfId="4599"/>
    <cellStyle name="20% - Accent3 5 6 2 4" xfId="4600"/>
    <cellStyle name="20% - Accent3 5 6 3" xfId="4601"/>
    <cellStyle name="20% - Accent3 5 6 3 2" xfId="4602"/>
    <cellStyle name="20% - Accent3 5 6 4" xfId="4603"/>
    <cellStyle name="20% - Accent3 5 6 5" xfId="4604"/>
    <cellStyle name="20% - Accent3 5 7" xfId="4605"/>
    <cellStyle name="20% - Accent3 5 7 2" xfId="4606"/>
    <cellStyle name="20% - Accent3 5 7 2 2" xfId="4607"/>
    <cellStyle name="20% - Accent3 5 7 3" xfId="4608"/>
    <cellStyle name="20% - Accent3 5 7 4" xfId="4609"/>
    <cellStyle name="20% - Accent3 5 8" xfId="4610"/>
    <cellStyle name="20% - Accent3 5 8 2" xfId="4611"/>
    <cellStyle name="20% - Accent3 5 8 2 2" xfId="4612"/>
    <cellStyle name="20% - Accent3 5 8 3" xfId="4613"/>
    <cellStyle name="20% - Accent3 5 8 4" xfId="4614"/>
    <cellStyle name="20% - Accent3 5 9" xfId="4615"/>
    <cellStyle name="20% - Accent3 5 9 2" xfId="4616"/>
    <cellStyle name="20% - Accent3 5 9 2 2" xfId="4617"/>
    <cellStyle name="20% - Accent3 5 9 3" xfId="4618"/>
    <cellStyle name="20% - Accent3 5 9 4" xfId="4619"/>
    <cellStyle name="20% - Accent3 6" xfId="4620"/>
    <cellStyle name="20% - Accent3 6 2" xfId="4621"/>
    <cellStyle name="20% - Accent3 6 2 2" xfId="4622"/>
    <cellStyle name="20% - Accent3 6 2 2 2" xfId="4623"/>
    <cellStyle name="20% - Accent3 6 2 3" xfId="4624"/>
    <cellStyle name="20% - Accent3 6 2 4" xfId="4625"/>
    <cellStyle name="20% - Accent3 7" xfId="4626"/>
    <cellStyle name="20% - Accent3 8" xfId="4627"/>
    <cellStyle name="20% - Accent3 9" xfId="4628"/>
    <cellStyle name="20% - Accent3 9 2" xfId="4629"/>
    <cellStyle name="20% - Accent3 9 2 2" xfId="4630"/>
    <cellStyle name="20% - Accent3 9 3" xfId="4631"/>
    <cellStyle name="20% - Accent3 9 4" xfId="4632"/>
    <cellStyle name="20% - Accent4" xfId="35696" builtinId="42" customBuiltin="1"/>
    <cellStyle name="20% - Accent4 2" xfId="36"/>
    <cellStyle name="20% - Accent4 2 10" xfId="35498"/>
    <cellStyle name="20% - Accent4 2 11" xfId="4633"/>
    <cellStyle name="20% - Accent4 2 2" xfId="4634"/>
    <cellStyle name="20% - Accent4 2 2 2" xfId="4635"/>
    <cellStyle name="20% - Accent4 2 2 3" xfId="4636"/>
    <cellStyle name="20% - Accent4 2 2 4" xfId="4637"/>
    <cellStyle name="20% - Accent4 2 3" xfId="4638"/>
    <cellStyle name="20% - Accent4 2 3 2" xfId="4639"/>
    <cellStyle name="20% - Accent4 2 3 2 10" xfId="4640"/>
    <cellStyle name="20% - Accent4 2 3 2 2" xfId="4641"/>
    <cellStyle name="20% - Accent4 2 3 2 2 2" xfId="4642"/>
    <cellStyle name="20% - Accent4 2 3 2 2 2 2" xfId="4643"/>
    <cellStyle name="20% - Accent4 2 3 2 2 2 2 2" xfId="4644"/>
    <cellStyle name="20% - Accent4 2 3 2 2 2 2 2 2" xfId="4645"/>
    <cellStyle name="20% - Accent4 2 3 2 2 2 2 3" xfId="4646"/>
    <cellStyle name="20% - Accent4 2 3 2 2 2 2 4" xfId="4647"/>
    <cellStyle name="20% - Accent4 2 3 2 2 2 3" xfId="4648"/>
    <cellStyle name="20% - Accent4 2 3 2 2 2 3 2" xfId="4649"/>
    <cellStyle name="20% - Accent4 2 3 2 2 2 4" xfId="4650"/>
    <cellStyle name="20% - Accent4 2 3 2 2 2 5" xfId="4651"/>
    <cellStyle name="20% - Accent4 2 3 2 2 3" xfId="4652"/>
    <cellStyle name="20% - Accent4 2 3 2 2 3 2" xfId="4653"/>
    <cellStyle name="20% - Accent4 2 3 2 2 3 2 2" xfId="4654"/>
    <cellStyle name="20% - Accent4 2 3 2 2 3 2 2 2" xfId="4655"/>
    <cellStyle name="20% - Accent4 2 3 2 2 3 2 3" xfId="4656"/>
    <cellStyle name="20% - Accent4 2 3 2 2 3 2 4" xfId="4657"/>
    <cellStyle name="20% - Accent4 2 3 2 2 3 3" xfId="4658"/>
    <cellStyle name="20% - Accent4 2 3 2 2 3 3 2" xfId="4659"/>
    <cellStyle name="20% - Accent4 2 3 2 2 3 4" xfId="4660"/>
    <cellStyle name="20% - Accent4 2 3 2 2 3 5" xfId="4661"/>
    <cellStyle name="20% - Accent4 2 3 2 2 4" xfId="4662"/>
    <cellStyle name="20% - Accent4 2 3 2 2 4 2" xfId="4663"/>
    <cellStyle name="20% - Accent4 2 3 2 2 4 2 2" xfId="4664"/>
    <cellStyle name="20% - Accent4 2 3 2 2 4 3" xfId="4665"/>
    <cellStyle name="20% - Accent4 2 3 2 2 4 4" xfId="4666"/>
    <cellStyle name="20% - Accent4 2 3 2 2 5" xfId="4667"/>
    <cellStyle name="20% - Accent4 2 3 2 2 5 2" xfId="4668"/>
    <cellStyle name="20% - Accent4 2 3 2 2 5 2 2" xfId="4669"/>
    <cellStyle name="20% - Accent4 2 3 2 2 5 3" xfId="4670"/>
    <cellStyle name="20% - Accent4 2 3 2 2 5 4" xfId="4671"/>
    <cellStyle name="20% - Accent4 2 3 2 2 6" xfId="4672"/>
    <cellStyle name="20% - Accent4 2 3 2 2 6 2" xfId="4673"/>
    <cellStyle name="20% - Accent4 2 3 2 2 6 2 2" xfId="4674"/>
    <cellStyle name="20% - Accent4 2 3 2 2 6 3" xfId="4675"/>
    <cellStyle name="20% - Accent4 2 3 2 2 6 4" xfId="4676"/>
    <cellStyle name="20% - Accent4 2 3 2 2 7" xfId="4677"/>
    <cellStyle name="20% - Accent4 2 3 2 2 7 2" xfId="4678"/>
    <cellStyle name="20% - Accent4 2 3 2 2 8" xfId="4679"/>
    <cellStyle name="20% - Accent4 2 3 2 2 9" xfId="4680"/>
    <cellStyle name="20% - Accent4 2 3 2 3" xfId="4681"/>
    <cellStyle name="20% - Accent4 2 3 2 3 2" xfId="4682"/>
    <cellStyle name="20% - Accent4 2 3 2 3 2 2" xfId="4683"/>
    <cellStyle name="20% - Accent4 2 3 2 3 2 2 2" xfId="4684"/>
    <cellStyle name="20% - Accent4 2 3 2 3 2 3" xfId="4685"/>
    <cellStyle name="20% - Accent4 2 3 2 3 2 4" xfId="4686"/>
    <cellStyle name="20% - Accent4 2 3 2 3 3" xfId="4687"/>
    <cellStyle name="20% - Accent4 2 3 2 3 3 2" xfId="4688"/>
    <cellStyle name="20% - Accent4 2 3 2 3 4" xfId="4689"/>
    <cellStyle name="20% - Accent4 2 3 2 3 5" xfId="4690"/>
    <cellStyle name="20% - Accent4 2 3 2 4" xfId="4691"/>
    <cellStyle name="20% - Accent4 2 3 2 4 2" xfId="4692"/>
    <cellStyle name="20% - Accent4 2 3 2 4 2 2" xfId="4693"/>
    <cellStyle name="20% - Accent4 2 3 2 4 2 2 2" xfId="4694"/>
    <cellStyle name="20% - Accent4 2 3 2 4 2 3" xfId="4695"/>
    <cellStyle name="20% - Accent4 2 3 2 4 2 4" xfId="4696"/>
    <cellStyle name="20% - Accent4 2 3 2 4 3" xfId="4697"/>
    <cellStyle name="20% - Accent4 2 3 2 4 3 2" xfId="4698"/>
    <cellStyle name="20% - Accent4 2 3 2 4 4" xfId="4699"/>
    <cellStyle name="20% - Accent4 2 3 2 4 5" xfId="4700"/>
    <cellStyle name="20% - Accent4 2 3 2 5" xfId="4701"/>
    <cellStyle name="20% - Accent4 2 3 2 5 2" xfId="4702"/>
    <cellStyle name="20% - Accent4 2 3 2 5 2 2" xfId="4703"/>
    <cellStyle name="20% - Accent4 2 3 2 5 3" xfId="4704"/>
    <cellStyle name="20% - Accent4 2 3 2 5 4" xfId="4705"/>
    <cellStyle name="20% - Accent4 2 3 2 6" xfId="4706"/>
    <cellStyle name="20% - Accent4 2 3 2 6 2" xfId="4707"/>
    <cellStyle name="20% - Accent4 2 3 2 6 2 2" xfId="4708"/>
    <cellStyle name="20% - Accent4 2 3 2 6 3" xfId="4709"/>
    <cellStyle name="20% - Accent4 2 3 2 6 4" xfId="4710"/>
    <cellStyle name="20% - Accent4 2 3 2 7" xfId="4711"/>
    <cellStyle name="20% - Accent4 2 3 2 7 2" xfId="4712"/>
    <cellStyle name="20% - Accent4 2 3 2 7 2 2" xfId="4713"/>
    <cellStyle name="20% - Accent4 2 3 2 7 3" xfId="4714"/>
    <cellStyle name="20% - Accent4 2 3 2 7 4" xfId="4715"/>
    <cellStyle name="20% - Accent4 2 3 2 8" xfId="4716"/>
    <cellStyle name="20% - Accent4 2 3 2 8 2" xfId="4717"/>
    <cellStyle name="20% - Accent4 2 3 2 9" xfId="4718"/>
    <cellStyle name="20% - Accent4 2 3 3" xfId="4719"/>
    <cellStyle name="20% - Accent4 2 3 3 2" xfId="4720"/>
    <cellStyle name="20% - Accent4 2 3 3 2 2" xfId="4721"/>
    <cellStyle name="20% - Accent4 2 3 3 2 2 2" xfId="4722"/>
    <cellStyle name="20% - Accent4 2 3 3 2 2 2 2" xfId="4723"/>
    <cellStyle name="20% - Accent4 2 3 3 2 2 3" xfId="4724"/>
    <cellStyle name="20% - Accent4 2 3 3 2 2 4" xfId="4725"/>
    <cellStyle name="20% - Accent4 2 3 3 2 3" xfId="4726"/>
    <cellStyle name="20% - Accent4 2 3 3 2 3 2" xfId="4727"/>
    <cellStyle name="20% - Accent4 2 3 3 2 4" xfId="4728"/>
    <cellStyle name="20% - Accent4 2 3 3 2 5" xfId="4729"/>
    <cellStyle name="20% - Accent4 2 3 3 3" xfId="4730"/>
    <cellStyle name="20% - Accent4 2 3 3 3 2" xfId="4731"/>
    <cellStyle name="20% - Accent4 2 3 3 3 2 2" xfId="4732"/>
    <cellStyle name="20% - Accent4 2 3 3 3 2 2 2" xfId="4733"/>
    <cellStyle name="20% - Accent4 2 3 3 3 2 3" xfId="4734"/>
    <cellStyle name="20% - Accent4 2 3 3 3 2 4" xfId="4735"/>
    <cellStyle name="20% - Accent4 2 3 3 3 3" xfId="4736"/>
    <cellStyle name="20% - Accent4 2 3 3 3 3 2" xfId="4737"/>
    <cellStyle name="20% - Accent4 2 3 3 3 4" xfId="4738"/>
    <cellStyle name="20% - Accent4 2 3 3 3 5" xfId="4739"/>
    <cellStyle name="20% - Accent4 2 3 3 4" xfId="4740"/>
    <cellStyle name="20% - Accent4 2 3 3 4 2" xfId="4741"/>
    <cellStyle name="20% - Accent4 2 3 3 4 2 2" xfId="4742"/>
    <cellStyle name="20% - Accent4 2 3 3 4 3" xfId="4743"/>
    <cellStyle name="20% - Accent4 2 3 3 4 4" xfId="4744"/>
    <cellStyle name="20% - Accent4 2 3 3 5" xfId="4745"/>
    <cellStyle name="20% - Accent4 2 3 3 5 2" xfId="4746"/>
    <cellStyle name="20% - Accent4 2 3 3 5 2 2" xfId="4747"/>
    <cellStyle name="20% - Accent4 2 3 3 5 3" xfId="4748"/>
    <cellStyle name="20% - Accent4 2 3 3 5 4" xfId="4749"/>
    <cellStyle name="20% - Accent4 2 3 3 6" xfId="4750"/>
    <cellStyle name="20% - Accent4 2 3 3 6 2" xfId="4751"/>
    <cellStyle name="20% - Accent4 2 3 3 6 2 2" xfId="4752"/>
    <cellStyle name="20% - Accent4 2 3 3 6 3" xfId="4753"/>
    <cellStyle name="20% - Accent4 2 3 3 6 4" xfId="4754"/>
    <cellStyle name="20% - Accent4 2 3 3 7" xfId="4755"/>
    <cellStyle name="20% - Accent4 2 3 3 7 2" xfId="4756"/>
    <cellStyle name="20% - Accent4 2 3 3 8" xfId="4757"/>
    <cellStyle name="20% - Accent4 2 3 3 9" xfId="4758"/>
    <cellStyle name="20% - Accent4 2 3 4" xfId="4759"/>
    <cellStyle name="20% - Accent4 2 3 4 2" xfId="4760"/>
    <cellStyle name="20% - Accent4 2 3 4 2 2" xfId="4761"/>
    <cellStyle name="20% - Accent4 2 3 4 2 2 2" xfId="4762"/>
    <cellStyle name="20% - Accent4 2 3 4 2 2 2 2" xfId="4763"/>
    <cellStyle name="20% - Accent4 2 3 4 2 2 3" xfId="4764"/>
    <cellStyle name="20% - Accent4 2 3 4 2 2 4" xfId="4765"/>
    <cellStyle name="20% - Accent4 2 3 4 2 3" xfId="4766"/>
    <cellStyle name="20% - Accent4 2 3 4 2 3 2" xfId="4767"/>
    <cellStyle name="20% - Accent4 2 3 4 2 4" xfId="4768"/>
    <cellStyle name="20% - Accent4 2 3 4 2 5" xfId="4769"/>
    <cellStyle name="20% - Accent4 2 3 4 3" xfId="4770"/>
    <cellStyle name="20% - Accent4 2 3 4 3 2" xfId="4771"/>
    <cellStyle name="20% - Accent4 2 3 4 3 2 2" xfId="4772"/>
    <cellStyle name="20% - Accent4 2 3 4 3 3" xfId="4773"/>
    <cellStyle name="20% - Accent4 2 3 4 3 4" xfId="4774"/>
    <cellStyle name="20% - Accent4 2 3 4 4" xfId="4775"/>
    <cellStyle name="20% - Accent4 2 3 4 5" xfId="4776"/>
    <cellStyle name="20% - Accent4 2 3 4 5 2" xfId="4777"/>
    <cellStyle name="20% - Accent4 2 3 4 6" xfId="4778"/>
    <cellStyle name="20% - Accent4 2 3 4 7" xfId="4779"/>
    <cellStyle name="20% - Accent4 2 3 5" xfId="4780"/>
    <cellStyle name="20% - Accent4 2 3 5 2" xfId="4781"/>
    <cellStyle name="20% - Accent4 2 3 5 2 2" xfId="4782"/>
    <cellStyle name="20% - Accent4 2 3 5 2 2 2" xfId="4783"/>
    <cellStyle name="20% - Accent4 2 3 5 2 3" xfId="4784"/>
    <cellStyle name="20% - Accent4 2 3 5 2 4" xfId="4785"/>
    <cellStyle name="20% - Accent4 2 3 5 3" xfId="4786"/>
    <cellStyle name="20% - Accent4 2 3 5 3 2" xfId="4787"/>
    <cellStyle name="20% - Accent4 2 3 5 4" xfId="4788"/>
    <cellStyle name="20% - Accent4 2 3 5 5" xfId="4789"/>
    <cellStyle name="20% - Accent4 2 3 6" xfId="4790"/>
    <cellStyle name="20% - Accent4 2 3 6 2" xfId="4791"/>
    <cellStyle name="20% - Accent4 2 3 6 2 2" xfId="4792"/>
    <cellStyle name="20% - Accent4 2 3 6 3" xfId="4793"/>
    <cellStyle name="20% - Accent4 2 3 6 4" xfId="4794"/>
    <cellStyle name="20% - Accent4 2 3 7" xfId="4795"/>
    <cellStyle name="20% - Accent4 2 3 7 2" xfId="4796"/>
    <cellStyle name="20% - Accent4 2 3 7 2 2" xfId="4797"/>
    <cellStyle name="20% - Accent4 2 3 7 3" xfId="4798"/>
    <cellStyle name="20% - Accent4 2 3 7 4" xfId="4799"/>
    <cellStyle name="20% - Accent4 2 4" xfId="4800"/>
    <cellStyle name="20% - Accent4 2 4 10" xfId="4801"/>
    <cellStyle name="20% - Accent4 2 4 2" xfId="4802"/>
    <cellStyle name="20% - Accent4 2 4 2 2" xfId="4803"/>
    <cellStyle name="20% - Accent4 2 4 2 2 2" xfId="4804"/>
    <cellStyle name="20% - Accent4 2 4 2 2 2 2" xfId="4805"/>
    <cellStyle name="20% - Accent4 2 4 2 2 2 2 2" xfId="4806"/>
    <cellStyle name="20% - Accent4 2 4 2 2 2 3" xfId="4807"/>
    <cellStyle name="20% - Accent4 2 4 2 2 2 4" xfId="4808"/>
    <cellStyle name="20% - Accent4 2 4 2 2 3" xfId="4809"/>
    <cellStyle name="20% - Accent4 2 4 2 2 3 2" xfId="4810"/>
    <cellStyle name="20% - Accent4 2 4 2 2 4" xfId="4811"/>
    <cellStyle name="20% - Accent4 2 4 2 2 5" xfId="4812"/>
    <cellStyle name="20% - Accent4 2 4 2 3" xfId="4813"/>
    <cellStyle name="20% - Accent4 2 4 2 3 2" xfId="4814"/>
    <cellStyle name="20% - Accent4 2 4 2 3 2 2" xfId="4815"/>
    <cellStyle name="20% - Accent4 2 4 2 3 2 2 2" xfId="4816"/>
    <cellStyle name="20% - Accent4 2 4 2 3 2 3" xfId="4817"/>
    <cellStyle name="20% - Accent4 2 4 2 3 2 4" xfId="4818"/>
    <cellStyle name="20% - Accent4 2 4 2 3 3" xfId="4819"/>
    <cellStyle name="20% - Accent4 2 4 2 3 3 2" xfId="4820"/>
    <cellStyle name="20% - Accent4 2 4 2 3 4" xfId="4821"/>
    <cellStyle name="20% - Accent4 2 4 2 3 5" xfId="4822"/>
    <cellStyle name="20% - Accent4 2 4 2 4" xfId="4823"/>
    <cellStyle name="20% - Accent4 2 4 2 4 2" xfId="4824"/>
    <cellStyle name="20% - Accent4 2 4 2 4 2 2" xfId="4825"/>
    <cellStyle name="20% - Accent4 2 4 2 4 3" xfId="4826"/>
    <cellStyle name="20% - Accent4 2 4 2 4 4" xfId="4827"/>
    <cellStyle name="20% - Accent4 2 4 2 5" xfId="4828"/>
    <cellStyle name="20% - Accent4 2 4 2 5 2" xfId="4829"/>
    <cellStyle name="20% - Accent4 2 4 2 5 2 2" xfId="4830"/>
    <cellStyle name="20% - Accent4 2 4 2 5 3" xfId="4831"/>
    <cellStyle name="20% - Accent4 2 4 2 5 4" xfId="4832"/>
    <cellStyle name="20% - Accent4 2 4 2 6" xfId="4833"/>
    <cellStyle name="20% - Accent4 2 4 2 6 2" xfId="4834"/>
    <cellStyle name="20% - Accent4 2 4 2 6 2 2" xfId="4835"/>
    <cellStyle name="20% - Accent4 2 4 2 6 3" xfId="4836"/>
    <cellStyle name="20% - Accent4 2 4 2 6 4" xfId="4837"/>
    <cellStyle name="20% - Accent4 2 4 2 7" xfId="4838"/>
    <cellStyle name="20% - Accent4 2 4 2 7 2" xfId="4839"/>
    <cellStyle name="20% - Accent4 2 4 2 8" xfId="4840"/>
    <cellStyle name="20% - Accent4 2 4 2 9" xfId="4841"/>
    <cellStyle name="20% - Accent4 2 4 3" xfId="4842"/>
    <cellStyle name="20% - Accent4 2 4 3 2" xfId="4843"/>
    <cellStyle name="20% - Accent4 2 4 3 2 2" xfId="4844"/>
    <cellStyle name="20% - Accent4 2 4 3 2 2 2" xfId="4845"/>
    <cellStyle name="20% - Accent4 2 4 3 2 3" xfId="4846"/>
    <cellStyle name="20% - Accent4 2 4 3 2 4" xfId="4847"/>
    <cellStyle name="20% - Accent4 2 4 3 3" xfId="4848"/>
    <cellStyle name="20% - Accent4 2 4 3 3 2" xfId="4849"/>
    <cellStyle name="20% - Accent4 2 4 3 4" xfId="4850"/>
    <cellStyle name="20% - Accent4 2 4 3 5" xfId="4851"/>
    <cellStyle name="20% - Accent4 2 4 4" xfId="4852"/>
    <cellStyle name="20% - Accent4 2 4 4 2" xfId="4853"/>
    <cellStyle name="20% - Accent4 2 4 4 2 2" xfId="4854"/>
    <cellStyle name="20% - Accent4 2 4 4 2 2 2" xfId="4855"/>
    <cellStyle name="20% - Accent4 2 4 4 2 3" xfId="4856"/>
    <cellStyle name="20% - Accent4 2 4 4 2 4" xfId="4857"/>
    <cellStyle name="20% - Accent4 2 4 4 3" xfId="4858"/>
    <cellStyle name="20% - Accent4 2 4 4 3 2" xfId="4859"/>
    <cellStyle name="20% - Accent4 2 4 4 4" xfId="4860"/>
    <cellStyle name="20% - Accent4 2 4 4 5" xfId="4861"/>
    <cellStyle name="20% - Accent4 2 4 5" xfId="4862"/>
    <cellStyle name="20% - Accent4 2 4 5 2" xfId="4863"/>
    <cellStyle name="20% - Accent4 2 4 5 2 2" xfId="4864"/>
    <cellStyle name="20% - Accent4 2 4 5 3" xfId="4865"/>
    <cellStyle name="20% - Accent4 2 4 5 4" xfId="4866"/>
    <cellStyle name="20% - Accent4 2 4 6" xfId="4867"/>
    <cellStyle name="20% - Accent4 2 4 6 2" xfId="4868"/>
    <cellStyle name="20% - Accent4 2 4 6 2 2" xfId="4869"/>
    <cellStyle name="20% - Accent4 2 4 6 3" xfId="4870"/>
    <cellStyle name="20% - Accent4 2 4 6 4" xfId="4871"/>
    <cellStyle name="20% - Accent4 2 4 7" xfId="4872"/>
    <cellStyle name="20% - Accent4 2 4 7 2" xfId="4873"/>
    <cellStyle name="20% - Accent4 2 4 7 2 2" xfId="4874"/>
    <cellStyle name="20% - Accent4 2 4 7 3" xfId="4875"/>
    <cellStyle name="20% - Accent4 2 4 7 4" xfId="4876"/>
    <cellStyle name="20% - Accent4 2 4 8" xfId="4877"/>
    <cellStyle name="20% - Accent4 2 4 8 2" xfId="4878"/>
    <cellStyle name="20% - Accent4 2 4 9" xfId="4879"/>
    <cellStyle name="20% - Accent4 2 5" xfId="4880"/>
    <cellStyle name="20% - Accent4 2 5 2" xfId="4881"/>
    <cellStyle name="20% - Accent4 2 5 2 2" xfId="4882"/>
    <cellStyle name="20% - Accent4 2 5 2 2 2" xfId="4883"/>
    <cellStyle name="20% - Accent4 2 5 2 2 2 2" xfId="4884"/>
    <cellStyle name="20% - Accent4 2 5 2 2 3" xfId="4885"/>
    <cellStyle name="20% - Accent4 2 5 2 2 4" xfId="4886"/>
    <cellStyle name="20% - Accent4 2 5 2 3" xfId="4887"/>
    <cellStyle name="20% - Accent4 2 5 2 3 2" xfId="4888"/>
    <cellStyle name="20% - Accent4 2 5 2 4" xfId="4889"/>
    <cellStyle name="20% - Accent4 2 5 2 5" xfId="4890"/>
    <cellStyle name="20% - Accent4 2 5 3" xfId="4891"/>
    <cellStyle name="20% - Accent4 2 5 3 2" xfId="4892"/>
    <cellStyle name="20% - Accent4 2 5 3 2 2" xfId="4893"/>
    <cellStyle name="20% - Accent4 2 5 3 2 2 2" xfId="4894"/>
    <cellStyle name="20% - Accent4 2 5 3 2 3" xfId="4895"/>
    <cellStyle name="20% - Accent4 2 5 3 2 4" xfId="4896"/>
    <cellStyle name="20% - Accent4 2 5 3 3" xfId="4897"/>
    <cellStyle name="20% - Accent4 2 5 3 3 2" xfId="4898"/>
    <cellStyle name="20% - Accent4 2 5 3 4" xfId="4899"/>
    <cellStyle name="20% - Accent4 2 5 3 5" xfId="4900"/>
    <cellStyle name="20% - Accent4 2 5 4" xfId="4901"/>
    <cellStyle name="20% - Accent4 2 5 4 2" xfId="4902"/>
    <cellStyle name="20% - Accent4 2 5 4 2 2" xfId="4903"/>
    <cellStyle name="20% - Accent4 2 5 4 3" xfId="4904"/>
    <cellStyle name="20% - Accent4 2 5 4 4" xfId="4905"/>
    <cellStyle name="20% - Accent4 2 5 5" xfId="4906"/>
    <cellStyle name="20% - Accent4 2 5 5 2" xfId="4907"/>
    <cellStyle name="20% - Accent4 2 5 5 2 2" xfId="4908"/>
    <cellStyle name="20% - Accent4 2 5 5 3" xfId="4909"/>
    <cellStyle name="20% - Accent4 2 5 5 4" xfId="4910"/>
    <cellStyle name="20% - Accent4 2 5 6" xfId="4911"/>
    <cellStyle name="20% - Accent4 2 5 6 2" xfId="4912"/>
    <cellStyle name="20% - Accent4 2 5 6 2 2" xfId="4913"/>
    <cellStyle name="20% - Accent4 2 5 6 3" xfId="4914"/>
    <cellStyle name="20% - Accent4 2 5 6 4" xfId="4915"/>
    <cellStyle name="20% - Accent4 2 5 7" xfId="4916"/>
    <cellStyle name="20% - Accent4 2 5 7 2" xfId="4917"/>
    <cellStyle name="20% - Accent4 2 5 8" xfId="4918"/>
    <cellStyle name="20% - Accent4 2 5 9" xfId="4919"/>
    <cellStyle name="20% - Accent4 2 6" xfId="4920"/>
    <cellStyle name="20% - Accent4 2 7" xfId="4921"/>
    <cellStyle name="20% - Accent4 2 8" xfId="4922"/>
    <cellStyle name="20% - Accent4 2 8 2" xfId="4923"/>
    <cellStyle name="20% - Accent4 2 9" xfId="4924"/>
    <cellStyle name="20% - Accent4 3" xfId="104"/>
    <cellStyle name="20% - Accent4 3 10" xfId="35499"/>
    <cellStyle name="20% - Accent4 3 11" xfId="4925"/>
    <cellStyle name="20% - Accent4 3 2" xfId="4926"/>
    <cellStyle name="20% - Accent4 3 2 10" xfId="4927"/>
    <cellStyle name="20% - Accent4 3 2 10 2" xfId="4928"/>
    <cellStyle name="20% - Accent4 3 2 11" xfId="4929"/>
    <cellStyle name="20% - Accent4 3 2 12" xfId="4930"/>
    <cellStyle name="20% - Accent4 3 2 2" xfId="4931"/>
    <cellStyle name="20% - Accent4 3 2 2 10" xfId="4932"/>
    <cellStyle name="20% - Accent4 3 2 2 11" xfId="4933"/>
    <cellStyle name="20% - Accent4 3 2 2 2" xfId="4934"/>
    <cellStyle name="20% - Accent4 3 2 2 2 10" xfId="4935"/>
    <cellStyle name="20% - Accent4 3 2 2 2 2" xfId="4936"/>
    <cellStyle name="20% - Accent4 3 2 2 2 2 2" xfId="4937"/>
    <cellStyle name="20% - Accent4 3 2 2 2 2 2 2" xfId="4938"/>
    <cellStyle name="20% - Accent4 3 2 2 2 2 2 2 2" xfId="4939"/>
    <cellStyle name="20% - Accent4 3 2 2 2 2 2 2 2 2" xfId="4940"/>
    <cellStyle name="20% - Accent4 3 2 2 2 2 2 2 3" xfId="4941"/>
    <cellStyle name="20% - Accent4 3 2 2 2 2 2 2 4" xfId="4942"/>
    <cellStyle name="20% - Accent4 3 2 2 2 2 2 3" xfId="4943"/>
    <cellStyle name="20% - Accent4 3 2 2 2 2 2 3 2" xfId="4944"/>
    <cellStyle name="20% - Accent4 3 2 2 2 2 2 4" xfId="4945"/>
    <cellStyle name="20% - Accent4 3 2 2 2 2 2 5" xfId="4946"/>
    <cellStyle name="20% - Accent4 3 2 2 2 2 3" xfId="4947"/>
    <cellStyle name="20% - Accent4 3 2 2 2 2 3 2" xfId="4948"/>
    <cellStyle name="20% - Accent4 3 2 2 2 2 3 2 2" xfId="4949"/>
    <cellStyle name="20% - Accent4 3 2 2 2 2 3 2 2 2" xfId="4950"/>
    <cellStyle name="20% - Accent4 3 2 2 2 2 3 2 3" xfId="4951"/>
    <cellStyle name="20% - Accent4 3 2 2 2 2 3 2 4" xfId="4952"/>
    <cellStyle name="20% - Accent4 3 2 2 2 2 3 3" xfId="4953"/>
    <cellStyle name="20% - Accent4 3 2 2 2 2 3 3 2" xfId="4954"/>
    <cellStyle name="20% - Accent4 3 2 2 2 2 3 4" xfId="4955"/>
    <cellStyle name="20% - Accent4 3 2 2 2 2 3 5" xfId="4956"/>
    <cellStyle name="20% - Accent4 3 2 2 2 2 4" xfId="4957"/>
    <cellStyle name="20% - Accent4 3 2 2 2 2 4 2" xfId="4958"/>
    <cellStyle name="20% - Accent4 3 2 2 2 2 4 2 2" xfId="4959"/>
    <cellStyle name="20% - Accent4 3 2 2 2 2 4 3" xfId="4960"/>
    <cellStyle name="20% - Accent4 3 2 2 2 2 4 4" xfId="4961"/>
    <cellStyle name="20% - Accent4 3 2 2 2 2 5" xfId="4962"/>
    <cellStyle name="20% - Accent4 3 2 2 2 2 5 2" xfId="4963"/>
    <cellStyle name="20% - Accent4 3 2 2 2 2 5 2 2" xfId="4964"/>
    <cellStyle name="20% - Accent4 3 2 2 2 2 5 3" xfId="4965"/>
    <cellStyle name="20% - Accent4 3 2 2 2 2 5 4" xfId="4966"/>
    <cellStyle name="20% - Accent4 3 2 2 2 2 6" xfId="4967"/>
    <cellStyle name="20% - Accent4 3 2 2 2 2 6 2" xfId="4968"/>
    <cellStyle name="20% - Accent4 3 2 2 2 2 6 2 2" xfId="4969"/>
    <cellStyle name="20% - Accent4 3 2 2 2 2 6 3" xfId="4970"/>
    <cellStyle name="20% - Accent4 3 2 2 2 2 6 4" xfId="4971"/>
    <cellStyle name="20% - Accent4 3 2 2 2 2 7" xfId="4972"/>
    <cellStyle name="20% - Accent4 3 2 2 2 2 7 2" xfId="4973"/>
    <cellStyle name="20% - Accent4 3 2 2 2 2 8" xfId="4974"/>
    <cellStyle name="20% - Accent4 3 2 2 2 2 9" xfId="4975"/>
    <cellStyle name="20% - Accent4 3 2 2 2 3" xfId="4976"/>
    <cellStyle name="20% - Accent4 3 2 2 2 3 2" xfId="4977"/>
    <cellStyle name="20% - Accent4 3 2 2 2 3 2 2" xfId="4978"/>
    <cellStyle name="20% - Accent4 3 2 2 2 3 2 2 2" xfId="4979"/>
    <cellStyle name="20% - Accent4 3 2 2 2 3 2 3" xfId="4980"/>
    <cellStyle name="20% - Accent4 3 2 2 2 3 2 4" xfId="4981"/>
    <cellStyle name="20% - Accent4 3 2 2 2 3 3" xfId="4982"/>
    <cellStyle name="20% - Accent4 3 2 2 2 3 3 2" xfId="4983"/>
    <cellStyle name="20% - Accent4 3 2 2 2 3 4" xfId="4984"/>
    <cellStyle name="20% - Accent4 3 2 2 2 3 5" xfId="4985"/>
    <cellStyle name="20% - Accent4 3 2 2 2 4" xfId="4986"/>
    <cellStyle name="20% - Accent4 3 2 2 2 4 2" xfId="4987"/>
    <cellStyle name="20% - Accent4 3 2 2 2 4 2 2" xfId="4988"/>
    <cellStyle name="20% - Accent4 3 2 2 2 4 2 2 2" xfId="4989"/>
    <cellStyle name="20% - Accent4 3 2 2 2 4 2 3" xfId="4990"/>
    <cellStyle name="20% - Accent4 3 2 2 2 4 2 4" xfId="4991"/>
    <cellStyle name="20% - Accent4 3 2 2 2 4 3" xfId="4992"/>
    <cellStyle name="20% - Accent4 3 2 2 2 4 3 2" xfId="4993"/>
    <cellStyle name="20% - Accent4 3 2 2 2 4 4" xfId="4994"/>
    <cellStyle name="20% - Accent4 3 2 2 2 4 5" xfId="4995"/>
    <cellStyle name="20% - Accent4 3 2 2 2 5" xfId="4996"/>
    <cellStyle name="20% - Accent4 3 2 2 2 5 2" xfId="4997"/>
    <cellStyle name="20% - Accent4 3 2 2 2 5 2 2" xfId="4998"/>
    <cellStyle name="20% - Accent4 3 2 2 2 5 3" xfId="4999"/>
    <cellStyle name="20% - Accent4 3 2 2 2 5 4" xfId="5000"/>
    <cellStyle name="20% - Accent4 3 2 2 2 6" xfId="5001"/>
    <cellStyle name="20% - Accent4 3 2 2 2 6 2" xfId="5002"/>
    <cellStyle name="20% - Accent4 3 2 2 2 6 2 2" xfId="5003"/>
    <cellStyle name="20% - Accent4 3 2 2 2 6 3" xfId="5004"/>
    <cellStyle name="20% - Accent4 3 2 2 2 6 4" xfId="5005"/>
    <cellStyle name="20% - Accent4 3 2 2 2 7" xfId="5006"/>
    <cellStyle name="20% - Accent4 3 2 2 2 7 2" xfId="5007"/>
    <cellStyle name="20% - Accent4 3 2 2 2 7 2 2" xfId="5008"/>
    <cellStyle name="20% - Accent4 3 2 2 2 7 3" xfId="5009"/>
    <cellStyle name="20% - Accent4 3 2 2 2 7 4" xfId="5010"/>
    <cellStyle name="20% - Accent4 3 2 2 2 8" xfId="5011"/>
    <cellStyle name="20% - Accent4 3 2 2 2 8 2" xfId="5012"/>
    <cellStyle name="20% - Accent4 3 2 2 2 9" xfId="5013"/>
    <cellStyle name="20% - Accent4 3 2 2 3" xfId="5014"/>
    <cellStyle name="20% - Accent4 3 2 2 3 2" xfId="5015"/>
    <cellStyle name="20% - Accent4 3 2 2 3 2 2" xfId="5016"/>
    <cellStyle name="20% - Accent4 3 2 2 3 2 2 2" xfId="5017"/>
    <cellStyle name="20% - Accent4 3 2 2 3 2 2 2 2" xfId="5018"/>
    <cellStyle name="20% - Accent4 3 2 2 3 2 2 3" xfId="5019"/>
    <cellStyle name="20% - Accent4 3 2 2 3 2 2 4" xfId="5020"/>
    <cellStyle name="20% - Accent4 3 2 2 3 2 3" xfId="5021"/>
    <cellStyle name="20% - Accent4 3 2 2 3 2 3 2" xfId="5022"/>
    <cellStyle name="20% - Accent4 3 2 2 3 2 4" xfId="5023"/>
    <cellStyle name="20% - Accent4 3 2 2 3 2 5" xfId="5024"/>
    <cellStyle name="20% - Accent4 3 2 2 3 3" xfId="5025"/>
    <cellStyle name="20% - Accent4 3 2 2 3 3 2" xfId="5026"/>
    <cellStyle name="20% - Accent4 3 2 2 3 3 2 2" xfId="5027"/>
    <cellStyle name="20% - Accent4 3 2 2 3 3 2 2 2" xfId="5028"/>
    <cellStyle name="20% - Accent4 3 2 2 3 3 2 3" xfId="5029"/>
    <cellStyle name="20% - Accent4 3 2 2 3 3 2 4" xfId="5030"/>
    <cellStyle name="20% - Accent4 3 2 2 3 3 3" xfId="5031"/>
    <cellStyle name="20% - Accent4 3 2 2 3 3 3 2" xfId="5032"/>
    <cellStyle name="20% - Accent4 3 2 2 3 3 4" xfId="5033"/>
    <cellStyle name="20% - Accent4 3 2 2 3 3 5" xfId="5034"/>
    <cellStyle name="20% - Accent4 3 2 2 3 4" xfId="5035"/>
    <cellStyle name="20% - Accent4 3 2 2 3 4 2" xfId="5036"/>
    <cellStyle name="20% - Accent4 3 2 2 3 4 2 2" xfId="5037"/>
    <cellStyle name="20% - Accent4 3 2 2 3 4 3" xfId="5038"/>
    <cellStyle name="20% - Accent4 3 2 2 3 4 4" xfId="5039"/>
    <cellStyle name="20% - Accent4 3 2 2 3 5" xfId="5040"/>
    <cellStyle name="20% - Accent4 3 2 2 3 5 2" xfId="5041"/>
    <cellStyle name="20% - Accent4 3 2 2 3 5 2 2" xfId="5042"/>
    <cellStyle name="20% - Accent4 3 2 2 3 5 3" xfId="5043"/>
    <cellStyle name="20% - Accent4 3 2 2 3 5 4" xfId="5044"/>
    <cellStyle name="20% - Accent4 3 2 2 3 6" xfId="5045"/>
    <cellStyle name="20% - Accent4 3 2 2 3 6 2" xfId="5046"/>
    <cellStyle name="20% - Accent4 3 2 2 3 6 2 2" xfId="5047"/>
    <cellStyle name="20% - Accent4 3 2 2 3 6 3" xfId="5048"/>
    <cellStyle name="20% - Accent4 3 2 2 3 6 4" xfId="5049"/>
    <cellStyle name="20% - Accent4 3 2 2 3 7" xfId="5050"/>
    <cellStyle name="20% - Accent4 3 2 2 3 7 2" xfId="5051"/>
    <cellStyle name="20% - Accent4 3 2 2 3 8" xfId="5052"/>
    <cellStyle name="20% - Accent4 3 2 2 3 9" xfId="5053"/>
    <cellStyle name="20% - Accent4 3 2 2 4" xfId="5054"/>
    <cellStyle name="20% - Accent4 3 2 2 4 2" xfId="5055"/>
    <cellStyle name="20% - Accent4 3 2 2 4 2 2" xfId="5056"/>
    <cellStyle name="20% - Accent4 3 2 2 4 2 2 2" xfId="5057"/>
    <cellStyle name="20% - Accent4 3 2 2 4 2 3" xfId="5058"/>
    <cellStyle name="20% - Accent4 3 2 2 4 2 4" xfId="5059"/>
    <cellStyle name="20% - Accent4 3 2 2 4 3" xfId="5060"/>
    <cellStyle name="20% - Accent4 3 2 2 4 3 2" xfId="5061"/>
    <cellStyle name="20% - Accent4 3 2 2 4 4" xfId="5062"/>
    <cellStyle name="20% - Accent4 3 2 2 4 5" xfId="5063"/>
    <cellStyle name="20% - Accent4 3 2 2 5" xfId="5064"/>
    <cellStyle name="20% - Accent4 3 2 2 5 2" xfId="5065"/>
    <cellStyle name="20% - Accent4 3 2 2 5 2 2" xfId="5066"/>
    <cellStyle name="20% - Accent4 3 2 2 5 2 2 2" xfId="5067"/>
    <cellStyle name="20% - Accent4 3 2 2 5 2 3" xfId="5068"/>
    <cellStyle name="20% - Accent4 3 2 2 5 2 4" xfId="5069"/>
    <cellStyle name="20% - Accent4 3 2 2 5 3" xfId="5070"/>
    <cellStyle name="20% - Accent4 3 2 2 5 3 2" xfId="5071"/>
    <cellStyle name="20% - Accent4 3 2 2 5 4" xfId="5072"/>
    <cellStyle name="20% - Accent4 3 2 2 5 5" xfId="5073"/>
    <cellStyle name="20% - Accent4 3 2 2 6" xfId="5074"/>
    <cellStyle name="20% - Accent4 3 2 2 6 2" xfId="5075"/>
    <cellStyle name="20% - Accent4 3 2 2 6 2 2" xfId="5076"/>
    <cellStyle name="20% - Accent4 3 2 2 6 3" xfId="5077"/>
    <cellStyle name="20% - Accent4 3 2 2 6 4" xfId="5078"/>
    <cellStyle name="20% - Accent4 3 2 2 7" xfId="5079"/>
    <cellStyle name="20% - Accent4 3 2 2 7 2" xfId="5080"/>
    <cellStyle name="20% - Accent4 3 2 2 7 2 2" xfId="5081"/>
    <cellStyle name="20% - Accent4 3 2 2 7 3" xfId="5082"/>
    <cellStyle name="20% - Accent4 3 2 2 7 4" xfId="5083"/>
    <cellStyle name="20% - Accent4 3 2 2 8" xfId="5084"/>
    <cellStyle name="20% - Accent4 3 2 2 8 2" xfId="5085"/>
    <cellStyle name="20% - Accent4 3 2 2 8 2 2" xfId="5086"/>
    <cellStyle name="20% - Accent4 3 2 2 8 3" xfId="5087"/>
    <cellStyle name="20% - Accent4 3 2 2 8 4" xfId="5088"/>
    <cellStyle name="20% - Accent4 3 2 2 9" xfId="5089"/>
    <cellStyle name="20% - Accent4 3 2 2 9 2" xfId="5090"/>
    <cellStyle name="20% - Accent4 3 2 3" xfId="5091"/>
    <cellStyle name="20% - Accent4 3 2 3 10" xfId="5092"/>
    <cellStyle name="20% - Accent4 3 2 3 2" xfId="5093"/>
    <cellStyle name="20% - Accent4 3 2 3 2 2" xfId="5094"/>
    <cellStyle name="20% - Accent4 3 2 3 2 2 2" xfId="5095"/>
    <cellStyle name="20% - Accent4 3 2 3 2 2 2 2" xfId="5096"/>
    <cellStyle name="20% - Accent4 3 2 3 2 2 2 2 2" xfId="5097"/>
    <cellStyle name="20% - Accent4 3 2 3 2 2 2 3" xfId="5098"/>
    <cellStyle name="20% - Accent4 3 2 3 2 2 2 4" xfId="5099"/>
    <cellStyle name="20% - Accent4 3 2 3 2 2 3" xfId="5100"/>
    <cellStyle name="20% - Accent4 3 2 3 2 2 3 2" xfId="5101"/>
    <cellStyle name="20% - Accent4 3 2 3 2 2 4" xfId="5102"/>
    <cellStyle name="20% - Accent4 3 2 3 2 2 5" xfId="5103"/>
    <cellStyle name="20% - Accent4 3 2 3 2 3" xfId="5104"/>
    <cellStyle name="20% - Accent4 3 2 3 2 3 2" xfId="5105"/>
    <cellStyle name="20% - Accent4 3 2 3 2 3 2 2" xfId="5106"/>
    <cellStyle name="20% - Accent4 3 2 3 2 3 2 2 2" xfId="5107"/>
    <cellStyle name="20% - Accent4 3 2 3 2 3 2 3" xfId="5108"/>
    <cellStyle name="20% - Accent4 3 2 3 2 3 2 4" xfId="5109"/>
    <cellStyle name="20% - Accent4 3 2 3 2 3 3" xfId="5110"/>
    <cellStyle name="20% - Accent4 3 2 3 2 3 3 2" xfId="5111"/>
    <cellStyle name="20% - Accent4 3 2 3 2 3 4" xfId="5112"/>
    <cellStyle name="20% - Accent4 3 2 3 2 3 5" xfId="5113"/>
    <cellStyle name="20% - Accent4 3 2 3 2 4" xfId="5114"/>
    <cellStyle name="20% - Accent4 3 2 3 2 4 2" xfId="5115"/>
    <cellStyle name="20% - Accent4 3 2 3 2 4 2 2" xfId="5116"/>
    <cellStyle name="20% - Accent4 3 2 3 2 4 3" xfId="5117"/>
    <cellStyle name="20% - Accent4 3 2 3 2 4 4" xfId="5118"/>
    <cellStyle name="20% - Accent4 3 2 3 2 5" xfId="5119"/>
    <cellStyle name="20% - Accent4 3 2 3 2 5 2" xfId="5120"/>
    <cellStyle name="20% - Accent4 3 2 3 2 5 2 2" xfId="5121"/>
    <cellStyle name="20% - Accent4 3 2 3 2 5 3" xfId="5122"/>
    <cellStyle name="20% - Accent4 3 2 3 2 5 4" xfId="5123"/>
    <cellStyle name="20% - Accent4 3 2 3 2 6" xfId="5124"/>
    <cellStyle name="20% - Accent4 3 2 3 2 6 2" xfId="5125"/>
    <cellStyle name="20% - Accent4 3 2 3 2 6 2 2" xfId="5126"/>
    <cellStyle name="20% - Accent4 3 2 3 2 6 3" xfId="5127"/>
    <cellStyle name="20% - Accent4 3 2 3 2 6 4" xfId="5128"/>
    <cellStyle name="20% - Accent4 3 2 3 2 7" xfId="5129"/>
    <cellStyle name="20% - Accent4 3 2 3 2 7 2" xfId="5130"/>
    <cellStyle name="20% - Accent4 3 2 3 2 8" xfId="5131"/>
    <cellStyle name="20% - Accent4 3 2 3 2 9" xfId="5132"/>
    <cellStyle name="20% - Accent4 3 2 3 3" xfId="5133"/>
    <cellStyle name="20% - Accent4 3 2 3 3 2" xfId="5134"/>
    <cellStyle name="20% - Accent4 3 2 3 3 2 2" xfId="5135"/>
    <cellStyle name="20% - Accent4 3 2 3 3 2 2 2" xfId="5136"/>
    <cellStyle name="20% - Accent4 3 2 3 3 2 3" xfId="5137"/>
    <cellStyle name="20% - Accent4 3 2 3 3 2 4" xfId="5138"/>
    <cellStyle name="20% - Accent4 3 2 3 3 3" xfId="5139"/>
    <cellStyle name="20% - Accent4 3 2 3 3 3 2" xfId="5140"/>
    <cellStyle name="20% - Accent4 3 2 3 3 4" xfId="5141"/>
    <cellStyle name="20% - Accent4 3 2 3 3 5" xfId="5142"/>
    <cellStyle name="20% - Accent4 3 2 3 4" xfId="5143"/>
    <cellStyle name="20% - Accent4 3 2 3 4 2" xfId="5144"/>
    <cellStyle name="20% - Accent4 3 2 3 4 2 2" xfId="5145"/>
    <cellStyle name="20% - Accent4 3 2 3 4 2 2 2" xfId="5146"/>
    <cellStyle name="20% - Accent4 3 2 3 4 2 3" xfId="5147"/>
    <cellStyle name="20% - Accent4 3 2 3 4 2 4" xfId="5148"/>
    <cellStyle name="20% - Accent4 3 2 3 4 3" xfId="5149"/>
    <cellStyle name="20% - Accent4 3 2 3 4 3 2" xfId="5150"/>
    <cellStyle name="20% - Accent4 3 2 3 4 4" xfId="5151"/>
    <cellStyle name="20% - Accent4 3 2 3 4 5" xfId="5152"/>
    <cellStyle name="20% - Accent4 3 2 3 5" xfId="5153"/>
    <cellStyle name="20% - Accent4 3 2 3 5 2" xfId="5154"/>
    <cellStyle name="20% - Accent4 3 2 3 5 2 2" xfId="5155"/>
    <cellStyle name="20% - Accent4 3 2 3 5 3" xfId="5156"/>
    <cellStyle name="20% - Accent4 3 2 3 5 4" xfId="5157"/>
    <cellStyle name="20% - Accent4 3 2 3 6" xfId="5158"/>
    <cellStyle name="20% - Accent4 3 2 3 6 2" xfId="5159"/>
    <cellStyle name="20% - Accent4 3 2 3 6 2 2" xfId="5160"/>
    <cellStyle name="20% - Accent4 3 2 3 6 3" xfId="5161"/>
    <cellStyle name="20% - Accent4 3 2 3 6 4" xfId="5162"/>
    <cellStyle name="20% - Accent4 3 2 3 7" xfId="5163"/>
    <cellStyle name="20% - Accent4 3 2 3 7 2" xfId="5164"/>
    <cellStyle name="20% - Accent4 3 2 3 7 2 2" xfId="5165"/>
    <cellStyle name="20% - Accent4 3 2 3 7 3" xfId="5166"/>
    <cellStyle name="20% - Accent4 3 2 3 7 4" xfId="5167"/>
    <cellStyle name="20% - Accent4 3 2 3 8" xfId="5168"/>
    <cellStyle name="20% - Accent4 3 2 3 8 2" xfId="5169"/>
    <cellStyle name="20% - Accent4 3 2 3 9" xfId="5170"/>
    <cellStyle name="20% - Accent4 3 2 4" xfId="5171"/>
    <cellStyle name="20% - Accent4 3 2 4 2" xfId="5172"/>
    <cellStyle name="20% - Accent4 3 2 4 2 2" xfId="5173"/>
    <cellStyle name="20% - Accent4 3 2 4 2 2 2" xfId="5174"/>
    <cellStyle name="20% - Accent4 3 2 4 2 2 2 2" xfId="5175"/>
    <cellStyle name="20% - Accent4 3 2 4 2 2 3" xfId="5176"/>
    <cellStyle name="20% - Accent4 3 2 4 2 2 4" xfId="5177"/>
    <cellStyle name="20% - Accent4 3 2 4 2 3" xfId="5178"/>
    <cellStyle name="20% - Accent4 3 2 4 2 3 2" xfId="5179"/>
    <cellStyle name="20% - Accent4 3 2 4 2 4" xfId="5180"/>
    <cellStyle name="20% - Accent4 3 2 4 2 5" xfId="5181"/>
    <cellStyle name="20% - Accent4 3 2 4 3" xfId="5182"/>
    <cellStyle name="20% - Accent4 3 2 4 3 2" xfId="5183"/>
    <cellStyle name="20% - Accent4 3 2 4 3 2 2" xfId="5184"/>
    <cellStyle name="20% - Accent4 3 2 4 3 2 2 2" xfId="5185"/>
    <cellStyle name="20% - Accent4 3 2 4 3 2 3" xfId="5186"/>
    <cellStyle name="20% - Accent4 3 2 4 3 2 4" xfId="5187"/>
    <cellStyle name="20% - Accent4 3 2 4 3 3" xfId="5188"/>
    <cellStyle name="20% - Accent4 3 2 4 3 3 2" xfId="5189"/>
    <cellStyle name="20% - Accent4 3 2 4 3 4" xfId="5190"/>
    <cellStyle name="20% - Accent4 3 2 4 3 5" xfId="5191"/>
    <cellStyle name="20% - Accent4 3 2 4 4" xfId="5192"/>
    <cellStyle name="20% - Accent4 3 2 4 4 2" xfId="5193"/>
    <cellStyle name="20% - Accent4 3 2 4 4 2 2" xfId="5194"/>
    <cellStyle name="20% - Accent4 3 2 4 4 3" xfId="5195"/>
    <cellStyle name="20% - Accent4 3 2 4 4 4" xfId="5196"/>
    <cellStyle name="20% - Accent4 3 2 4 5" xfId="5197"/>
    <cellStyle name="20% - Accent4 3 2 4 5 2" xfId="5198"/>
    <cellStyle name="20% - Accent4 3 2 4 5 2 2" xfId="5199"/>
    <cellStyle name="20% - Accent4 3 2 4 5 3" xfId="5200"/>
    <cellStyle name="20% - Accent4 3 2 4 5 4" xfId="5201"/>
    <cellStyle name="20% - Accent4 3 2 4 6" xfId="5202"/>
    <cellStyle name="20% - Accent4 3 2 4 6 2" xfId="5203"/>
    <cellStyle name="20% - Accent4 3 2 4 6 2 2" xfId="5204"/>
    <cellStyle name="20% - Accent4 3 2 4 6 3" xfId="5205"/>
    <cellStyle name="20% - Accent4 3 2 4 6 4" xfId="5206"/>
    <cellStyle name="20% - Accent4 3 2 4 7" xfId="5207"/>
    <cellStyle name="20% - Accent4 3 2 4 7 2" xfId="5208"/>
    <cellStyle name="20% - Accent4 3 2 4 8" xfId="5209"/>
    <cellStyle name="20% - Accent4 3 2 4 9" xfId="5210"/>
    <cellStyle name="20% - Accent4 3 2 5" xfId="5211"/>
    <cellStyle name="20% - Accent4 3 2 5 2" xfId="5212"/>
    <cellStyle name="20% - Accent4 3 2 5 2 2" xfId="5213"/>
    <cellStyle name="20% - Accent4 3 2 5 2 2 2" xfId="5214"/>
    <cellStyle name="20% - Accent4 3 2 5 2 3" xfId="5215"/>
    <cellStyle name="20% - Accent4 3 2 5 2 4" xfId="5216"/>
    <cellStyle name="20% - Accent4 3 2 5 3" xfId="5217"/>
    <cellStyle name="20% - Accent4 3 2 5 3 2" xfId="5218"/>
    <cellStyle name="20% - Accent4 3 2 5 4" xfId="5219"/>
    <cellStyle name="20% - Accent4 3 2 5 5" xfId="5220"/>
    <cellStyle name="20% - Accent4 3 2 6" xfId="5221"/>
    <cellStyle name="20% - Accent4 3 2 6 2" xfId="5222"/>
    <cellStyle name="20% - Accent4 3 2 6 2 2" xfId="5223"/>
    <cellStyle name="20% - Accent4 3 2 6 2 2 2" xfId="5224"/>
    <cellStyle name="20% - Accent4 3 2 6 2 3" xfId="5225"/>
    <cellStyle name="20% - Accent4 3 2 6 2 4" xfId="5226"/>
    <cellStyle name="20% - Accent4 3 2 6 3" xfId="5227"/>
    <cellStyle name="20% - Accent4 3 2 6 3 2" xfId="5228"/>
    <cellStyle name="20% - Accent4 3 2 6 4" xfId="5229"/>
    <cellStyle name="20% - Accent4 3 2 6 5" xfId="5230"/>
    <cellStyle name="20% - Accent4 3 2 7" xfId="5231"/>
    <cellStyle name="20% - Accent4 3 2 7 2" xfId="5232"/>
    <cellStyle name="20% - Accent4 3 2 7 2 2" xfId="5233"/>
    <cellStyle name="20% - Accent4 3 2 7 3" xfId="5234"/>
    <cellStyle name="20% - Accent4 3 2 7 4" xfId="5235"/>
    <cellStyle name="20% - Accent4 3 2 8" xfId="5236"/>
    <cellStyle name="20% - Accent4 3 2 8 2" xfId="5237"/>
    <cellStyle name="20% - Accent4 3 2 8 2 2" xfId="5238"/>
    <cellStyle name="20% - Accent4 3 2 8 3" xfId="5239"/>
    <cellStyle name="20% - Accent4 3 2 8 4" xfId="5240"/>
    <cellStyle name="20% - Accent4 3 2 9" xfId="5241"/>
    <cellStyle name="20% - Accent4 3 2 9 2" xfId="5242"/>
    <cellStyle name="20% - Accent4 3 2 9 2 2" xfId="5243"/>
    <cellStyle name="20% - Accent4 3 2 9 3" xfId="5244"/>
    <cellStyle name="20% - Accent4 3 2 9 4" xfId="5245"/>
    <cellStyle name="20% - Accent4 3 3" xfId="5246"/>
    <cellStyle name="20% - Accent4 3 4" xfId="5247"/>
    <cellStyle name="20% - Accent4 3 4 2" xfId="5248"/>
    <cellStyle name="20% - Accent4 3 4 2 2" xfId="5249"/>
    <cellStyle name="20% - Accent4 3 4 2 2 2" xfId="5250"/>
    <cellStyle name="20% - Accent4 3 4 2 3" xfId="5251"/>
    <cellStyle name="20% - Accent4 3 4 2 4" xfId="5252"/>
    <cellStyle name="20% - Accent4 3 4 3" xfId="5253"/>
    <cellStyle name="20% - Accent4 3 4 4" xfId="5254"/>
    <cellStyle name="20% - Accent4 3 4 4 2" xfId="5255"/>
    <cellStyle name="20% - Accent4 3 4 5" xfId="5256"/>
    <cellStyle name="20% - Accent4 3 4 6" xfId="5257"/>
    <cellStyle name="20% - Accent4 3 5" xfId="5258"/>
    <cellStyle name="20% - Accent4 3 5 2" xfId="5259"/>
    <cellStyle name="20% - Accent4 3 5 2 2" xfId="5260"/>
    <cellStyle name="20% - Accent4 3 5 3" xfId="5261"/>
    <cellStyle name="20% - Accent4 3 5 4" xfId="5262"/>
    <cellStyle name="20% - Accent4 3 6" xfId="5263"/>
    <cellStyle name="20% - Accent4 3 7" xfId="5264"/>
    <cellStyle name="20% - Accent4 3 7 2" xfId="5265"/>
    <cellStyle name="20% - Accent4 3 8" xfId="5266"/>
    <cellStyle name="20% - Accent4 3 9" xfId="5267"/>
    <cellStyle name="20% - Accent4 4" xfId="212"/>
    <cellStyle name="20% - Accent4 4 10" xfId="5268"/>
    <cellStyle name="20% - Accent4 4 2" xfId="5269"/>
    <cellStyle name="20% - Accent4 4 2 10" xfId="5270"/>
    <cellStyle name="20% - Accent4 4 2 11" xfId="5271"/>
    <cellStyle name="20% - Accent4 4 2 2" xfId="5272"/>
    <cellStyle name="20% - Accent4 4 2 2 10" xfId="5273"/>
    <cellStyle name="20% - Accent4 4 2 2 2" xfId="5274"/>
    <cellStyle name="20% - Accent4 4 2 2 2 2" xfId="5275"/>
    <cellStyle name="20% - Accent4 4 2 2 2 2 2" xfId="5276"/>
    <cellStyle name="20% - Accent4 4 2 2 2 2 2 2" xfId="5277"/>
    <cellStyle name="20% - Accent4 4 2 2 2 2 2 2 2" xfId="5278"/>
    <cellStyle name="20% - Accent4 4 2 2 2 2 2 3" xfId="5279"/>
    <cellStyle name="20% - Accent4 4 2 2 2 2 2 4" xfId="5280"/>
    <cellStyle name="20% - Accent4 4 2 2 2 2 3" xfId="5281"/>
    <cellStyle name="20% - Accent4 4 2 2 2 2 3 2" xfId="5282"/>
    <cellStyle name="20% - Accent4 4 2 2 2 2 4" xfId="5283"/>
    <cellStyle name="20% - Accent4 4 2 2 2 2 5" xfId="5284"/>
    <cellStyle name="20% - Accent4 4 2 2 2 3" xfId="5285"/>
    <cellStyle name="20% - Accent4 4 2 2 2 3 2" xfId="5286"/>
    <cellStyle name="20% - Accent4 4 2 2 2 3 2 2" xfId="5287"/>
    <cellStyle name="20% - Accent4 4 2 2 2 3 2 2 2" xfId="5288"/>
    <cellStyle name="20% - Accent4 4 2 2 2 3 2 3" xfId="5289"/>
    <cellStyle name="20% - Accent4 4 2 2 2 3 2 4" xfId="5290"/>
    <cellStyle name="20% - Accent4 4 2 2 2 3 3" xfId="5291"/>
    <cellStyle name="20% - Accent4 4 2 2 2 3 3 2" xfId="5292"/>
    <cellStyle name="20% - Accent4 4 2 2 2 3 4" xfId="5293"/>
    <cellStyle name="20% - Accent4 4 2 2 2 3 5" xfId="5294"/>
    <cellStyle name="20% - Accent4 4 2 2 2 4" xfId="5295"/>
    <cellStyle name="20% - Accent4 4 2 2 2 4 2" xfId="5296"/>
    <cellStyle name="20% - Accent4 4 2 2 2 4 2 2" xfId="5297"/>
    <cellStyle name="20% - Accent4 4 2 2 2 4 3" xfId="5298"/>
    <cellStyle name="20% - Accent4 4 2 2 2 4 4" xfId="5299"/>
    <cellStyle name="20% - Accent4 4 2 2 2 5" xfId="5300"/>
    <cellStyle name="20% - Accent4 4 2 2 2 5 2" xfId="5301"/>
    <cellStyle name="20% - Accent4 4 2 2 2 5 2 2" xfId="5302"/>
    <cellStyle name="20% - Accent4 4 2 2 2 5 3" xfId="5303"/>
    <cellStyle name="20% - Accent4 4 2 2 2 5 4" xfId="5304"/>
    <cellStyle name="20% - Accent4 4 2 2 2 6" xfId="5305"/>
    <cellStyle name="20% - Accent4 4 2 2 2 6 2" xfId="5306"/>
    <cellStyle name="20% - Accent4 4 2 2 2 6 2 2" xfId="5307"/>
    <cellStyle name="20% - Accent4 4 2 2 2 6 3" xfId="5308"/>
    <cellStyle name="20% - Accent4 4 2 2 2 6 4" xfId="5309"/>
    <cellStyle name="20% - Accent4 4 2 2 2 7" xfId="5310"/>
    <cellStyle name="20% - Accent4 4 2 2 2 7 2" xfId="5311"/>
    <cellStyle name="20% - Accent4 4 2 2 2 8" xfId="5312"/>
    <cellStyle name="20% - Accent4 4 2 2 2 9" xfId="5313"/>
    <cellStyle name="20% - Accent4 4 2 2 3" xfId="5314"/>
    <cellStyle name="20% - Accent4 4 2 2 3 2" xfId="5315"/>
    <cellStyle name="20% - Accent4 4 2 2 3 2 2" xfId="5316"/>
    <cellStyle name="20% - Accent4 4 2 2 3 2 2 2" xfId="5317"/>
    <cellStyle name="20% - Accent4 4 2 2 3 2 3" xfId="5318"/>
    <cellStyle name="20% - Accent4 4 2 2 3 2 4" xfId="5319"/>
    <cellStyle name="20% - Accent4 4 2 2 3 3" xfId="5320"/>
    <cellStyle name="20% - Accent4 4 2 2 3 3 2" xfId="5321"/>
    <cellStyle name="20% - Accent4 4 2 2 3 4" xfId="5322"/>
    <cellStyle name="20% - Accent4 4 2 2 3 5" xfId="5323"/>
    <cellStyle name="20% - Accent4 4 2 2 4" xfId="5324"/>
    <cellStyle name="20% - Accent4 4 2 2 4 2" xfId="5325"/>
    <cellStyle name="20% - Accent4 4 2 2 4 2 2" xfId="5326"/>
    <cellStyle name="20% - Accent4 4 2 2 4 2 2 2" xfId="5327"/>
    <cellStyle name="20% - Accent4 4 2 2 4 2 3" xfId="5328"/>
    <cellStyle name="20% - Accent4 4 2 2 4 2 4" xfId="5329"/>
    <cellStyle name="20% - Accent4 4 2 2 4 3" xfId="5330"/>
    <cellStyle name="20% - Accent4 4 2 2 4 3 2" xfId="5331"/>
    <cellStyle name="20% - Accent4 4 2 2 4 4" xfId="5332"/>
    <cellStyle name="20% - Accent4 4 2 2 4 5" xfId="5333"/>
    <cellStyle name="20% - Accent4 4 2 2 5" xfId="5334"/>
    <cellStyle name="20% - Accent4 4 2 2 5 2" xfId="5335"/>
    <cellStyle name="20% - Accent4 4 2 2 5 2 2" xfId="5336"/>
    <cellStyle name="20% - Accent4 4 2 2 5 3" xfId="5337"/>
    <cellStyle name="20% - Accent4 4 2 2 5 4" xfId="5338"/>
    <cellStyle name="20% - Accent4 4 2 2 6" xfId="5339"/>
    <cellStyle name="20% - Accent4 4 2 2 6 2" xfId="5340"/>
    <cellStyle name="20% - Accent4 4 2 2 6 2 2" xfId="5341"/>
    <cellStyle name="20% - Accent4 4 2 2 6 3" xfId="5342"/>
    <cellStyle name="20% - Accent4 4 2 2 6 4" xfId="5343"/>
    <cellStyle name="20% - Accent4 4 2 2 7" xfId="5344"/>
    <cellStyle name="20% - Accent4 4 2 2 7 2" xfId="5345"/>
    <cellStyle name="20% - Accent4 4 2 2 7 2 2" xfId="5346"/>
    <cellStyle name="20% - Accent4 4 2 2 7 3" xfId="5347"/>
    <cellStyle name="20% - Accent4 4 2 2 7 4" xfId="5348"/>
    <cellStyle name="20% - Accent4 4 2 2 8" xfId="5349"/>
    <cellStyle name="20% - Accent4 4 2 2 8 2" xfId="5350"/>
    <cellStyle name="20% - Accent4 4 2 2 9" xfId="5351"/>
    <cellStyle name="20% - Accent4 4 2 3" xfId="5352"/>
    <cellStyle name="20% - Accent4 4 2 3 2" xfId="5353"/>
    <cellStyle name="20% - Accent4 4 2 3 2 2" xfId="5354"/>
    <cellStyle name="20% - Accent4 4 2 3 2 2 2" xfId="5355"/>
    <cellStyle name="20% - Accent4 4 2 3 2 2 2 2" xfId="5356"/>
    <cellStyle name="20% - Accent4 4 2 3 2 2 3" xfId="5357"/>
    <cellStyle name="20% - Accent4 4 2 3 2 2 4" xfId="5358"/>
    <cellStyle name="20% - Accent4 4 2 3 2 3" xfId="5359"/>
    <cellStyle name="20% - Accent4 4 2 3 2 3 2" xfId="5360"/>
    <cellStyle name="20% - Accent4 4 2 3 2 4" xfId="5361"/>
    <cellStyle name="20% - Accent4 4 2 3 2 5" xfId="5362"/>
    <cellStyle name="20% - Accent4 4 2 3 3" xfId="5363"/>
    <cellStyle name="20% - Accent4 4 2 3 3 2" xfId="5364"/>
    <cellStyle name="20% - Accent4 4 2 3 3 2 2" xfId="5365"/>
    <cellStyle name="20% - Accent4 4 2 3 3 2 2 2" xfId="5366"/>
    <cellStyle name="20% - Accent4 4 2 3 3 2 3" xfId="5367"/>
    <cellStyle name="20% - Accent4 4 2 3 3 2 4" xfId="5368"/>
    <cellStyle name="20% - Accent4 4 2 3 3 3" xfId="5369"/>
    <cellStyle name="20% - Accent4 4 2 3 3 3 2" xfId="5370"/>
    <cellStyle name="20% - Accent4 4 2 3 3 4" xfId="5371"/>
    <cellStyle name="20% - Accent4 4 2 3 3 5" xfId="5372"/>
    <cellStyle name="20% - Accent4 4 2 3 4" xfId="5373"/>
    <cellStyle name="20% - Accent4 4 2 3 4 2" xfId="5374"/>
    <cellStyle name="20% - Accent4 4 2 3 4 2 2" xfId="5375"/>
    <cellStyle name="20% - Accent4 4 2 3 4 3" xfId="5376"/>
    <cellStyle name="20% - Accent4 4 2 3 4 4" xfId="5377"/>
    <cellStyle name="20% - Accent4 4 2 3 5" xfId="5378"/>
    <cellStyle name="20% - Accent4 4 2 3 5 2" xfId="5379"/>
    <cellStyle name="20% - Accent4 4 2 3 5 2 2" xfId="5380"/>
    <cellStyle name="20% - Accent4 4 2 3 5 3" xfId="5381"/>
    <cellStyle name="20% - Accent4 4 2 3 5 4" xfId="5382"/>
    <cellStyle name="20% - Accent4 4 2 3 6" xfId="5383"/>
    <cellStyle name="20% - Accent4 4 2 3 6 2" xfId="5384"/>
    <cellStyle name="20% - Accent4 4 2 3 6 2 2" xfId="5385"/>
    <cellStyle name="20% - Accent4 4 2 3 6 3" xfId="5386"/>
    <cellStyle name="20% - Accent4 4 2 3 6 4" xfId="5387"/>
    <cellStyle name="20% - Accent4 4 2 3 7" xfId="5388"/>
    <cellStyle name="20% - Accent4 4 2 3 7 2" xfId="5389"/>
    <cellStyle name="20% - Accent4 4 2 3 8" xfId="5390"/>
    <cellStyle name="20% - Accent4 4 2 3 9" xfId="5391"/>
    <cellStyle name="20% - Accent4 4 2 4" xfId="5392"/>
    <cellStyle name="20% - Accent4 4 2 4 2" xfId="5393"/>
    <cellStyle name="20% - Accent4 4 2 4 2 2" xfId="5394"/>
    <cellStyle name="20% - Accent4 4 2 4 2 2 2" xfId="5395"/>
    <cellStyle name="20% - Accent4 4 2 4 2 3" xfId="5396"/>
    <cellStyle name="20% - Accent4 4 2 4 2 4" xfId="5397"/>
    <cellStyle name="20% - Accent4 4 2 4 3" xfId="5398"/>
    <cellStyle name="20% - Accent4 4 2 4 3 2" xfId="5399"/>
    <cellStyle name="20% - Accent4 4 2 4 4" xfId="5400"/>
    <cellStyle name="20% - Accent4 4 2 4 5" xfId="5401"/>
    <cellStyle name="20% - Accent4 4 2 5" xfId="5402"/>
    <cellStyle name="20% - Accent4 4 2 5 2" xfId="5403"/>
    <cellStyle name="20% - Accent4 4 2 5 2 2" xfId="5404"/>
    <cellStyle name="20% - Accent4 4 2 5 2 2 2" xfId="5405"/>
    <cellStyle name="20% - Accent4 4 2 5 2 3" xfId="5406"/>
    <cellStyle name="20% - Accent4 4 2 5 2 4" xfId="5407"/>
    <cellStyle name="20% - Accent4 4 2 5 3" xfId="5408"/>
    <cellStyle name="20% - Accent4 4 2 5 3 2" xfId="5409"/>
    <cellStyle name="20% - Accent4 4 2 5 4" xfId="5410"/>
    <cellStyle name="20% - Accent4 4 2 5 5" xfId="5411"/>
    <cellStyle name="20% - Accent4 4 2 6" xfId="5412"/>
    <cellStyle name="20% - Accent4 4 2 6 2" xfId="5413"/>
    <cellStyle name="20% - Accent4 4 2 6 2 2" xfId="5414"/>
    <cellStyle name="20% - Accent4 4 2 6 3" xfId="5415"/>
    <cellStyle name="20% - Accent4 4 2 6 4" xfId="5416"/>
    <cellStyle name="20% - Accent4 4 2 7" xfId="5417"/>
    <cellStyle name="20% - Accent4 4 2 7 2" xfId="5418"/>
    <cellStyle name="20% - Accent4 4 2 7 2 2" xfId="5419"/>
    <cellStyle name="20% - Accent4 4 2 7 3" xfId="5420"/>
    <cellStyle name="20% - Accent4 4 2 7 4" xfId="5421"/>
    <cellStyle name="20% - Accent4 4 2 8" xfId="5422"/>
    <cellStyle name="20% - Accent4 4 2 8 2" xfId="5423"/>
    <cellStyle name="20% - Accent4 4 2 8 2 2" xfId="5424"/>
    <cellStyle name="20% - Accent4 4 2 8 3" xfId="5425"/>
    <cellStyle name="20% - Accent4 4 2 8 4" xfId="5426"/>
    <cellStyle name="20% - Accent4 4 2 9" xfId="5427"/>
    <cellStyle name="20% - Accent4 4 2 9 2" xfId="5428"/>
    <cellStyle name="20% - Accent4 4 3" xfId="5429"/>
    <cellStyle name="20% - Accent4 4 3 10" xfId="5430"/>
    <cellStyle name="20% - Accent4 4 3 2" xfId="5431"/>
    <cellStyle name="20% - Accent4 4 3 2 2" xfId="5432"/>
    <cellStyle name="20% - Accent4 4 3 2 2 2" xfId="5433"/>
    <cellStyle name="20% - Accent4 4 3 2 2 2 2" xfId="5434"/>
    <cellStyle name="20% - Accent4 4 3 2 2 2 2 2" xfId="5435"/>
    <cellStyle name="20% - Accent4 4 3 2 2 2 3" xfId="5436"/>
    <cellStyle name="20% - Accent4 4 3 2 2 2 4" xfId="5437"/>
    <cellStyle name="20% - Accent4 4 3 2 2 3" xfId="5438"/>
    <cellStyle name="20% - Accent4 4 3 2 2 3 2" xfId="5439"/>
    <cellStyle name="20% - Accent4 4 3 2 2 4" xfId="5440"/>
    <cellStyle name="20% - Accent4 4 3 2 2 5" xfId="5441"/>
    <cellStyle name="20% - Accent4 4 3 2 3" xfId="5442"/>
    <cellStyle name="20% - Accent4 4 3 2 3 2" xfId="5443"/>
    <cellStyle name="20% - Accent4 4 3 2 3 2 2" xfId="5444"/>
    <cellStyle name="20% - Accent4 4 3 2 3 2 2 2" xfId="5445"/>
    <cellStyle name="20% - Accent4 4 3 2 3 2 3" xfId="5446"/>
    <cellStyle name="20% - Accent4 4 3 2 3 2 4" xfId="5447"/>
    <cellStyle name="20% - Accent4 4 3 2 3 3" xfId="5448"/>
    <cellStyle name="20% - Accent4 4 3 2 3 3 2" xfId="5449"/>
    <cellStyle name="20% - Accent4 4 3 2 3 4" xfId="5450"/>
    <cellStyle name="20% - Accent4 4 3 2 3 5" xfId="5451"/>
    <cellStyle name="20% - Accent4 4 3 2 4" xfId="5452"/>
    <cellStyle name="20% - Accent4 4 3 2 4 2" xfId="5453"/>
    <cellStyle name="20% - Accent4 4 3 2 4 2 2" xfId="5454"/>
    <cellStyle name="20% - Accent4 4 3 2 4 3" xfId="5455"/>
    <cellStyle name="20% - Accent4 4 3 2 4 4" xfId="5456"/>
    <cellStyle name="20% - Accent4 4 3 2 5" xfId="5457"/>
    <cellStyle name="20% - Accent4 4 3 2 5 2" xfId="5458"/>
    <cellStyle name="20% - Accent4 4 3 2 5 2 2" xfId="5459"/>
    <cellStyle name="20% - Accent4 4 3 2 5 3" xfId="5460"/>
    <cellStyle name="20% - Accent4 4 3 2 5 4" xfId="5461"/>
    <cellStyle name="20% - Accent4 4 3 2 6" xfId="5462"/>
    <cellStyle name="20% - Accent4 4 3 2 6 2" xfId="5463"/>
    <cellStyle name="20% - Accent4 4 3 2 6 2 2" xfId="5464"/>
    <cellStyle name="20% - Accent4 4 3 2 6 3" xfId="5465"/>
    <cellStyle name="20% - Accent4 4 3 2 6 4" xfId="5466"/>
    <cellStyle name="20% - Accent4 4 3 2 7" xfId="5467"/>
    <cellStyle name="20% - Accent4 4 3 2 7 2" xfId="5468"/>
    <cellStyle name="20% - Accent4 4 3 2 8" xfId="5469"/>
    <cellStyle name="20% - Accent4 4 3 2 9" xfId="5470"/>
    <cellStyle name="20% - Accent4 4 3 3" xfId="5471"/>
    <cellStyle name="20% - Accent4 4 3 3 2" xfId="5472"/>
    <cellStyle name="20% - Accent4 4 3 3 2 2" xfId="5473"/>
    <cellStyle name="20% - Accent4 4 3 3 2 2 2" xfId="5474"/>
    <cellStyle name="20% - Accent4 4 3 3 2 3" xfId="5475"/>
    <cellStyle name="20% - Accent4 4 3 3 2 4" xfId="5476"/>
    <cellStyle name="20% - Accent4 4 3 3 3" xfId="5477"/>
    <cellStyle name="20% - Accent4 4 3 3 3 2" xfId="5478"/>
    <cellStyle name="20% - Accent4 4 3 3 4" xfId="5479"/>
    <cellStyle name="20% - Accent4 4 3 3 5" xfId="5480"/>
    <cellStyle name="20% - Accent4 4 3 4" xfId="5481"/>
    <cellStyle name="20% - Accent4 4 3 4 2" xfId="5482"/>
    <cellStyle name="20% - Accent4 4 3 4 2 2" xfId="5483"/>
    <cellStyle name="20% - Accent4 4 3 4 2 2 2" xfId="5484"/>
    <cellStyle name="20% - Accent4 4 3 4 2 3" xfId="5485"/>
    <cellStyle name="20% - Accent4 4 3 4 2 4" xfId="5486"/>
    <cellStyle name="20% - Accent4 4 3 4 3" xfId="5487"/>
    <cellStyle name="20% - Accent4 4 3 4 3 2" xfId="5488"/>
    <cellStyle name="20% - Accent4 4 3 4 4" xfId="5489"/>
    <cellStyle name="20% - Accent4 4 3 4 5" xfId="5490"/>
    <cellStyle name="20% - Accent4 4 3 5" xfId="5491"/>
    <cellStyle name="20% - Accent4 4 3 5 2" xfId="5492"/>
    <cellStyle name="20% - Accent4 4 3 5 2 2" xfId="5493"/>
    <cellStyle name="20% - Accent4 4 3 5 3" xfId="5494"/>
    <cellStyle name="20% - Accent4 4 3 5 4" xfId="5495"/>
    <cellStyle name="20% - Accent4 4 3 6" xfId="5496"/>
    <cellStyle name="20% - Accent4 4 3 6 2" xfId="5497"/>
    <cellStyle name="20% - Accent4 4 3 6 2 2" xfId="5498"/>
    <cellStyle name="20% - Accent4 4 3 6 3" xfId="5499"/>
    <cellStyle name="20% - Accent4 4 3 6 4" xfId="5500"/>
    <cellStyle name="20% - Accent4 4 3 7" xfId="5501"/>
    <cellStyle name="20% - Accent4 4 3 7 2" xfId="5502"/>
    <cellStyle name="20% - Accent4 4 3 7 2 2" xfId="5503"/>
    <cellStyle name="20% - Accent4 4 3 7 3" xfId="5504"/>
    <cellStyle name="20% - Accent4 4 3 7 4" xfId="5505"/>
    <cellStyle name="20% - Accent4 4 3 8" xfId="5506"/>
    <cellStyle name="20% - Accent4 4 3 8 2" xfId="5507"/>
    <cellStyle name="20% - Accent4 4 3 9" xfId="5508"/>
    <cellStyle name="20% - Accent4 4 4" xfId="5509"/>
    <cellStyle name="20% - Accent4 4 4 2" xfId="5510"/>
    <cellStyle name="20% - Accent4 4 4 2 2" xfId="5511"/>
    <cellStyle name="20% - Accent4 4 4 2 2 2" xfId="5512"/>
    <cellStyle name="20% - Accent4 4 4 2 2 2 2" xfId="5513"/>
    <cellStyle name="20% - Accent4 4 4 2 2 3" xfId="5514"/>
    <cellStyle name="20% - Accent4 4 4 2 2 4" xfId="5515"/>
    <cellStyle name="20% - Accent4 4 4 2 3" xfId="5516"/>
    <cellStyle name="20% - Accent4 4 4 2 3 2" xfId="5517"/>
    <cellStyle name="20% - Accent4 4 4 2 4" xfId="5518"/>
    <cellStyle name="20% - Accent4 4 4 2 5" xfId="5519"/>
    <cellStyle name="20% - Accent4 4 4 3" xfId="5520"/>
    <cellStyle name="20% - Accent4 4 4 3 2" xfId="5521"/>
    <cellStyle name="20% - Accent4 4 4 3 2 2" xfId="5522"/>
    <cellStyle name="20% - Accent4 4 4 3 2 2 2" xfId="5523"/>
    <cellStyle name="20% - Accent4 4 4 3 2 3" xfId="5524"/>
    <cellStyle name="20% - Accent4 4 4 3 2 4" xfId="5525"/>
    <cellStyle name="20% - Accent4 4 4 3 3" xfId="5526"/>
    <cellStyle name="20% - Accent4 4 4 3 3 2" xfId="5527"/>
    <cellStyle name="20% - Accent4 4 4 3 4" xfId="5528"/>
    <cellStyle name="20% - Accent4 4 4 3 5" xfId="5529"/>
    <cellStyle name="20% - Accent4 4 4 4" xfId="5530"/>
    <cellStyle name="20% - Accent4 4 4 4 2" xfId="5531"/>
    <cellStyle name="20% - Accent4 4 4 4 2 2" xfId="5532"/>
    <cellStyle name="20% - Accent4 4 4 4 3" xfId="5533"/>
    <cellStyle name="20% - Accent4 4 4 4 4" xfId="5534"/>
    <cellStyle name="20% - Accent4 4 4 5" xfId="5535"/>
    <cellStyle name="20% - Accent4 4 4 5 2" xfId="5536"/>
    <cellStyle name="20% - Accent4 4 4 5 2 2" xfId="5537"/>
    <cellStyle name="20% - Accent4 4 4 5 3" xfId="5538"/>
    <cellStyle name="20% - Accent4 4 4 5 4" xfId="5539"/>
    <cellStyle name="20% - Accent4 4 4 6" xfId="5540"/>
    <cellStyle name="20% - Accent4 4 4 6 2" xfId="5541"/>
    <cellStyle name="20% - Accent4 4 4 6 2 2" xfId="5542"/>
    <cellStyle name="20% - Accent4 4 4 6 3" xfId="5543"/>
    <cellStyle name="20% - Accent4 4 4 6 4" xfId="5544"/>
    <cellStyle name="20% - Accent4 4 4 7" xfId="5545"/>
    <cellStyle name="20% - Accent4 4 4 7 2" xfId="5546"/>
    <cellStyle name="20% - Accent4 4 4 8" xfId="5547"/>
    <cellStyle name="20% - Accent4 4 4 9" xfId="5548"/>
    <cellStyle name="20% - Accent4 4 5" xfId="5549"/>
    <cellStyle name="20% - Accent4 4 5 2" xfId="5550"/>
    <cellStyle name="20% - Accent4 4 5 2 2" xfId="5551"/>
    <cellStyle name="20% - Accent4 4 5 2 2 2" xfId="5552"/>
    <cellStyle name="20% - Accent4 4 5 2 2 2 2" xfId="5553"/>
    <cellStyle name="20% - Accent4 4 5 2 2 3" xfId="5554"/>
    <cellStyle name="20% - Accent4 4 5 2 2 4" xfId="5555"/>
    <cellStyle name="20% - Accent4 4 5 2 3" xfId="5556"/>
    <cellStyle name="20% - Accent4 4 5 2 3 2" xfId="5557"/>
    <cellStyle name="20% - Accent4 4 5 2 4" xfId="5558"/>
    <cellStyle name="20% - Accent4 4 5 2 5" xfId="5559"/>
    <cellStyle name="20% - Accent4 4 5 3" xfId="5560"/>
    <cellStyle name="20% - Accent4 4 5 3 2" xfId="5561"/>
    <cellStyle name="20% - Accent4 4 5 3 2 2" xfId="5562"/>
    <cellStyle name="20% - Accent4 4 5 3 3" xfId="5563"/>
    <cellStyle name="20% - Accent4 4 5 3 4" xfId="5564"/>
    <cellStyle name="20% - Accent4 4 5 4" xfId="5565"/>
    <cellStyle name="20% - Accent4 4 5 5" xfId="5566"/>
    <cellStyle name="20% - Accent4 4 5 5 2" xfId="5567"/>
    <cellStyle name="20% - Accent4 4 5 6" xfId="5568"/>
    <cellStyle name="20% - Accent4 4 5 7" xfId="5569"/>
    <cellStyle name="20% - Accent4 4 6" xfId="5570"/>
    <cellStyle name="20% - Accent4 4 6 2" xfId="5571"/>
    <cellStyle name="20% - Accent4 4 6 2 2" xfId="5572"/>
    <cellStyle name="20% - Accent4 4 6 2 2 2" xfId="5573"/>
    <cellStyle name="20% - Accent4 4 6 2 3" xfId="5574"/>
    <cellStyle name="20% - Accent4 4 6 2 4" xfId="5575"/>
    <cellStyle name="20% - Accent4 4 6 3" xfId="5576"/>
    <cellStyle name="20% - Accent4 4 6 3 2" xfId="5577"/>
    <cellStyle name="20% - Accent4 4 6 3 2 2" xfId="5578"/>
    <cellStyle name="20% - Accent4 4 6 3 3" xfId="5579"/>
    <cellStyle name="20% - Accent4 4 6 3 4" xfId="5580"/>
    <cellStyle name="20% - Accent4 4 6 4" xfId="5581"/>
    <cellStyle name="20% - Accent4 4 6 4 2" xfId="5582"/>
    <cellStyle name="20% - Accent4 4 6 5" xfId="5583"/>
    <cellStyle name="20% - Accent4 4 6 6" xfId="5584"/>
    <cellStyle name="20% - Accent4 4 7" xfId="5585"/>
    <cellStyle name="20% - Accent4 4 7 2" xfId="5586"/>
    <cellStyle name="20% - Accent4 4 7 2 2" xfId="5587"/>
    <cellStyle name="20% - Accent4 4 7 3" xfId="5588"/>
    <cellStyle name="20% - Accent4 4 7 4" xfId="5589"/>
    <cellStyle name="20% - Accent4 4 8" xfId="5590"/>
    <cellStyle name="20% - Accent4 4 8 2" xfId="5591"/>
    <cellStyle name="20% - Accent4 4 8 2 2" xfId="5592"/>
    <cellStyle name="20% - Accent4 4 8 3" xfId="5593"/>
    <cellStyle name="20% - Accent4 4 8 4" xfId="5594"/>
    <cellStyle name="20% - Accent4 4 9" xfId="35500"/>
    <cellStyle name="20% - Accent4 5" xfId="5595"/>
    <cellStyle name="20% - Accent4 5 2" xfId="5596"/>
    <cellStyle name="20% - Accent4 5 2 10" xfId="5597"/>
    <cellStyle name="20% - Accent4 5 2 11" xfId="5598"/>
    <cellStyle name="20% - Accent4 5 2 2" xfId="5599"/>
    <cellStyle name="20% - Accent4 5 2 2 10" xfId="5600"/>
    <cellStyle name="20% - Accent4 5 2 2 2" xfId="5601"/>
    <cellStyle name="20% - Accent4 5 2 2 2 2" xfId="5602"/>
    <cellStyle name="20% - Accent4 5 2 2 2 2 2" xfId="5603"/>
    <cellStyle name="20% - Accent4 5 2 2 2 2 2 2" xfId="5604"/>
    <cellStyle name="20% - Accent4 5 2 2 2 2 2 2 2" xfId="5605"/>
    <cellStyle name="20% - Accent4 5 2 2 2 2 2 3" xfId="5606"/>
    <cellStyle name="20% - Accent4 5 2 2 2 2 2 4" xfId="5607"/>
    <cellStyle name="20% - Accent4 5 2 2 2 2 3" xfId="5608"/>
    <cellStyle name="20% - Accent4 5 2 2 2 2 3 2" xfId="5609"/>
    <cellStyle name="20% - Accent4 5 2 2 2 2 4" xfId="5610"/>
    <cellStyle name="20% - Accent4 5 2 2 2 2 5" xfId="5611"/>
    <cellStyle name="20% - Accent4 5 2 2 2 3" xfId="5612"/>
    <cellStyle name="20% - Accent4 5 2 2 2 3 2" xfId="5613"/>
    <cellStyle name="20% - Accent4 5 2 2 2 3 2 2" xfId="5614"/>
    <cellStyle name="20% - Accent4 5 2 2 2 3 2 2 2" xfId="5615"/>
    <cellStyle name="20% - Accent4 5 2 2 2 3 2 3" xfId="5616"/>
    <cellStyle name="20% - Accent4 5 2 2 2 3 2 4" xfId="5617"/>
    <cellStyle name="20% - Accent4 5 2 2 2 3 3" xfId="5618"/>
    <cellStyle name="20% - Accent4 5 2 2 2 3 3 2" xfId="5619"/>
    <cellStyle name="20% - Accent4 5 2 2 2 3 4" xfId="5620"/>
    <cellStyle name="20% - Accent4 5 2 2 2 3 5" xfId="5621"/>
    <cellStyle name="20% - Accent4 5 2 2 2 4" xfId="5622"/>
    <cellStyle name="20% - Accent4 5 2 2 2 4 2" xfId="5623"/>
    <cellStyle name="20% - Accent4 5 2 2 2 4 2 2" xfId="5624"/>
    <cellStyle name="20% - Accent4 5 2 2 2 4 3" xfId="5625"/>
    <cellStyle name="20% - Accent4 5 2 2 2 4 4" xfId="5626"/>
    <cellStyle name="20% - Accent4 5 2 2 2 5" xfId="5627"/>
    <cellStyle name="20% - Accent4 5 2 2 2 5 2" xfId="5628"/>
    <cellStyle name="20% - Accent4 5 2 2 2 5 2 2" xfId="5629"/>
    <cellStyle name="20% - Accent4 5 2 2 2 5 3" xfId="5630"/>
    <cellStyle name="20% - Accent4 5 2 2 2 5 4" xfId="5631"/>
    <cellStyle name="20% - Accent4 5 2 2 2 6" xfId="5632"/>
    <cellStyle name="20% - Accent4 5 2 2 2 6 2" xfId="5633"/>
    <cellStyle name="20% - Accent4 5 2 2 2 6 2 2" xfId="5634"/>
    <cellStyle name="20% - Accent4 5 2 2 2 6 3" xfId="5635"/>
    <cellStyle name="20% - Accent4 5 2 2 2 6 4" xfId="5636"/>
    <cellStyle name="20% - Accent4 5 2 2 2 7" xfId="5637"/>
    <cellStyle name="20% - Accent4 5 2 2 2 7 2" xfId="5638"/>
    <cellStyle name="20% - Accent4 5 2 2 2 8" xfId="5639"/>
    <cellStyle name="20% - Accent4 5 2 2 2 9" xfId="5640"/>
    <cellStyle name="20% - Accent4 5 2 2 3" xfId="5641"/>
    <cellStyle name="20% - Accent4 5 2 2 3 2" xfId="5642"/>
    <cellStyle name="20% - Accent4 5 2 2 3 2 2" xfId="5643"/>
    <cellStyle name="20% - Accent4 5 2 2 3 2 2 2" xfId="5644"/>
    <cellStyle name="20% - Accent4 5 2 2 3 2 3" xfId="5645"/>
    <cellStyle name="20% - Accent4 5 2 2 3 2 4" xfId="5646"/>
    <cellStyle name="20% - Accent4 5 2 2 3 3" xfId="5647"/>
    <cellStyle name="20% - Accent4 5 2 2 3 3 2" xfId="5648"/>
    <cellStyle name="20% - Accent4 5 2 2 3 4" xfId="5649"/>
    <cellStyle name="20% - Accent4 5 2 2 3 5" xfId="5650"/>
    <cellStyle name="20% - Accent4 5 2 2 4" xfId="5651"/>
    <cellStyle name="20% - Accent4 5 2 2 4 2" xfId="5652"/>
    <cellStyle name="20% - Accent4 5 2 2 4 2 2" xfId="5653"/>
    <cellStyle name="20% - Accent4 5 2 2 4 2 2 2" xfId="5654"/>
    <cellStyle name="20% - Accent4 5 2 2 4 2 3" xfId="5655"/>
    <cellStyle name="20% - Accent4 5 2 2 4 2 4" xfId="5656"/>
    <cellStyle name="20% - Accent4 5 2 2 4 3" xfId="5657"/>
    <cellStyle name="20% - Accent4 5 2 2 4 3 2" xfId="5658"/>
    <cellStyle name="20% - Accent4 5 2 2 4 4" xfId="5659"/>
    <cellStyle name="20% - Accent4 5 2 2 4 5" xfId="5660"/>
    <cellStyle name="20% - Accent4 5 2 2 5" xfId="5661"/>
    <cellStyle name="20% - Accent4 5 2 2 5 2" xfId="5662"/>
    <cellStyle name="20% - Accent4 5 2 2 5 2 2" xfId="5663"/>
    <cellStyle name="20% - Accent4 5 2 2 5 3" xfId="5664"/>
    <cellStyle name="20% - Accent4 5 2 2 5 4" xfId="5665"/>
    <cellStyle name="20% - Accent4 5 2 2 6" xfId="5666"/>
    <cellStyle name="20% - Accent4 5 2 2 6 2" xfId="5667"/>
    <cellStyle name="20% - Accent4 5 2 2 6 2 2" xfId="5668"/>
    <cellStyle name="20% - Accent4 5 2 2 6 3" xfId="5669"/>
    <cellStyle name="20% - Accent4 5 2 2 6 4" xfId="5670"/>
    <cellStyle name="20% - Accent4 5 2 2 7" xfId="5671"/>
    <cellStyle name="20% - Accent4 5 2 2 7 2" xfId="5672"/>
    <cellStyle name="20% - Accent4 5 2 2 7 2 2" xfId="5673"/>
    <cellStyle name="20% - Accent4 5 2 2 7 3" xfId="5674"/>
    <cellStyle name="20% - Accent4 5 2 2 7 4" xfId="5675"/>
    <cellStyle name="20% - Accent4 5 2 2 8" xfId="5676"/>
    <cellStyle name="20% - Accent4 5 2 2 8 2" xfId="5677"/>
    <cellStyle name="20% - Accent4 5 2 2 9" xfId="5678"/>
    <cellStyle name="20% - Accent4 5 2 3" xfId="5679"/>
    <cellStyle name="20% - Accent4 5 2 3 2" xfId="5680"/>
    <cellStyle name="20% - Accent4 5 2 3 2 2" xfId="5681"/>
    <cellStyle name="20% - Accent4 5 2 3 2 2 2" xfId="5682"/>
    <cellStyle name="20% - Accent4 5 2 3 2 2 2 2" xfId="5683"/>
    <cellStyle name="20% - Accent4 5 2 3 2 2 3" xfId="5684"/>
    <cellStyle name="20% - Accent4 5 2 3 2 2 4" xfId="5685"/>
    <cellStyle name="20% - Accent4 5 2 3 2 3" xfId="5686"/>
    <cellStyle name="20% - Accent4 5 2 3 2 3 2" xfId="5687"/>
    <cellStyle name="20% - Accent4 5 2 3 2 4" xfId="5688"/>
    <cellStyle name="20% - Accent4 5 2 3 2 5" xfId="5689"/>
    <cellStyle name="20% - Accent4 5 2 3 3" xfId="5690"/>
    <cellStyle name="20% - Accent4 5 2 3 3 2" xfId="5691"/>
    <cellStyle name="20% - Accent4 5 2 3 3 2 2" xfId="5692"/>
    <cellStyle name="20% - Accent4 5 2 3 3 2 2 2" xfId="5693"/>
    <cellStyle name="20% - Accent4 5 2 3 3 2 3" xfId="5694"/>
    <cellStyle name="20% - Accent4 5 2 3 3 2 4" xfId="5695"/>
    <cellStyle name="20% - Accent4 5 2 3 3 3" xfId="5696"/>
    <cellStyle name="20% - Accent4 5 2 3 3 3 2" xfId="5697"/>
    <cellStyle name="20% - Accent4 5 2 3 3 4" xfId="5698"/>
    <cellStyle name="20% - Accent4 5 2 3 3 5" xfId="5699"/>
    <cellStyle name="20% - Accent4 5 2 3 4" xfId="5700"/>
    <cellStyle name="20% - Accent4 5 2 3 4 2" xfId="5701"/>
    <cellStyle name="20% - Accent4 5 2 3 4 2 2" xfId="5702"/>
    <cellStyle name="20% - Accent4 5 2 3 4 3" xfId="5703"/>
    <cellStyle name="20% - Accent4 5 2 3 4 4" xfId="5704"/>
    <cellStyle name="20% - Accent4 5 2 3 5" xfId="5705"/>
    <cellStyle name="20% - Accent4 5 2 3 5 2" xfId="5706"/>
    <cellStyle name="20% - Accent4 5 2 3 5 2 2" xfId="5707"/>
    <cellStyle name="20% - Accent4 5 2 3 5 3" xfId="5708"/>
    <cellStyle name="20% - Accent4 5 2 3 5 4" xfId="5709"/>
    <cellStyle name="20% - Accent4 5 2 3 6" xfId="5710"/>
    <cellStyle name="20% - Accent4 5 2 3 6 2" xfId="5711"/>
    <cellStyle name="20% - Accent4 5 2 3 6 2 2" xfId="5712"/>
    <cellStyle name="20% - Accent4 5 2 3 6 3" xfId="5713"/>
    <cellStyle name="20% - Accent4 5 2 3 6 4" xfId="5714"/>
    <cellStyle name="20% - Accent4 5 2 3 7" xfId="5715"/>
    <cellStyle name="20% - Accent4 5 2 3 7 2" xfId="5716"/>
    <cellStyle name="20% - Accent4 5 2 3 8" xfId="5717"/>
    <cellStyle name="20% - Accent4 5 2 3 9" xfId="5718"/>
    <cellStyle name="20% - Accent4 5 2 4" xfId="5719"/>
    <cellStyle name="20% - Accent4 5 2 4 2" xfId="5720"/>
    <cellStyle name="20% - Accent4 5 2 4 2 2" xfId="5721"/>
    <cellStyle name="20% - Accent4 5 2 4 2 2 2" xfId="5722"/>
    <cellStyle name="20% - Accent4 5 2 4 2 3" xfId="5723"/>
    <cellStyle name="20% - Accent4 5 2 4 2 4" xfId="5724"/>
    <cellStyle name="20% - Accent4 5 2 4 3" xfId="5725"/>
    <cellStyle name="20% - Accent4 5 2 4 3 2" xfId="5726"/>
    <cellStyle name="20% - Accent4 5 2 4 4" xfId="5727"/>
    <cellStyle name="20% - Accent4 5 2 4 5" xfId="5728"/>
    <cellStyle name="20% - Accent4 5 2 5" xfId="5729"/>
    <cellStyle name="20% - Accent4 5 2 5 2" xfId="5730"/>
    <cellStyle name="20% - Accent4 5 2 5 2 2" xfId="5731"/>
    <cellStyle name="20% - Accent4 5 2 5 2 2 2" xfId="5732"/>
    <cellStyle name="20% - Accent4 5 2 5 2 3" xfId="5733"/>
    <cellStyle name="20% - Accent4 5 2 5 2 4" xfId="5734"/>
    <cellStyle name="20% - Accent4 5 2 5 3" xfId="5735"/>
    <cellStyle name="20% - Accent4 5 2 5 3 2" xfId="5736"/>
    <cellStyle name="20% - Accent4 5 2 5 4" xfId="5737"/>
    <cellStyle name="20% - Accent4 5 2 5 5" xfId="5738"/>
    <cellStyle name="20% - Accent4 5 2 6" xfId="5739"/>
    <cellStyle name="20% - Accent4 5 2 6 2" xfId="5740"/>
    <cellStyle name="20% - Accent4 5 2 6 2 2" xfId="5741"/>
    <cellStyle name="20% - Accent4 5 2 6 3" xfId="5742"/>
    <cellStyle name="20% - Accent4 5 2 6 4" xfId="5743"/>
    <cellStyle name="20% - Accent4 5 2 7" xfId="5744"/>
    <cellStyle name="20% - Accent4 5 2 7 2" xfId="5745"/>
    <cellStyle name="20% - Accent4 5 2 7 2 2" xfId="5746"/>
    <cellStyle name="20% - Accent4 5 2 7 3" xfId="5747"/>
    <cellStyle name="20% - Accent4 5 2 7 4" xfId="5748"/>
    <cellStyle name="20% - Accent4 5 2 8" xfId="5749"/>
    <cellStyle name="20% - Accent4 5 2 8 2" xfId="5750"/>
    <cellStyle name="20% - Accent4 5 2 8 2 2" xfId="5751"/>
    <cellStyle name="20% - Accent4 5 2 8 3" xfId="5752"/>
    <cellStyle name="20% - Accent4 5 2 8 4" xfId="5753"/>
    <cellStyle name="20% - Accent4 5 2 9" xfId="5754"/>
    <cellStyle name="20% - Accent4 5 2 9 2" xfId="5755"/>
    <cellStyle name="20% - Accent4 5 3" xfId="5756"/>
    <cellStyle name="20% - Accent4 5 3 10" xfId="5757"/>
    <cellStyle name="20% - Accent4 5 3 2" xfId="5758"/>
    <cellStyle name="20% - Accent4 5 3 2 2" xfId="5759"/>
    <cellStyle name="20% - Accent4 5 3 2 2 2" xfId="5760"/>
    <cellStyle name="20% - Accent4 5 3 2 2 2 2" xfId="5761"/>
    <cellStyle name="20% - Accent4 5 3 2 2 2 2 2" xfId="5762"/>
    <cellStyle name="20% - Accent4 5 3 2 2 2 3" xfId="5763"/>
    <cellStyle name="20% - Accent4 5 3 2 2 2 4" xfId="5764"/>
    <cellStyle name="20% - Accent4 5 3 2 2 3" xfId="5765"/>
    <cellStyle name="20% - Accent4 5 3 2 2 3 2" xfId="5766"/>
    <cellStyle name="20% - Accent4 5 3 2 2 4" xfId="5767"/>
    <cellStyle name="20% - Accent4 5 3 2 2 5" xfId="5768"/>
    <cellStyle name="20% - Accent4 5 3 2 3" xfId="5769"/>
    <cellStyle name="20% - Accent4 5 3 2 3 2" xfId="5770"/>
    <cellStyle name="20% - Accent4 5 3 2 3 2 2" xfId="5771"/>
    <cellStyle name="20% - Accent4 5 3 2 3 2 2 2" xfId="5772"/>
    <cellStyle name="20% - Accent4 5 3 2 3 2 3" xfId="5773"/>
    <cellStyle name="20% - Accent4 5 3 2 3 2 4" xfId="5774"/>
    <cellStyle name="20% - Accent4 5 3 2 3 3" xfId="5775"/>
    <cellStyle name="20% - Accent4 5 3 2 3 3 2" xfId="5776"/>
    <cellStyle name="20% - Accent4 5 3 2 3 4" xfId="5777"/>
    <cellStyle name="20% - Accent4 5 3 2 3 5" xfId="5778"/>
    <cellStyle name="20% - Accent4 5 3 2 4" xfId="5779"/>
    <cellStyle name="20% - Accent4 5 3 2 4 2" xfId="5780"/>
    <cellStyle name="20% - Accent4 5 3 2 4 2 2" xfId="5781"/>
    <cellStyle name="20% - Accent4 5 3 2 4 3" xfId="5782"/>
    <cellStyle name="20% - Accent4 5 3 2 4 4" xfId="5783"/>
    <cellStyle name="20% - Accent4 5 3 2 5" xfId="5784"/>
    <cellStyle name="20% - Accent4 5 3 2 5 2" xfId="5785"/>
    <cellStyle name="20% - Accent4 5 3 2 5 2 2" xfId="5786"/>
    <cellStyle name="20% - Accent4 5 3 2 5 3" xfId="5787"/>
    <cellStyle name="20% - Accent4 5 3 2 5 4" xfId="5788"/>
    <cellStyle name="20% - Accent4 5 3 2 6" xfId="5789"/>
    <cellStyle name="20% - Accent4 5 3 2 6 2" xfId="5790"/>
    <cellStyle name="20% - Accent4 5 3 2 6 2 2" xfId="5791"/>
    <cellStyle name="20% - Accent4 5 3 2 6 3" xfId="5792"/>
    <cellStyle name="20% - Accent4 5 3 2 6 4" xfId="5793"/>
    <cellStyle name="20% - Accent4 5 3 2 7" xfId="5794"/>
    <cellStyle name="20% - Accent4 5 3 2 7 2" xfId="5795"/>
    <cellStyle name="20% - Accent4 5 3 2 8" xfId="5796"/>
    <cellStyle name="20% - Accent4 5 3 2 9" xfId="5797"/>
    <cellStyle name="20% - Accent4 5 3 3" xfId="5798"/>
    <cellStyle name="20% - Accent4 5 3 3 2" xfId="5799"/>
    <cellStyle name="20% - Accent4 5 3 3 2 2" xfId="5800"/>
    <cellStyle name="20% - Accent4 5 3 3 2 2 2" xfId="5801"/>
    <cellStyle name="20% - Accent4 5 3 3 2 3" xfId="5802"/>
    <cellStyle name="20% - Accent4 5 3 3 2 4" xfId="5803"/>
    <cellStyle name="20% - Accent4 5 3 3 3" xfId="5804"/>
    <cellStyle name="20% - Accent4 5 3 3 3 2" xfId="5805"/>
    <cellStyle name="20% - Accent4 5 3 3 4" xfId="5806"/>
    <cellStyle name="20% - Accent4 5 3 3 5" xfId="5807"/>
    <cellStyle name="20% - Accent4 5 3 4" xfId="5808"/>
    <cellStyle name="20% - Accent4 5 3 4 2" xfId="5809"/>
    <cellStyle name="20% - Accent4 5 3 4 2 2" xfId="5810"/>
    <cellStyle name="20% - Accent4 5 3 4 2 2 2" xfId="5811"/>
    <cellStyle name="20% - Accent4 5 3 4 2 3" xfId="5812"/>
    <cellStyle name="20% - Accent4 5 3 4 2 4" xfId="5813"/>
    <cellStyle name="20% - Accent4 5 3 4 3" xfId="5814"/>
    <cellStyle name="20% - Accent4 5 3 4 3 2" xfId="5815"/>
    <cellStyle name="20% - Accent4 5 3 4 4" xfId="5816"/>
    <cellStyle name="20% - Accent4 5 3 4 5" xfId="5817"/>
    <cellStyle name="20% - Accent4 5 3 5" xfId="5818"/>
    <cellStyle name="20% - Accent4 5 3 5 2" xfId="5819"/>
    <cellStyle name="20% - Accent4 5 3 5 2 2" xfId="5820"/>
    <cellStyle name="20% - Accent4 5 3 5 3" xfId="5821"/>
    <cellStyle name="20% - Accent4 5 3 5 4" xfId="5822"/>
    <cellStyle name="20% - Accent4 5 3 6" xfId="5823"/>
    <cellStyle name="20% - Accent4 5 3 6 2" xfId="5824"/>
    <cellStyle name="20% - Accent4 5 3 6 2 2" xfId="5825"/>
    <cellStyle name="20% - Accent4 5 3 6 3" xfId="5826"/>
    <cellStyle name="20% - Accent4 5 3 6 4" xfId="5827"/>
    <cellStyle name="20% - Accent4 5 3 7" xfId="5828"/>
    <cellStyle name="20% - Accent4 5 3 7 2" xfId="5829"/>
    <cellStyle name="20% - Accent4 5 3 7 2 2" xfId="5830"/>
    <cellStyle name="20% - Accent4 5 3 7 3" xfId="5831"/>
    <cellStyle name="20% - Accent4 5 3 7 4" xfId="5832"/>
    <cellStyle name="20% - Accent4 5 3 8" xfId="5833"/>
    <cellStyle name="20% - Accent4 5 3 8 2" xfId="5834"/>
    <cellStyle name="20% - Accent4 5 3 9" xfId="5835"/>
    <cellStyle name="20% - Accent4 5 4" xfId="5836"/>
    <cellStyle name="20% - Accent4 5 4 2" xfId="5837"/>
    <cellStyle name="20% - Accent4 5 4 2 2" xfId="5838"/>
    <cellStyle name="20% - Accent4 5 4 2 2 2" xfId="5839"/>
    <cellStyle name="20% - Accent4 5 4 2 2 2 2" xfId="5840"/>
    <cellStyle name="20% - Accent4 5 4 2 2 3" xfId="5841"/>
    <cellStyle name="20% - Accent4 5 4 2 2 4" xfId="5842"/>
    <cellStyle name="20% - Accent4 5 4 2 3" xfId="5843"/>
    <cellStyle name="20% - Accent4 5 4 2 3 2" xfId="5844"/>
    <cellStyle name="20% - Accent4 5 4 2 4" xfId="5845"/>
    <cellStyle name="20% - Accent4 5 4 2 5" xfId="5846"/>
    <cellStyle name="20% - Accent4 5 4 3" xfId="5847"/>
    <cellStyle name="20% - Accent4 5 4 3 2" xfId="5848"/>
    <cellStyle name="20% - Accent4 5 4 3 2 2" xfId="5849"/>
    <cellStyle name="20% - Accent4 5 4 3 2 2 2" xfId="5850"/>
    <cellStyle name="20% - Accent4 5 4 3 2 3" xfId="5851"/>
    <cellStyle name="20% - Accent4 5 4 3 2 4" xfId="5852"/>
    <cellStyle name="20% - Accent4 5 4 3 3" xfId="5853"/>
    <cellStyle name="20% - Accent4 5 4 3 3 2" xfId="5854"/>
    <cellStyle name="20% - Accent4 5 4 3 4" xfId="5855"/>
    <cellStyle name="20% - Accent4 5 4 3 5" xfId="5856"/>
    <cellStyle name="20% - Accent4 5 4 4" xfId="5857"/>
    <cellStyle name="20% - Accent4 5 4 4 2" xfId="5858"/>
    <cellStyle name="20% - Accent4 5 4 4 2 2" xfId="5859"/>
    <cellStyle name="20% - Accent4 5 4 4 3" xfId="5860"/>
    <cellStyle name="20% - Accent4 5 4 4 4" xfId="5861"/>
    <cellStyle name="20% - Accent4 5 4 5" xfId="5862"/>
    <cellStyle name="20% - Accent4 5 4 5 2" xfId="5863"/>
    <cellStyle name="20% - Accent4 5 4 5 2 2" xfId="5864"/>
    <cellStyle name="20% - Accent4 5 4 5 3" xfId="5865"/>
    <cellStyle name="20% - Accent4 5 4 5 4" xfId="5866"/>
    <cellStyle name="20% - Accent4 5 4 6" xfId="5867"/>
    <cellStyle name="20% - Accent4 5 4 6 2" xfId="5868"/>
    <cellStyle name="20% - Accent4 5 4 6 2 2" xfId="5869"/>
    <cellStyle name="20% - Accent4 5 4 6 3" xfId="5870"/>
    <cellStyle name="20% - Accent4 5 4 6 4" xfId="5871"/>
    <cellStyle name="20% - Accent4 5 4 7" xfId="5872"/>
    <cellStyle name="20% - Accent4 5 4 7 2" xfId="5873"/>
    <cellStyle name="20% - Accent4 5 4 8" xfId="5874"/>
    <cellStyle name="20% - Accent4 5 4 9" xfId="5875"/>
    <cellStyle name="20% - Accent4 5 5" xfId="5876"/>
    <cellStyle name="20% - Accent4 5 5 2" xfId="5877"/>
    <cellStyle name="20% - Accent4 5 5 2 2" xfId="5878"/>
    <cellStyle name="20% - Accent4 5 5 2 2 2" xfId="5879"/>
    <cellStyle name="20% - Accent4 5 5 2 2 2 2" xfId="5880"/>
    <cellStyle name="20% - Accent4 5 5 2 2 3" xfId="5881"/>
    <cellStyle name="20% - Accent4 5 5 2 2 4" xfId="5882"/>
    <cellStyle name="20% - Accent4 5 5 2 3" xfId="5883"/>
    <cellStyle name="20% - Accent4 5 5 2 3 2" xfId="5884"/>
    <cellStyle name="20% - Accent4 5 5 2 4" xfId="5885"/>
    <cellStyle name="20% - Accent4 5 5 2 5" xfId="5886"/>
    <cellStyle name="20% - Accent4 5 5 3" xfId="5887"/>
    <cellStyle name="20% - Accent4 5 5 3 2" xfId="5888"/>
    <cellStyle name="20% - Accent4 5 5 3 2 2" xfId="5889"/>
    <cellStyle name="20% - Accent4 5 5 3 3" xfId="5890"/>
    <cellStyle name="20% - Accent4 5 5 3 4" xfId="5891"/>
    <cellStyle name="20% - Accent4 5 5 4" xfId="5892"/>
    <cellStyle name="20% - Accent4 5 5 4 2" xfId="5893"/>
    <cellStyle name="20% - Accent4 5 5 4 2 2" xfId="5894"/>
    <cellStyle name="20% - Accent4 5 5 4 3" xfId="5895"/>
    <cellStyle name="20% - Accent4 5 5 4 4" xfId="5896"/>
    <cellStyle name="20% - Accent4 5 5 5" xfId="5897"/>
    <cellStyle name="20% - Accent4 5 5 5 2" xfId="5898"/>
    <cellStyle name="20% - Accent4 5 5 6" xfId="5899"/>
    <cellStyle name="20% - Accent4 5 5 7" xfId="5900"/>
    <cellStyle name="20% - Accent4 5 6" xfId="5901"/>
    <cellStyle name="20% - Accent4 5 6 2" xfId="5902"/>
    <cellStyle name="20% - Accent4 5 6 2 2" xfId="5903"/>
    <cellStyle name="20% - Accent4 5 6 2 2 2" xfId="5904"/>
    <cellStyle name="20% - Accent4 5 6 2 3" xfId="5905"/>
    <cellStyle name="20% - Accent4 5 6 2 4" xfId="5906"/>
    <cellStyle name="20% - Accent4 5 6 3" xfId="5907"/>
    <cellStyle name="20% - Accent4 5 6 3 2" xfId="5908"/>
    <cellStyle name="20% - Accent4 5 6 4" xfId="5909"/>
    <cellStyle name="20% - Accent4 5 6 5" xfId="5910"/>
    <cellStyle name="20% - Accent4 5 7" xfId="5911"/>
    <cellStyle name="20% - Accent4 5 7 2" xfId="5912"/>
    <cellStyle name="20% - Accent4 5 7 2 2" xfId="5913"/>
    <cellStyle name="20% - Accent4 5 7 3" xfId="5914"/>
    <cellStyle name="20% - Accent4 5 7 4" xfId="5915"/>
    <cellStyle name="20% - Accent4 5 8" xfId="5916"/>
    <cellStyle name="20% - Accent4 5 8 2" xfId="5917"/>
    <cellStyle name="20% - Accent4 5 8 2 2" xfId="5918"/>
    <cellStyle name="20% - Accent4 5 8 3" xfId="5919"/>
    <cellStyle name="20% - Accent4 5 8 4" xfId="5920"/>
    <cellStyle name="20% - Accent4 6" xfId="5921"/>
    <cellStyle name="20% - Accent4 7" xfId="5922"/>
    <cellStyle name="20% - Accent4 8" xfId="5923"/>
    <cellStyle name="20% - Accent4 9" xfId="5924"/>
    <cellStyle name="20% - Accent4 9 2" xfId="5925"/>
    <cellStyle name="20% - Accent4 9 2 2" xfId="5926"/>
    <cellStyle name="20% - Accent4 9 3" xfId="5927"/>
    <cellStyle name="20% - Accent4 9 4" xfId="5928"/>
    <cellStyle name="20% - Accent5" xfId="35700" builtinId="46" customBuiltin="1"/>
    <cellStyle name="20% - Accent5 2" xfId="37"/>
    <cellStyle name="20% - Accent5 2 10" xfId="5929"/>
    <cellStyle name="20% - Accent5 2 11" xfId="5930"/>
    <cellStyle name="20% - Accent5 2 12" xfId="35501"/>
    <cellStyle name="20% - Accent5 2 2" xfId="5931"/>
    <cellStyle name="20% - Accent5 2 2 2" xfId="5932"/>
    <cellStyle name="20% - Accent5 2 3" xfId="5933"/>
    <cellStyle name="20% - Accent5 2 3 10" xfId="5934"/>
    <cellStyle name="20% - Accent5 2 3 11" xfId="5935"/>
    <cellStyle name="20% - Accent5 2 3 2" xfId="5936"/>
    <cellStyle name="20% - Accent5 2 3 2 10" xfId="5937"/>
    <cellStyle name="20% - Accent5 2 3 2 2" xfId="5938"/>
    <cellStyle name="20% - Accent5 2 3 2 2 2" xfId="5939"/>
    <cellStyle name="20% - Accent5 2 3 2 2 2 2" xfId="5940"/>
    <cellStyle name="20% - Accent5 2 3 2 2 2 2 2" xfId="5941"/>
    <cellStyle name="20% - Accent5 2 3 2 2 2 2 2 2" xfId="5942"/>
    <cellStyle name="20% - Accent5 2 3 2 2 2 2 3" xfId="5943"/>
    <cellStyle name="20% - Accent5 2 3 2 2 2 2 4" xfId="5944"/>
    <cellStyle name="20% - Accent5 2 3 2 2 2 3" xfId="5945"/>
    <cellStyle name="20% - Accent5 2 3 2 2 2 3 2" xfId="5946"/>
    <cellStyle name="20% - Accent5 2 3 2 2 2 4" xfId="5947"/>
    <cellStyle name="20% - Accent5 2 3 2 2 2 5" xfId="5948"/>
    <cellStyle name="20% - Accent5 2 3 2 2 3" xfId="5949"/>
    <cellStyle name="20% - Accent5 2 3 2 2 3 2" xfId="5950"/>
    <cellStyle name="20% - Accent5 2 3 2 2 3 2 2" xfId="5951"/>
    <cellStyle name="20% - Accent5 2 3 2 2 3 2 2 2" xfId="5952"/>
    <cellStyle name="20% - Accent5 2 3 2 2 3 2 3" xfId="5953"/>
    <cellStyle name="20% - Accent5 2 3 2 2 3 2 4" xfId="5954"/>
    <cellStyle name="20% - Accent5 2 3 2 2 3 3" xfId="5955"/>
    <cellStyle name="20% - Accent5 2 3 2 2 3 3 2" xfId="5956"/>
    <cellStyle name="20% - Accent5 2 3 2 2 3 4" xfId="5957"/>
    <cellStyle name="20% - Accent5 2 3 2 2 3 5" xfId="5958"/>
    <cellStyle name="20% - Accent5 2 3 2 2 4" xfId="5959"/>
    <cellStyle name="20% - Accent5 2 3 2 2 4 2" xfId="5960"/>
    <cellStyle name="20% - Accent5 2 3 2 2 4 2 2" xfId="5961"/>
    <cellStyle name="20% - Accent5 2 3 2 2 4 3" xfId="5962"/>
    <cellStyle name="20% - Accent5 2 3 2 2 4 4" xfId="5963"/>
    <cellStyle name="20% - Accent5 2 3 2 2 5" xfId="5964"/>
    <cellStyle name="20% - Accent5 2 3 2 2 5 2" xfId="5965"/>
    <cellStyle name="20% - Accent5 2 3 2 2 5 2 2" xfId="5966"/>
    <cellStyle name="20% - Accent5 2 3 2 2 5 3" xfId="5967"/>
    <cellStyle name="20% - Accent5 2 3 2 2 5 4" xfId="5968"/>
    <cellStyle name="20% - Accent5 2 3 2 2 6" xfId="5969"/>
    <cellStyle name="20% - Accent5 2 3 2 2 6 2" xfId="5970"/>
    <cellStyle name="20% - Accent5 2 3 2 2 6 2 2" xfId="5971"/>
    <cellStyle name="20% - Accent5 2 3 2 2 6 3" xfId="5972"/>
    <cellStyle name="20% - Accent5 2 3 2 2 6 4" xfId="5973"/>
    <cellStyle name="20% - Accent5 2 3 2 2 7" xfId="5974"/>
    <cellStyle name="20% - Accent5 2 3 2 2 7 2" xfId="5975"/>
    <cellStyle name="20% - Accent5 2 3 2 2 8" xfId="5976"/>
    <cellStyle name="20% - Accent5 2 3 2 2 9" xfId="5977"/>
    <cellStyle name="20% - Accent5 2 3 2 3" xfId="5978"/>
    <cellStyle name="20% - Accent5 2 3 2 3 2" xfId="5979"/>
    <cellStyle name="20% - Accent5 2 3 2 3 2 2" xfId="5980"/>
    <cellStyle name="20% - Accent5 2 3 2 3 2 2 2" xfId="5981"/>
    <cellStyle name="20% - Accent5 2 3 2 3 2 3" xfId="5982"/>
    <cellStyle name="20% - Accent5 2 3 2 3 2 4" xfId="5983"/>
    <cellStyle name="20% - Accent5 2 3 2 3 3" xfId="5984"/>
    <cellStyle name="20% - Accent5 2 3 2 3 3 2" xfId="5985"/>
    <cellStyle name="20% - Accent5 2 3 2 3 4" xfId="5986"/>
    <cellStyle name="20% - Accent5 2 3 2 3 5" xfId="5987"/>
    <cellStyle name="20% - Accent5 2 3 2 4" xfId="5988"/>
    <cellStyle name="20% - Accent5 2 3 2 4 2" xfId="5989"/>
    <cellStyle name="20% - Accent5 2 3 2 4 2 2" xfId="5990"/>
    <cellStyle name="20% - Accent5 2 3 2 4 2 2 2" xfId="5991"/>
    <cellStyle name="20% - Accent5 2 3 2 4 2 3" xfId="5992"/>
    <cellStyle name="20% - Accent5 2 3 2 4 2 4" xfId="5993"/>
    <cellStyle name="20% - Accent5 2 3 2 4 3" xfId="5994"/>
    <cellStyle name="20% - Accent5 2 3 2 4 3 2" xfId="5995"/>
    <cellStyle name="20% - Accent5 2 3 2 4 4" xfId="5996"/>
    <cellStyle name="20% - Accent5 2 3 2 4 5" xfId="5997"/>
    <cellStyle name="20% - Accent5 2 3 2 5" xfId="5998"/>
    <cellStyle name="20% - Accent5 2 3 2 5 2" xfId="5999"/>
    <cellStyle name="20% - Accent5 2 3 2 5 2 2" xfId="6000"/>
    <cellStyle name="20% - Accent5 2 3 2 5 3" xfId="6001"/>
    <cellStyle name="20% - Accent5 2 3 2 5 4" xfId="6002"/>
    <cellStyle name="20% - Accent5 2 3 2 6" xfId="6003"/>
    <cellStyle name="20% - Accent5 2 3 2 6 2" xfId="6004"/>
    <cellStyle name="20% - Accent5 2 3 2 6 2 2" xfId="6005"/>
    <cellStyle name="20% - Accent5 2 3 2 6 3" xfId="6006"/>
    <cellStyle name="20% - Accent5 2 3 2 6 4" xfId="6007"/>
    <cellStyle name="20% - Accent5 2 3 2 7" xfId="6008"/>
    <cellStyle name="20% - Accent5 2 3 2 7 2" xfId="6009"/>
    <cellStyle name="20% - Accent5 2 3 2 7 2 2" xfId="6010"/>
    <cellStyle name="20% - Accent5 2 3 2 7 3" xfId="6011"/>
    <cellStyle name="20% - Accent5 2 3 2 7 4" xfId="6012"/>
    <cellStyle name="20% - Accent5 2 3 2 8" xfId="6013"/>
    <cellStyle name="20% - Accent5 2 3 2 8 2" xfId="6014"/>
    <cellStyle name="20% - Accent5 2 3 2 9" xfId="6015"/>
    <cellStyle name="20% - Accent5 2 3 3" xfId="6016"/>
    <cellStyle name="20% - Accent5 2 3 3 2" xfId="6017"/>
    <cellStyle name="20% - Accent5 2 3 3 2 2" xfId="6018"/>
    <cellStyle name="20% - Accent5 2 3 3 2 2 2" xfId="6019"/>
    <cellStyle name="20% - Accent5 2 3 3 2 2 2 2" xfId="6020"/>
    <cellStyle name="20% - Accent5 2 3 3 2 2 3" xfId="6021"/>
    <cellStyle name="20% - Accent5 2 3 3 2 2 4" xfId="6022"/>
    <cellStyle name="20% - Accent5 2 3 3 2 3" xfId="6023"/>
    <cellStyle name="20% - Accent5 2 3 3 2 3 2" xfId="6024"/>
    <cellStyle name="20% - Accent5 2 3 3 2 4" xfId="6025"/>
    <cellStyle name="20% - Accent5 2 3 3 2 5" xfId="6026"/>
    <cellStyle name="20% - Accent5 2 3 3 3" xfId="6027"/>
    <cellStyle name="20% - Accent5 2 3 3 3 2" xfId="6028"/>
    <cellStyle name="20% - Accent5 2 3 3 3 2 2" xfId="6029"/>
    <cellStyle name="20% - Accent5 2 3 3 3 2 2 2" xfId="6030"/>
    <cellStyle name="20% - Accent5 2 3 3 3 2 3" xfId="6031"/>
    <cellStyle name="20% - Accent5 2 3 3 3 2 4" xfId="6032"/>
    <cellStyle name="20% - Accent5 2 3 3 3 3" xfId="6033"/>
    <cellStyle name="20% - Accent5 2 3 3 3 3 2" xfId="6034"/>
    <cellStyle name="20% - Accent5 2 3 3 3 4" xfId="6035"/>
    <cellStyle name="20% - Accent5 2 3 3 3 5" xfId="6036"/>
    <cellStyle name="20% - Accent5 2 3 3 4" xfId="6037"/>
    <cellStyle name="20% - Accent5 2 3 3 4 2" xfId="6038"/>
    <cellStyle name="20% - Accent5 2 3 3 4 2 2" xfId="6039"/>
    <cellStyle name="20% - Accent5 2 3 3 4 3" xfId="6040"/>
    <cellStyle name="20% - Accent5 2 3 3 4 4" xfId="6041"/>
    <cellStyle name="20% - Accent5 2 3 3 5" xfId="6042"/>
    <cellStyle name="20% - Accent5 2 3 3 5 2" xfId="6043"/>
    <cellStyle name="20% - Accent5 2 3 3 5 2 2" xfId="6044"/>
    <cellStyle name="20% - Accent5 2 3 3 5 3" xfId="6045"/>
    <cellStyle name="20% - Accent5 2 3 3 5 4" xfId="6046"/>
    <cellStyle name="20% - Accent5 2 3 3 6" xfId="6047"/>
    <cellStyle name="20% - Accent5 2 3 3 6 2" xfId="6048"/>
    <cellStyle name="20% - Accent5 2 3 3 6 2 2" xfId="6049"/>
    <cellStyle name="20% - Accent5 2 3 3 6 3" xfId="6050"/>
    <cellStyle name="20% - Accent5 2 3 3 6 4" xfId="6051"/>
    <cellStyle name="20% - Accent5 2 3 3 7" xfId="6052"/>
    <cellStyle name="20% - Accent5 2 3 3 7 2" xfId="6053"/>
    <cellStyle name="20% - Accent5 2 3 3 8" xfId="6054"/>
    <cellStyle name="20% - Accent5 2 3 3 9" xfId="6055"/>
    <cellStyle name="20% - Accent5 2 3 4" xfId="6056"/>
    <cellStyle name="20% - Accent5 2 3 4 2" xfId="6057"/>
    <cellStyle name="20% - Accent5 2 3 4 2 2" xfId="6058"/>
    <cellStyle name="20% - Accent5 2 3 4 2 2 2" xfId="6059"/>
    <cellStyle name="20% - Accent5 2 3 4 2 3" xfId="6060"/>
    <cellStyle name="20% - Accent5 2 3 4 2 4" xfId="6061"/>
    <cellStyle name="20% - Accent5 2 3 4 3" xfId="6062"/>
    <cellStyle name="20% - Accent5 2 3 4 4" xfId="6063"/>
    <cellStyle name="20% - Accent5 2 3 4 4 2" xfId="6064"/>
    <cellStyle name="20% - Accent5 2 3 4 5" xfId="6065"/>
    <cellStyle name="20% - Accent5 2 3 4 6" xfId="6066"/>
    <cellStyle name="20% - Accent5 2 3 5" xfId="6067"/>
    <cellStyle name="20% - Accent5 2 3 5 2" xfId="6068"/>
    <cellStyle name="20% - Accent5 2 3 5 2 2" xfId="6069"/>
    <cellStyle name="20% - Accent5 2 3 5 2 2 2" xfId="6070"/>
    <cellStyle name="20% - Accent5 2 3 5 2 3" xfId="6071"/>
    <cellStyle name="20% - Accent5 2 3 5 2 4" xfId="6072"/>
    <cellStyle name="20% - Accent5 2 3 5 3" xfId="6073"/>
    <cellStyle name="20% - Accent5 2 3 5 3 2" xfId="6074"/>
    <cellStyle name="20% - Accent5 2 3 5 4" xfId="6075"/>
    <cellStyle name="20% - Accent5 2 3 5 5" xfId="6076"/>
    <cellStyle name="20% - Accent5 2 3 6" xfId="6077"/>
    <cellStyle name="20% - Accent5 2 3 6 2" xfId="6078"/>
    <cellStyle name="20% - Accent5 2 3 6 2 2" xfId="6079"/>
    <cellStyle name="20% - Accent5 2 3 6 3" xfId="6080"/>
    <cellStyle name="20% - Accent5 2 3 6 4" xfId="6081"/>
    <cellStyle name="20% - Accent5 2 3 7" xfId="6082"/>
    <cellStyle name="20% - Accent5 2 3 7 2" xfId="6083"/>
    <cellStyle name="20% - Accent5 2 3 7 2 2" xfId="6084"/>
    <cellStyle name="20% - Accent5 2 3 7 3" xfId="6085"/>
    <cellStyle name="20% - Accent5 2 3 7 4" xfId="6086"/>
    <cellStyle name="20% - Accent5 2 3 8" xfId="6087"/>
    <cellStyle name="20% - Accent5 2 3 8 2" xfId="6088"/>
    <cellStyle name="20% - Accent5 2 3 8 2 2" xfId="6089"/>
    <cellStyle name="20% - Accent5 2 3 8 3" xfId="6090"/>
    <cellStyle name="20% - Accent5 2 3 8 4" xfId="6091"/>
    <cellStyle name="20% - Accent5 2 3 9" xfId="6092"/>
    <cellStyle name="20% - Accent5 2 3 9 2" xfId="6093"/>
    <cellStyle name="20% - Accent5 2 4" xfId="6094"/>
    <cellStyle name="20% - Accent5 2 4 10" xfId="6095"/>
    <cellStyle name="20% - Accent5 2 4 2" xfId="6096"/>
    <cellStyle name="20% - Accent5 2 4 2 2" xfId="6097"/>
    <cellStyle name="20% - Accent5 2 4 2 2 2" xfId="6098"/>
    <cellStyle name="20% - Accent5 2 4 2 2 2 2" xfId="6099"/>
    <cellStyle name="20% - Accent5 2 4 2 2 2 2 2" xfId="6100"/>
    <cellStyle name="20% - Accent5 2 4 2 2 2 3" xfId="6101"/>
    <cellStyle name="20% - Accent5 2 4 2 2 2 4" xfId="6102"/>
    <cellStyle name="20% - Accent5 2 4 2 2 3" xfId="6103"/>
    <cellStyle name="20% - Accent5 2 4 2 2 3 2" xfId="6104"/>
    <cellStyle name="20% - Accent5 2 4 2 2 4" xfId="6105"/>
    <cellStyle name="20% - Accent5 2 4 2 2 5" xfId="6106"/>
    <cellStyle name="20% - Accent5 2 4 2 3" xfId="6107"/>
    <cellStyle name="20% - Accent5 2 4 2 3 2" xfId="6108"/>
    <cellStyle name="20% - Accent5 2 4 2 3 2 2" xfId="6109"/>
    <cellStyle name="20% - Accent5 2 4 2 3 2 2 2" xfId="6110"/>
    <cellStyle name="20% - Accent5 2 4 2 3 2 3" xfId="6111"/>
    <cellStyle name="20% - Accent5 2 4 2 3 2 4" xfId="6112"/>
    <cellStyle name="20% - Accent5 2 4 2 3 3" xfId="6113"/>
    <cellStyle name="20% - Accent5 2 4 2 3 3 2" xfId="6114"/>
    <cellStyle name="20% - Accent5 2 4 2 3 4" xfId="6115"/>
    <cellStyle name="20% - Accent5 2 4 2 3 5" xfId="6116"/>
    <cellStyle name="20% - Accent5 2 4 2 4" xfId="6117"/>
    <cellStyle name="20% - Accent5 2 4 2 4 2" xfId="6118"/>
    <cellStyle name="20% - Accent5 2 4 2 4 2 2" xfId="6119"/>
    <cellStyle name="20% - Accent5 2 4 2 4 3" xfId="6120"/>
    <cellStyle name="20% - Accent5 2 4 2 4 4" xfId="6121"/>
    <cellStyle name="20% - Accent5 2 4 2 5" xfId="6122"/>
    <cellStyle name="20% - Accent5 2 4 2 5 2" xfId="6123"/>
    <cellStyle name="20% - Accent5 2 4 2 5 2 2" xfId="6124"/>
    <cellStyle name="20% - Accent5 2 4 2 5 3" xfId="6125"/>
    <cellStyle name="20% - Accent5 2 4 2 5 4" xfId="6126"/>
    <cellStyle name="20% - Accent5 2 4 2 6" xfId="6127"/>
    <cellStyle name="20% - Accent5 2 4 2 6 2" xfId="6128"/>
    <cellStyle name="20% - Accent5 2 4 2 6 2 2" xfId="6129"/>
    <cellStyle name="20% - Accent5 2 4 2 6 3" xfId="6130"/>
    <cellStyle name="20% - Accent5 2 4 2 6 4" xfId="6131"/>
    <cellStyle name="20% - Accent5 2 4 2 7" xfId="6132"/>
    <cellStyle name="20% - Accent5 2 4 2 7 2" xfId="6133"/>
    <cellStyle name="20% - Accent5 2 4 2 8" xfId="6134"/>
    <cellStyle name="20% - Accent5 2 4 2 9" xfId="6135"/>
    <cellStyle name="20% - Accent5 2 4 3" xfId="6136"/>
    <cellStyle name="20% - Accent5 2 4 3 2" xfId="6137"/>
    <cellStyle name="20% - Accent5 2 4 3 2 2" xfId="6138"/>
    <cellStyle name="20% - Accent5 2 4 3 2 2 2" xfId="6139"/>
    <cellStyle name="20% - Accent5 2 4 3 2 3" xfId="6140"/>
    <cellStyle name="20% - Accent5 2 4 3 2 4" xfId="6141"/>
    <cellStyle name="20% - Accent5 2 4 3 3" xfId="6142"/>
    <cellStyle name="20% - Accent5 2 4 3 3 2" xfId="6143"/>
    <cellStyle name="20% - Accent5 2 4 3 4" xfId="6144"/>
    <cellStyle name="20% - Accent5 2 4 3 5" xfId="6145"/>
    <cellStyle name="20% - Accent5 2 4 4" xfId="6146"/>
    <cellStyle name="20% - Accent5 2 4 4 2" xfId="6147"/>
    <cellStyle name="20% - Accent5 2 4 4 2 2" xfId="6148"/>
    <cellStyle name="20% - Accent5 2 4 4 2 2 2" xfId="6149"/>
    <cellStyle name="20% - Accent5 2 4 4 2 3" xfId="6150"/>
    <cellStyle name="20% - Accent5 2 4 4 2 4" xfId="6151"/>
    <cellStyle name="20% - Accent5 2 4 4 3" xfId="6152"/>
    <cellStyle name="20% - Accent5 2 4 4 3 2" xfId="6153"/>
    <cellStyle name="20% - Accent5 2 4 4 4" xfId="6154"/>
    <cellStyle name="20% - Accent5 2 4 4 5" xfId="6155"/>
    <cellStyle name="20% - Accent5 2 4 5" xfId="6156"/>
    <cellStyle name="20% - Accent5 2 4 5 2" xfId="6157"/>
    <cellStyle name="20% - Accent5 2 4 5 2 2" xfId="6158"/>
    <cellStyle name="20% - Accent5 2 4 5 3" xfId="6159"/>
    <cellStyle name="20% - Accent5 2 4 5 4" xfId="6160"/>
    <cellStyle name="20% - Accent5 2 4 6" xfId="6161"/>
    <cellStyle name="20% - Accent5 2 4 6 2" xfId="6162"/>
    <cellStyle name="20% - Accent5 2 4 6 2 2" xfId="6163"/>
    <cellStyle name="20% - Accent5 2 4 6 3" xfId="6164"/>
    <cellStyle name="20% - Accent5 2 4 6 4" xfId="6165"/>
    <cellStyle name="20% - Accent5 2 4 7" xfId="6166"/>
    <cellStyle name="20% - Accent5 2 4 7 2" xfId="6167"/>
    <cellStyle name="20% - Accent5 2 4 7 2 2" xfId="6168"/>
    <cellStyle name="20% - Accent5 2 4 7 3" xfId="6169"/>
    <cellStyle name="20% - Accent5 2 4 7 4" xfId="6170"/>
    <cellStyle name="20% - Accent5 2 4 8" xfId="6171"/>
    <cellStyle name="20% - Accent5 2 4 8 2" xfId="6172"/>
    <cellStyle name="20% - Accent5 2 4 9" xfId="6173"/>
    <cellStyle name="20% - Accent5 2 5" xfId="6174"/>
    <cellStyle name="20% - Accent5 2 5 2" xfId="6175"/>
    <cellStyle name="20% - Accent5 2 5 2 2" xfId="6176"/>
    <cellStyle name="20% - Accent5 2 5 2 2 2" xfId="6177"/>
    <cellStyle name="20% - Accent5 2 5 2 2 2 2" xfId="6178"/>
    <cellStyle name="20% - Accent5 2 5 2 2 3" xfId="6179"/>
    <cellStyle name="20% - Accent5 2 5 2 2 4" xfId="6180"/>
    <cellStyle name="20% - Accent5 2 5 2 3" xfId="6181"/>
    <cellStyle name="20% - Accent5 2 5 2 3 2" xfId="6182"/>
    <cellStyle name="20% - Accent5 2 5 2 4" xfId="6183"/>
    <cellStyle name="20% - Accent5 2 5 2 5" xfId="6184"/>
    <cellStyle name="20% - Accent5 2 5 3" xfId="6185"/>
    <cellStyle name="20% - Accent5 2 5 3 2" xfId="6186"/>
    <cellStyle name="20% - Accent5 2 5 3 2 2" xfId="6187"/>
    <cellStyle name="20% - Accent5 2 5 3 2 2 2" xfId="6188"/>
    <cellStyle name="20% - Accent5 2 5 3 2 3" xfId="6189"/>
    <cellStyle name="20% - Accent5 2 5 3 2 4" xfId="6190"/>
    <cellStyle name="20% - Accent5 2 5 3 3" xfId="6191"/>
    <cellStyle name="20% - Accent5 2 5 3 3 2" xfId="6192"/>
    <cellStyle name="20% - Accent5 2 5 3 4" xfId="6193"/>
    <cellStyle name="20% - Accent5 2 5 3 5" xfId="6194"/>
    <cellStyle name="20% - Accent5 2 5 4" xfId="6195"/>
    <cellStyle name="20% - Accent5 2 5 4 2" xfId="6196"/>
    <cellStyle name="20% - Accent5 2 5 4 2 2" xfId="6197"/>
    <cellStyle name="20% - Accent5 2 5 4 3" xfId="6198"/>
    <cellStyle name="20% - Accent5 2 5 4 4" xfId="6199"/>
    <cellStyle name="20% - Accent5 2 5 5" xfId="6200"/>
    <cellStyle name="20% - Accent5 2 5 5 2" xfId="6201"/>
    <cellStyle name="20% - Accent5 2 5 5 2 2" xfId="6202"/>
    <cellStyle name="20% - Accent5 2 5 5 3" xfId="6203"/>
    <cellStyle name="20% - Accent5 2 5 5 4" xfId="6204"/>
    <cellStyle name="20% - Accent5 2 5 6" xfId="6205"/>
    <cellStyle name="20% - Accent5 2 5 6 2" xfId="6206"/>
    <cellStyle name="20% - Accent5 2 5 6 2 2" xfId="6207"/>
    <cellStyle name="20% - Accent5 2 5 6 3" xfId="6208"/>
    <cellStyle name="20% - Accent5 2 5 6 4" xfId="6209"/>
    <cellStyle name="20% - Accent5 2 5 7" xfId="6210"/>
    <cellStyle name="20% - Accent5 2 5 7 2" xfId="6211"/>
    <cellStyle name="20% - Accent5 2 5 8" xfId="6212"/>
    <cellStyle name="20% - Accent5 2 5 9" xfId="6213"/>
    <cellStyle name="20% - Accent5 2 6" xfId="6214"/>
    <cellStyle name="20% - Accent5 2 6 2" xfId="6215"/>
    <cellStyle name="20% - Accent5 2 7" xfId="6216"/>
    <cellStyle name="20% - Accent5 2 7 2" xfId="6217"/>
    <cellStyle name="20% - Accent5 2 7 2 2" xfId="6218"/>
    <cellStyle name="20% - Accent5 2 7 2 2 2" xfId="6219"/>
    <cellStyle name="20% - Accent5 2 7 2 3" xfId="6220"/>
    <cellStyle name="20% - Accent5 2 7 2 4" xfId="6221"/>
    <cellStyle name="20% - Accent5 2 7 3" xfId="6222"/>
    <cellStyle name="20% - Accent5 2 7 4" xfId="6223"/>
    <cellStyle name="20% - Accent5 2 7 4 2" xfId="6224"/>
    <cellStyle name="20% - Accent5 2 7 5" xfId="6225"/>
    <cellStyle name="20% - Accent5 2 7 6" xfId="6226"/>
    <cellStyle name="20% - Accent5 2 8" xfId="6227"/>
    <cellStyle name="20% - Accent5 2 8 2" xfId="6228"/>
    <cellStyle name="20% - Accent5 2 8 2 2" xfId="6229"/>
    <cellStyle name="20% - Accent5 2 8 3" xfId="6230"/>
    <cellStyle name="20% - Accent5 2 8 4" xfId="6231"/>
    <cellStyle name="20% - Accent5 2 9" xfId="6232"/>
    <cellStyle name="20% - Accent5 2 9 2" xfId="6233"/>
    <cellStyle name="20% - Accent5 3" xfId="105"/>
    <cellStyle name="20% - Accent5 3 10" xfId="6235"/>
    <cellStyle name="20% - Accent5 3 11" xfId="6236"/>
    <cellStyle name="20% - Accent5 3 11 2" xfId="6237"/>
    <cellStyle name="20% - Accent5 3 12" xfId="6238"/>
    <cellStyle name="20% - Accent5 3 13" xfId="6239"/>
    <cellStyle name="20% - Accent5 3 14" xfId="35502"/>
    <cellStyle name="20% - Accent5 3 15" xfId="6234"/>
    <cellStyle name="20% - Accent5 3 2" xfId="6240"/>
    <cellStyle name="20% - Accent5 3 2 10" xfId="6241"/>
    <cellStyle name="20% - Accent5 3 2 10 2" xfId="6242"/>
    <cellStyle name="20% - Accent5 3 2 11" xfId="6243"/>
    <cellStyle name="20% - Accent5 3 2 12" xfId="6244"/>
    <cellStyle name="20% - Accent5 3 2 2" xfId="6245"/>
    <cellStyle name="20% - Accent5 3 2 2 10" xfId="6246"/>
    <cellStyle name="20% - Accent5 3 2 2 11" xfId="6247"/>
    <cellStyle name="20% - Accent5 3 2 2 2" xfId="6248"/>
    <cellStyle name="20% - Accent5 3 2 2 2 10" xfId="6249"/>
    <cellStyle name="20% - Accent5 3 2 2 2 2" xfId="6250"/>
    <cellStyle name="20% - Accent5 3 2 2 2 2 2" xfId="6251"/>
    <cellStyle name="20% - Accent5 3 2 2 2 2 2 2" xfId="6252"/>
    <cellStyle name="20% - Accent5 3 2 2 2 2 2 2 2" xfId="6253"/>
    <cellStyle name="20% - Accent5 3 2 2 2 2 2 2 2 2" xfId="6254"/>
    <cellStyle name="20% - Accent5 3 2 2 2 2 2 2 3" xfId="6255"/>
    <cellStyle name="20% - Accent5 3 2 2 2 2 2 2 4" xfId="6256"/>
    <cellStyle name="20% - Accent5 3 2 2 2 2 2 3" xfId="6257"/>
    <cellStyle name="20% - Accent5 3 2 2 2 2 2 3 2" xfId="6258"/>
    <cellStyle name="20% - Accent5 3 2 2 2 2 2 4" xfId="6259"/>
    <cellStyle name="20% - Accent5 3 2 2 2 2 2 5" xfId="6260"/>
    <cellStyle name="20% - Accent5 3 2 2 2 2 3" xfId="6261"/>
    <cellStyle name="20% - Accent5 3 2 2 2 2 3 2" xfId="6262"/>
    <cellStyle name="20% - Accent5 3 2 2 2 2 3 2 2" xfId="6263"/>
    <cellStyle name="20% - Accent5 3 2 2 2 2 3 2 2 2" xfId="6264"/>
    <cellStyle name="20% - Accent5 3 2 2 2 2 3 2 3" xfId="6265"/>
    <cellStyle name="20% - Accent5 3 2 2 2 2 3 2 4" xfId="6266"/>
    <cellStyle name="20% - Accent5 3 2 2 2 2 3 3" xfId="6267"/>
    <cellStyle name="20% - Accent5 3 2 2 2 2 3 3 2" xfId="6268"/>
    <cellStyle name="20% - Accent5 3 2 2 2 2 3 4" xfId="6269"/>
    <cellStyle name="20% - Accent5 3 2 2 2 2 3 5" xfId="6270"/>
    <cellStyle name="20% - Accent5 3 2 2 2 2 4" xfId="6271"/>
    <cellStyle name="20% - Accent5 3 2 2 2 2 4 2" xfId="6272"/>
    <cellStyle name="20% - Accent5 3 2 2 2 2 4 2 2" xfId="6273"/>
    <cellStyle name="20% - Accent5 3 2 2 2 2 4 3" xfId="6274"/>
    <cellStyle name="20% - Accent5 3 2 2 2 2 4 4" xfId="6275"/>
    <cellStyle name="20% - Accent5 3 2 2 2 2 5" xfId="6276"/>
    <cellStyle name="20% - Accent5 3 2 2 2 2 5 2" xfId="6277"/>
    <cellStyle name="20% - Accent5 3 2 2 2 2 5 2 2" xfId="6278"/>
    <cellStyle name="20% - Accent5 3 2 2 2 2 5 3" xfId="6279"/>
    <cellStyle name="20% - Accent5 3 2 2 2 2 5 4" xfId="6280"/>
    <cellStyle name="20% - Accent5 3 2 2 2 2 6" xfId="6281"/>
    <cellStyle name="20% - Accent5 3 2 2 2 2 6 2" xfId="6282"/>
    <cellStyle name="20% - Accent5 3 2 2 2 2 6 2 2" xfId="6283"/>
    <cellStyle name="20% - Accent5 3 2 2 2 2 6 3" xfId="6284"/>
    <cellStyle name="20% - Accent5 3 2 2 2 2 6 4" xfId="6285"/>
    <cellStyle name="20% - Accent5 3 2 2 2 2 7" xfId="6286"/>
    <cellStyle name="20% - Accent5 3 2 2 2 2 7 2" xfId="6287"/>
    <cellStyle name="20% - Accent5 3 2 2 2 2 8" xfId="6288"/>
    <cellStyle name="20% - Accent5 3 2 2 2 2 9" xfId="6289"/>
    <cellStyle name="20% - Accent5 3 2 2 2 3" xfId="6290"/>
    <cellStyle name="20% - Accent5 3 2 2 2 3 2" xfId="6291"/>
    <cellStyle name="20% - Accent5 3 2 2 2 3 2 2" xfId="6292"/>
    <cellStyle name="20% - Accent5 3 2 2 2 3 2 2 2" xfId="6293"/>
    <cellStyle name="20% - Accent5 3 2 2 2 3 2 3" xfId="6294"/>
    <cellStyle name="20% - Accent5 3 2 2 2 3 2 4" xfId="6295"/>
    <cellStyle name="20% - Accent5 3 2 2 2 3 3" xfId="6296"/>
    <cellStyle name="20% - Accent5 3 2 2 2 3 3 2" xfId="6297"/>
    <cellStyle name="20% - Accent5 3 2 2 2 3 4" xfId="6298"/>
    <cellStyle name="20% - Accent5 3 2 2 2 3 5" xfId="6299"/>
    <cellStyle name="20% - Accent5 3 2 2 2 4" xfId="6300"/>
    <cellStyle name="20% - Accent5 3 2 2 2 4 2" xfId="6301"/>
    <cellStyle name="20% - Accent5 3 2 2 2 4 2 2" xfId="6302"/>
    <cellStyle name="20% - Accent5 3 2 2 2 4 2 2 2" xfId="6303"/>
    <cellStyle name="20% - Accent5 3 2 2 2 4 2 3" xfId="6304"/>
    <cellStyle name="20% - Accent5 3 2 2 2 4 2 4" xfId="6305"/>
    <cellStyle name="20% - Accent5 3 2 2 2 4 3" xfId="6306"/>
    <cellStyle name="20% - Accent5 3 2 2 2 4 3 2" xfId="6307"/>
    <cellStyle name="20% - Accent5 3 2 2 2 4 4" xfId="6308"/>
    <cellStyle name="20% - Accent5 3 2 2 2 4 5" xfId="6309"/>
    <cellStyle name="20% - Accent5 3 2 2 2 5" xfId="6310"/>
    <cellStyle name="20% - Accent5 3 2 2 2 5 2" xfId="6311"/>
    <cellStyle name="20% - Accent5 3 2 2 2 5 2 2" xfId="6312"/>
    <cellStyle name="20% - Accent5 3 2 2 2 5 3" xfId="6313"/>
    <cellStyle name="20% - Accent5 3 2 2 2 5 4" xfId="6314"/>
    <cellStyle name="20% - Accent5 3 2 2 2 6" xfId="6315"/>
    <cellStyle name="20% - Accent5 3 2 2 2 6 2" xfId="6316"/>
    <cellStyle name="20% - Accent5 3 2 2 2 6 2 2" xfId="6317"/>
    <cellStyle name="20% - Accent5 3 2 2 2 6 3" xfId="6318"/>
    <cellStyle name="20% - Accent5 3 2 2 2 6 4" xfId="6319"/>
    <cellStyle name="20% - Accent5 3 2 2 2 7" xfId="6320"/>
    <cellStyle name="20% - Accent5 3 2 2 2 7 2" xfId="6321"/>
    <cellStyle name="20% - Accent5 3 2 2 2 7 2 2" xfId="6322"/>
    <cellStyle name="20% - Accent5 3 2 2 2 7 3" xfId="6323"/>
    <cellStyle name="20% - Accent5 3 2 2 2 7 4" xfId="6324"/>
    <cellStyle name="20% - Accent5 3 2 2 2 8" xfId="6325"/>
    <cellStyle name="20% - Accent5 3 2 2 2 8 2" xfId="6326"/>
    <cellStyle name="20% - Accent5 3 2 2 2 9" xfId="6327"/>
    <cellStyle name="20% - Accent5 3 2 2 3" xfId="6328"/>
    <cellStyle name="20% - Accent5 3 2 2 3 2" xfId="6329"/>
    <cellStyle name="20% - Accent5 3 2 2 3 2 2" xfId="6330"/>
    <cellStyle name="20% - Accent5 3 2 2 3 2 2 2" xfId="6331"/>
    <cellStyle name="20% - Accent5 3 2 2 3 2 2 2 2" xfId="6332"/>
    <cellStyle name="20% - Accent5 3 2 2 3 2 2 3" xfId="6333"/>
    <cellStyle name="20% - Accent5 3 2 2 3 2 2 4" xfId="6334"/>
    <cellStyle name="20% - Accent5 3 2 2 3 2 3" xfId="6335"/>
    <cellStyle name="20% - Accent5 3 2 2 3 2 3 2" xfId="6336"/>
    <cellStyle name="20% - Accent5 3 2 2 3 2 4" xfId="6337"/>
    <cellStyle name="20% - Accent5 3 2 2 3 2 5" xfId="6338"/>
    <cellStyle name="20% - Accent5 3 2 2 3 3" xfId="6339"/>
    <cellStyle name="20% - Accent5 3 2 2 3 3 2" xfId="6340"/>
    <cellStyle name="20% - Accent5 3 2 2 3 3 2 2" xfId="6341"/>
    <cellStyle name="20% - Accent5 3 2 2 3 3 2 2 2" xfId="6342"/>
    <cellStyle name="20% - Accent5 3 2 2 3 3 2 3" xfId="6343"/>
    <cellStyle name="20% - Accent5 3 2 2 3 3 2 4" xfId="6344"/>
    <cellStyle name="20% - Accent5 3 2 2 3 3 3" xfId="6345"/>
    <cellStyle name="20% - Accent5 3 2 2 3 3 3 2" xfId="6346"/>
    <cellStyle name="20% - Accent5 3 2 2 3 3 4" xfId="6347"/>
    <cellStyle name="20% - Accent5 3 2 2 3 3 5" xfId="6348"/>
    <cellStyle name="20% - Accent5 3 2 2 3 4" xfId="6349"/>
    <cellStyle name="20% - Accent5 3 2 2 3 4 2" xfId="6350"/>
    <cellStyle name="20% - Accent5 3 2 2 3 4 2 2" xfId="6351"/>
    <cellStyle name="20% - Accent5 3 2 2 3 4 3" xfId="6352"/>
    <cellStyle name="20% - Accent5 3 2 2 3 4 4" xfId="6353"/>
    <cellStyle name="20% - Accent5 3 2 2 3 5" xfId="6354"/>
    <cellStyle name="20% - Accent5 3 2 2 3 5 2" xfId="6355"/>
    <cellStyle name="20% - Accent5 3 2 2 3 5 2 2" xfId="6356"/>
    <cellStyle name="20% - Accent5 3 2 2 3 5 3" xfId="6357"/>
    <cellStyle name="20% - Accent5 3 2 2 3 5 4" xfId="6358"/>
    <cellStyle name="20% - Accent5 3 2 2 3 6" xfId="6359"/>
    <cellStyle name="20% - Accent5 3 2 2 3 6 2" xfId="6360"/>
    <cellStyle name="20% - Accent5 3 2 2 3 6 2 2" xfId="6361"/>
    <cellStyle name="20% - Accent5 3 2 2 3 6 3" xfId="6362"/>
    <cellStyle name="20% - Accent5 3 2 2 3 6 4" xfId="6363"/>
    <cellStyle name="20% - Accent5 3 2 2 3 7" xfId="6364"/>
    <cellStyle name="20% - Accent5 3 2 2 3 7 2" xfId="6365"/>
    <cellStyle name="20% - Accent5 3 2 2 3 8" xfId="6366"/>
    <cellStyle name="20% - Accent5 3 2 2 3 9" xfId="6367"/>
    <cellStyle name="20% - Accent5 3 2 2 4" xfId="6368"/>
    <cellStyle name="20% - Accent5 3 2 2 4 2" xfId="6369"/>
    <cellStyle name="20% - Accent5 3 2 2 4 2 2" xfId="6370"/>
    <cellStyle name="20% - Accent5 3 2 2 4 2 2 2" xfId="6371"/>
    <cellStyle name="20% - Accent5 3 2 2 4 2 3" xfId="6372"/>
    <cellStyle name="20% - Accent5 3 2 2 4 2 4" xfId="6373"/>
    <cellStyle name="20% - Accent5 3 2 2 4 3" xfId="6374"/>
    <cellStyle name="20% - Accent5 3 2 2 4 3 2" xfId="6375"/>
    <cellStyle name="20% - Accent5 3 2 2 4 4" xfId="6376"/>
    <cellStyle name="20% - Accent5 3 2 2 4 5" xfId="6377"/>
    <cellStyle name="20% - Accent5 3 2 2 5" xfId="6378"/>
    <cellStyle name="20% - Accent5 3 2 2 5 2" xfId="6379"/>
    <cellStyle name="20% - Accent5 3 2 2 5 2 2" xfId="6380"/>
    <cellStyle name="20% - Accent5 3 2 2 5 2 2 2" xfId="6381"/>
    <cellStyle name="20% - Accent5 3 2 2 5 2 3" xfId="6382"/>
    <cellStyle name="20% - Accent5 3 2 2 5 2 4" xfId="6383"/>
    <cellStyle name="20% - Accent5 3 2 2 5 3" xfId="6384"/>
    <cellStyle name="20% - Accent5 3 2 2 5 3 2" xfId="6385"/>
    <cellStyle name="20% - Accent5 3 2 2 5 4" xfId="6386"/>
    <cellStyle name="20% - Accent5 3 2 2 5 5" xfId="6387"/>
    <cellStyle name="20% - Accent5 3 2 2 6" xfId="6388"/>
    <cellStyle name="20% - Accent5 3 2 2 6 2" xfId="6389"/>
    <cellStyle name="20% - Accent5 3 2 2 6 2 2" xfId="6390"/>
    <cellStyle name="20% - Accent5 3 2 2 6 3" xfId="6391"/>
    <cellStyle name="20% - Accent5 3 2 2 6 4" xfId="6392"/>
    <cellStyle name="20% - Accent5 3 2 2 7" xfId="6393"/>
    <cellStyle name="20% - Accent5 3 2 2 7 2" xfId="6394"/>
    <cellStyle name="20% - Accent5 3 2 2 7 2 2" xfId="6395"/>
    <cellStyle name="20% - Accent5 3 2 2 7 3" xfId="6396"/>
    <cellStyle name="20% - Accent5 3 2 2 7 4" xfId="6397"/>
    <cellStyle name="20% - Accent5 3 2 2 8" xfId="6398"/>
    <cellStyle name="20% - Accent5 3 2 2 8 2" xfId="6399"/>
    <cellStyle name="20% - Accent5 3 2 2 8 2 2" xfId="6400"/>
    <cellStyle name="20% - Accent5 3 2 2 8 3" xfId="6401"/>
    <cellStyle name="20% - Accent5 3 2 2 8 4" xfId="6402"/>
    <cellStyle name="20% - Accent5 3 2 2 9" xfId="6403"/>
    <cellStyle name="20% - Accent5 3 2 2 9 2" xfId="6404"/>
    <cellStyle name="20% - Accent5 3 2 3" xfId="6405"/>
    <cellStyle name="20% - Accent5 3 2 3 10" xfId="6406"/>
    <cellStyle name="20% - Accent5 3 2 3 2" xfId="6407"/>
    <cellStyle name="20% - Accent5 3 2 3 2 2" xfId="6408"/>
    <cellStyle name="20% - Accent5 3 2 3 2 2 2" xfId="6409"/>
    <cellStyle name="20% - Accent5 3 2 3 2 2 2 2" xfId="6410"/>
    <cellStyle name="20% - Accent5 3 2 3 2 2 2 2 2" xfId="6411"/>
    <cellStyle name="20% - Accent5 3 2 3 2 2 2 3" xfId="6412"/>
    <cellStyle name="20% - Accent5 3 2 3 2 2 2 4" xfId="6413"/>
    <cellStyle name="20% - Accent5 3 2 3 2 2 3" xfId="6414"/>
    <cellStyle name="20% - Accent5 3 2 3 2 2 3 2" xfId="6415"/>
    <cellStyle name="20% - Accent5 3 2 3 2 2 4" xfId="6416"/>
    <cellStyle name="20% - Accent5 3 2 3 2 2 5" xfId="6417"/>
    <cellStyle name="20% - Accent5 3 2 3 2 3" xfId="6418"/>
    <cellStyle name="20% - Accent5 3 2 3 2 3 2" xfId="6419"/>
    <cellStyle name="20% - Accent5 3 2 3 2 3 2 2" xfId="6420"/>
    <cellStyle name="20% - Accent5 3 2 3 2 3 2 2 2" xfId="6421"/>
    <cellStyle name="20% - Accent5 3 2 3 2 3 2 3" xfId="6422"/>
    <cellStyle name="20% - Accent5 3 2 3 2 3 2 4" xfId="6423"/>
    <cellStyle name="20% - Accent5 3 2 3 2 3 3" xfId="6424"/>
    <cellStyle name="20% - Accent5 3 2 3 2 3 3 2" xfId="6425"/>
    <cellStyle name="20% - Accent5 3 2 3 2 3 4" xfId="6426"/>
    <cellStyle name="20% - Accent5 3 2 3 2 3 5" xfId="6427"/>
    <cellStyle name="20% - Accent5 3 2 3 2 4" xfId="6428"/>
    <cellStyle name="20% - Accent5 3 2 3 2 4 2" xfId="6429"/>
    <cellStyle name="20% - Accent5 3 2 3 2 4 2 2" xfId="6430"/>
    <cellStyle name="20% - Accent5 3 2 3 2 4 3" xfId="6431"/>
    <cellStyle name="20% - Accent5 3 2 3 2 4 4" xfId="6432"/>
    <cellStyle name="20% - Accent5 3 2 3 2 5" xfId="6433"/>
    <cellStyle name="20% - Accent5 3 2 3 2 5 2" xfId="6434"/>
    <cellStyle name="20% - Accent5 3 2 3 2 5 2 2" xfId="6435"/>
    <cellStyle name="20% - Accent5 3 2 3 2 5 3" xfId="6436"/>
    <cellStyle name="20% - Accent5 3 2 3 2 5 4" xfId="6437"/>
    <cellStyle name="20% - Accent5 3 2 3 2 6" xfId="6438"/>
    <cellStyle name="20% - Accent5 3 2 3 2 6 2" xfId="6439"/>
    <cellStyle name="20% - Accent5 3 2 3 2 6 2 2" xfId="6440"/>
    <cellStyle name="20% - Accent5 3 2 3 2 6 3" xfId="6441"/>
    <cellStyle name="20% - Accent5 3 2 3 2 6 4" xfId="6442"/>
    <cellStyle name="20% - Accent5 3 2 3 2 7" xfId="6443"/>
    <cellStyle name="20% - Accent5 3 2 3 2 7 2" xfId="6444"/>
    <cellStyle name="20% - Accent5 3 2 3 2 8" xfId="6445"/>
    <cellStyle name="20% - Accent5 3 2 3 2 9" xfId="6446"/>
    <cellStyle name="20% - Accent5 3 2 3 3" xfId="6447"/>
    <cellStyle name="20% - Accent5 3 2 3 3 2" xfId="6448"/>
    <cellStyle name="20% - Accent5 3 2 3 3 2 2" xfId="6449"/>
    <cellStyle name="20% - Accent5 3 2 3 3 2 2 2" xfId="6450"/>
    <cellStyle name="20% - Accent5 3 2 3 3 2 3" xfId="6451"/>
    <cellStyle name="20% - Accent5 3 2 3 3 2 4" xfId="6452"/>
    <cellStyle name="20% - Accent5 3 2 3 3 3" xfId="6453"/>
    <cellStyle name="20% - Accent5 3 2 3 3 3 2" xfId="6454"/>
    <cellStyle name="20% - Accent5 3 2 3 3 4" xfId="6455"/>
    <cellStyle name="20% - Accent5 3 2 3 3 5" xfId="6456"/>
    <cellStyle name="20% - Accent5 3 2 3 4" xfId="6457"/>
    <cellStyle name="20% - Accent5 3 2 3 4 2" xfId="6458"/>
    <cellStyle name="20% - Accent5 3 2 3 4 2 2" xfId="6459"/>
    <cellStyle name="20% - Accent5 3 2 3 4 2 2 2" xfId="6460"/>
    <cellStyle name="20% - Accent5 3 2 3 4 2 3" xfId="6461"/>
    <cellStyle name="20% - Accent5 3 2 3 4 2 4" xfId="6462"/>
    <cellStyle name="20% - Accent5 3 2 3 4 3" xfId="6463"/>
    <cellStyle name="20% - Accent5 3 2 3 4 3 2" xfId="6464"/>
    <cellStyle name="20% - Accent5 3 2 3 4 4" xfId="6465"/>
    <cellStyle name="20% - Accent5 3 2 3 4 5" xfId="6466"/>
    <cellStyle name="20% - Accent5 3 2 3 5" xfId="6467"/>
    <cellStyle name="20% - Accent5 3 2 3 5 2" xfId="6468"/>
    <cellStyle name="20% - Accent5 3 2 3 5 2 2" xfId="6469"/>
    <cellStyle name="20% - Accent5 3 2 3 5 3" xfId="6470"/>
    <cellStyle name="20% - Accent5 3 2 3 5 4" xfId="6471"/>
    <cellStyle name="20% - Accent5 3 2 3 6" xfId="6472"/>
    <cellStyle name="20% - Accent5 3 2 3 6 2" xfId="6473"/>
    <cellStyle name="20% - Accent5 3 2 3 6 2 2" xfId="6474"/>
    <cellStyle name="20% - Accent5 3 2 3 6 3" xfId="6475"/>
    <cellStyle name="20% - Accent5 3 2 3 6 4" xfId="6476"/>
    <cellStyle name="20% - Accent5 3 2 3 7" xfId="6477"/>
    <cellStyle name="20% - Accent5 3 2 3 7 2" xfId="6478"/>
    <cellStyle name="20% - Accent5 3 2 3 7 2 2" xfId="6479"/>
    <cellStyle name="20% - Accent5 3 2 3 7 3" xfId="6480"/>
    <cellStyle name="20% - Accent5 3 2 3 7 4" xfId="6481"/>
    <cellStyle name="20% - Accent5 3 2 3 8" xfId="6482"/>
    <cellStyle name="20% - Accent5 3 2 3 8 2" xfId="6483"/>
    <cellStyle name="20% - Accent5 3 2 3 9" xfId="6484"/>
    <cellStyle name="20% - Accent5 3 2 4" xfId="6485"/>
    <cellStyle name="20% - Accent5 3 2 4 2" xfId="6486"/>
    <cellStyle name="20% - Accent5 3 2 4 2 2" xfId="6487"/>
    <cellStyle name="20% - Accent5 3 2 4 2 2 2" xfId="6488"/>
    <cellStyle name="20% - Accent5 3 2 4 2 2 2 2" xfId="6489"/>
    <cellStyle name="20% - Accent5 3 2 4 2 2 3" xfId="6490"/>
    <cellStyle name="20% - Accent5 3 2 4 2 2 4" xfId="6491"/>
    <cellStyle name="20% - Accent5 3 2 4 2 3" xfId="6492"/>
    <cellStyle name="20% - Accent5 3 2 4 2 3 2" xfId="6493"/>
    <cellStyle name="20% - Accent5 3 2 4 2 4" xfId="6494"/>
    <cellStyle name="20% - Accent5 3 2 4 2 5" xfId="6495"/>
    <cellStyle name="20% - Accent5 3 2 4 3" xfId="6496"/>
    <cellStyle name="20% - Accent5 3 2 4 3 2" xfId="6497"/>
    <cellStyle name="20% - Accent5 3 2 4 3 2 2" xfId="6498"/>
    <cellStyle name="20% - Accent5 3 2 4 3 2 2 2" xfId="6499"/>
    <cellStyle name="20% - Accent5 3 2 4 3 2 3" xfId="6500"/>
    <cellStyle name="20% - Accent5 3 2 4 3 2 4" xfId="6501"/>
    <cellStyle name="20% - Accent5 3 2 4 3 3" xfId="6502"/>
    <cellStyle name="20% - Accent5 3 2 4 3 3 2" xfId="6503"/>
    <cellStyle name="20% - Accent5 3 2 4 3 4" xfId="6504"/>
    <cellStyle name="20% - Accent5 3 2 4 3 5" xfId="6505"/>
    <cellStyle name="20% - Accent5 3 2 4 4" xfId="6506"/>
    <cellStyle name="20% - Accent5 3 2 4 4 2" xfId="6507"/>
    <cellStyle name="20% - Accent5 3 2 4 4 2 2" xfId="6508"/>
    <cellStyle name="20% - Accent5 3 2 4 4 3" xfId="6509"/>
    <cellStyle name="20% - Accent5 3 2 4 4 4" xfId="6510"/>
    <cellStyle name="20% - Accent5 3 2 4 5" xfId="6511"/>
    <cellStyle name="20% - Accent5 3 2 4 5 2" xfId="6512"/>
    <cellStyle name="20% - Accent5 3 2 4 5 2 2" xfId="6513"/>
    <cellStyle name="20% - Accent5 3 2 4 5 3" xfId="6514"/>
    <cellStyle name="20% - Accent5 3 2 4 5 4" xfId="6515"/>
    <cellStyle name="20% - Accent5 3 2 4 6" xfId="6516"/>
    <cellStyle name="20% - Accent5 3 2 4 6 2" xfId="6517"/>
    <cellStyle name="20% - Accent5 3 2 4 6 2 2" xfId="6518"/>
    <cellStyle name="20% - Accent5 3 2 4 6 3" xfId="6519"/>
    <cellStyle name="20% - Accent5 3 2 4 6 4" xfId="6520"/>
    <cellStyle name="20% - Accent5 3 2 4 7" xfId="6521"/>
    <cellStyle name="20% - Accent5 3 2 4 7 2" xfId="6522"/>
    <cellStyle name="20% - Accent5 3 2 4 8" xfId="6523"/>
    <cellStyle name="20% - Accent5 3 2 4 9" xfId="6524"/>
    <cellStyle name="20% - Accent5 3 2 5" xfId="6525"/>
    <cellStyle name="20% - Accent5 3 2 5 2" xfId="6526"/>
    <cellStyle name="20% - Accent5 3 2 5 2 2" xfId="6527"/>
    <cellStyle name="20% - Accent5 3 2 5 2 2 2" xfId="6528"/>
    <cellStyle name="20% - Accent5 3 2 5 2 3" xfId="6529"/>
    <cellStyle name="20% - Accent5 3 2 5 2 4" xfId="6530"/>
    <cellStyle name="20% - Accent5 3 2 5 3" xfId="6531"/>
    <cellStyle name="20% - Accent5 3 2 5 3 2" xfId="6532"/>
    <cellStyle name="20% - Accent5 3 2 5 4" xfId="6533"/>
    <cellStyle name="20% - Accent5 3 2 5 5" xfId="6534"/>
    <cellStyle name="20% - Accent5 3 2 6" xfId="6535"/>
    <cellStyle name="20% - Accent5 3 2 6 2" xfId="6536"/>
    <cellStyle name="20% - Accent5 3 2 6 2 2" xfId="6537"/>
    <cellStyle name="20% - Accent5 3 2 6 2 2 2" xfId="6538"/>
    <cellStyle name="20% - Accent5 3 2 6 2 3" xfId="6539"/>
    <cellStyle name="20% - Accent5 3 2 6 2 4" xfId="6540"/>
    <cellStyle name="20% - Accent5 3 2 6 3" xfId="6541"/>
    <cellStyle name="20% - Accent5 3 2 6 3 2" xfId="6542"/>
    <cellStyle name="20% - Accent5 3 2 6 4" xfId="6543"/>
    <cellStyle name="20% - Accent5 3 2 6 5" xfId="6544"/>
    <cellStyle name="20% - Accent5 3 2 7" xfId="6545"/>
    <cellStyle name="20% - Accent5 3 2 7 2" xfId="6546"/>
    <cellStyle name="20% - Accent5 3 2 7 2 2" xfId="6547"/>
    <cellStyle name="20% - Accent5 3 2 7 3" xfId="6548"/>
    <cellStyle name="20% - Accent5 3 2 7 4" xfId="6549"/>
    <cellStyle name="20% - Accent5 3 2 8" xfId="6550"/>
    <cellStyle name="20% - Accent5 3 2 8 2" xfId="6551"/>
    <cellStyle name="20% - Accent5 3 2 8 2 2" xfId="6552"/>
    <cellStyle name="20% - Accent5 3 2 8 3" xfId="6553"/>
    <cellStyle name="20% - Accent5 3 2 8 4" xfId="6554"/>
    <cellStyle name="20% - Accent5 3 2 9" xfId="6555"/>
    <cellStyle name="20% - Accent5 3 2 9 2" xfId="6556"/>
    <cellStyle name="20% - Accent5 3 2 9 2 2" xfId="6557"/>
    <cellStyle name="20% - Accent5 3 2 9 3" xfId="6558"/>
    <cellStyle name="20% - Accent5 3 2 9 4" xfId="6559"/>
    <cellStyle name="20% - Accent5 3 3" xfId="6560"/>
    <cellStyle name="20% - Accent5 3 3 10" xfId="6561"/>
    <cellStyle name="20% - Accent5 3 3 11" xfId="6562"/>
    <cellStyle name="20% - Accent5 3 3 2" xfId="6563"/>
    <cellStyle name="20% - Accent5 3 3 2 10" xfId="6564"/>
    <cellStyle name="20% - Accent5 3 3 2 2" xfId="6565"/>
    <cellStyle name="20% - Accent5 3 3 2 2 2" xfId="6566"/>
    <cellStyle name="20% - Accent5 3 3 2 2 2 2" xfId="6567"/>
    <cellStyle name="20% - Accent5 3 3 2 2 2 2 2" xfId="6568"/>
    <cellStyle name="20% - Accent5 3 3 2 2 2 2 2 2" xfId="6569"/>
    <cellStyle name="20% - Accent5 3 3 2 2 2 2 3" xfId="6570"/>
    <cellStyle name="20% - Accent5 3 3 2 2 2 2 4" xfId="6571"/>
    <cellStyle name="20% - Accent5 3 3 2 2 2 3" xfId="6572"/>
    <cellStyle name="20% - Accent5 3 3 2 2 2 3 2" xfId="6573"/>
    <cellStyle name="20% - Accent5 3 3 2 2 2 4" xfId="6574"/>
    <cellStyle name="20% - Accent5 3 3 2 2 2 5" xfId="6575"/>
    <cellStyle name="20% - Accent5 3 3 2 2 3" xfId="6576"/>
    <cellStyle name="20% - Accent5 3 3 2 2 3 2" xfId="6577"/>
    <cellStyle name="20% - Accent5 3 3 2 2 3 2 2" xfId="6578"/>
    <cellStyle name="20% - Accent5 3 3 2 2 3 2 2 2" xfId="6579"/>
    <cellStyle name="20% - Accent5 3 3 2 2 3 2 3" xfId="6580"/>
    <cellStyle name="20% - Accent5 3 3 2 2 3 2 4" xfId="6581"/>
    <cellStyle name="20% - Accent5 3 3 2 2 3 3" xfId="6582"/>
    <cellStyle name="20% - Accent5 3 3 2 2 3 3 2" xfId="6583"/>
    <cellStyle name="20% - Accent5 3 3 2 2 3 4" xfId="6584"/>
    <cellStyle name="20% - Accent5 3 3 2 2 3 5" xfId="6585"/>
    <cellStyle name="20% - Accent5 3 3 2 2 4" xfId="6586"/>
    <cellStyle name="20% - Accent5 3 3 2 2 4 2" xfId="6587"/>
    <cellStyle name="20% - Accent5 3 3 2 2 4 2 2" xfId="6588"/>
    <cellStyle name="20% - Accent5 3 3 2 2 4 3" xfId="6589"/>
    <cellStyle name="20% - Accent5 3 3 2 2 4 4" xfId="6590"/>
    <cellStyle name="20% - Accent5 3 3 2 2 5" xfId="6591"/>
    <cellStyle name="20% - Accent5 3 3 2 2 5 2" xfId="6592"/>
    <cellStyle name="20% - Accent5 3 3 2 2 5 2 2" xfId="6593"/>
    <cellStyle name="20% - Accent5 3 3 2 2 5 3" xfId="6594"/>
    <cellStyle name="20% - Accent5 3 3 2 2 5 4" xfId="6595"/>
    <cellStyle name="20% - Accent5 3 3 2 2 6" xfId="6596"/>
    <cellStyle name="20% - Accent5 3 3 2 2 6 2" xfId="6597"/>
    <cellStyle name="20% - Accent5 3 3 2 2 6 2 2" xfId="6598"/>
    <cellStyle name="20% - Accent5 3 3 2 2 6 3" xfId="6599"/>
    <cellStyle name="20% - Accent5 3 3 2 2 6 4" xfId="6600"/>
    <cellStyle name="20% - Accent5 3 3 2 2 7" xfId="6601"/>
    <cellStyle name="20% - Accent5 3 3 2 2 7 2" xfId="6602"/>
    <cellStyle name="20% - Accent5 3 3 2 2 8" xfId="6603"/>
    <cellStyle name="20% - Accent5 3 3 2 2 9" xfId="6604"/>
    <cellStyle name="20% - Accent5 3 3 2 3" xfId="6605"/>
    <cellStyle name="20% - Accent5 3 3 2 3 2" xfId="6606"/>
    <cellStyle name="20% - Accent5 3 3 2 3 2 2" xfId="6607"/>
    <cellStyle name="20% - Accent5 3 3 2 3 2 2 2" xfId="6608"/>
    <cellStyle name="20% - Accent5 3 3 2 3 2 3" xfId="6609"/>
    <cellStyle name="20% - Accent5 3 3 2 3 2 4" xfId="6610"/>
    <cellStyle name="20% - Accent5 3 3 2 3 3" xfId="6611"/>
    <cellStyle name="20% - Accent5 3 3 2 3 3 2" xfId="6612"/>
    <cellStyle name="20% - Accent5 3 3 2 3 4" xfId="6613"/>
    <cellStyle name="20% - Accent5 3 3 2 3 5" xfId="6614"/>
    <cellStyle name="20% - Accent5 3 3 2 4" xfId="6615"/>
    <cellStyle name="20% - Accent5 3 3 2 4 2" xfId="6616"/>
    <cellStyle name="20% - Accent5 3 3 2 4 2 2" xfId="6617"/>
    <cellStyle name="20% - Accent5 3 3 2 4 2 2 2" xfId="6618"/>
    <cellStyle name="20% - Accent5 3 3 2 4 2 3" xfId="6619"/>
    <cellStyle name="20% - Accent5 3 3 2 4 2 4" xfId="6620"/>
    <cellStyle name="20% - Accent5 3 3 2 4 3" xfId="6621"/>
    <cellStyle name="20% - Accent5 3 3 2 4 3 2" xfId="6622"/>
    <cellStyle name="20% - Accent5 3 3 2 4 4" xfId="6623"/>
    <cellStyle name="20% - Accent5 3 3 2 4 5" xfId="6624"/>
    <cellStyle name="20% - Accent5 3 3 2 5" xfId="6625"/>
    <cellStyle name="20% - Accent5 3 3 2 5 2" xfId="6626"/>
    <cellStyle name="20% - Accent5 3 3 2 5 2 2" xfId="6627"/>
    <cellStyle name="20% - Accent5 3 3 2 5 3" xfId="6628"/>
    <cellStyle name="20% - Accent5 3 3 2 5 4" xfId="6629"/>
    <cellStyle name="20% - Accent5 3 3 2 6" xfId="6630"/>
    <cellStyle name="20% - Accent5 3 3 2 6 2" xfId="6631"/>
    <cellStyle name="20% - Accent5 3 3 2 6 2 2" xfId="6632"/>
    <cellStyle name="20% - Accent5 3 3 2 6 3" xfId="6633"/>
    <cellStyle name="20% - Accent5 3 3 2 6 4" xfId="6634"/>
    <cellStyle name="20% - Accent5 3 3 2 7" xfId="6635"/>
    <cellStyle name="20% - Accent5 3 3 2 7 2" xfId="6636"/>
    <cellStyle name="20% - Accent5 3 3 2 7 2 2" xfId="6637"/>
    <cellStyle name="20% - Accent5 3 3 2 7 3" xfId="6638"/>
    <cellStyle name="20% - Accent5 3 3 2 7 4" xfId="6639"/>
    <cellStyle name="20% - Accent5 3 3 2 8" xfId="6640"/>
    <cellStyle name="20% - Accent5 3 3 2 8 2" xfId="6641"/>
    <cellStyle name="20% - Accent5 3 3 2 9" xfId="6642"/>
    <cellStyle name="20% - Accent5 3 3 3" xfId="6643"/>
    <cellStyle name="20% - Accent5 3 3 3 2" xfId="6644"/>
    <cellStyle name="20% - Accent5 3 3 3 2 2" xfId="6645"/>
    <cellStyle name="20% - Accent5 3 3 3 2 2 2" xfId="6646"/>
    <cellStyle name="20% - Accent5 3 3 3 2 2 2 2" xfId="6647"/>
    <cellStyle name="20% - Accent5 3 3 3 2 2 3" xfId="6648"/>
    <cellStyle name="20% - Accent5 3 3 3 2 2 4" xfId="6649"/>
    <cellStyle name="20% - Accent5 3 3 3 2 3" xfId="6650"/>
    <cellStyle name="20% - Accent5 3 3 3 2 3 2" xfId="6651"/>
    <cellStyle name="20% - Accent5 3 3 3 2 4" xfId="6652"/>
    <cellStyle name="20% - Accent5 3 3 3 2 5" xfId="6653"/>
    <cellStyle name="20% - Accent5 3 3 3 3" xfId="6654"/>
    <cellStyle name="20% - Accent5 3 3 3 3 2" xfId="6655"/>
    <cellStyle name="20% - Accent5 3 3 3 3 2 2" xfId="6656"/>
    <cellStyle name="20% - Accent5 3 3 3 3 2 2 2" xfId="6657"/>
    <cellStyle name="20% - Accent5 3 3 3 3 2 3" xfId="6658"/>
    <cellStyle name="20% - Accent5 3 3 3 3 2 4" xfId="6659"/>
    <cellStyle name="20% - Accent5 3 3 3 3 3" xfId="6660"/>
    <cellStyle name="20% - Accent5 3 3 3 3 3 2" xfId="6661"/>
    <cellStyle name="20% - Accent5 3 3 3 3 4" xfId="6662"/>
    <cellStyle name="20% - Accent5 3 3 3 3 5" xfId="6663"/>
    <cellStyle name="20% - Accent5 3 3 3 4" xfId="6664"/>
    <cellStyle name="20% - Accent5 3 3 3 4 2" xfId="6665"/>
    <cellStyle name="20% - Accent5 3 3 3 4 2 2" xfId="6666"/>
    <cellStyle name="20% - Accent5 3 3 3 4 3" xfId="6667"/>
    <cellStyle name="20% - Accent5 3 3 3 4 4" xfId="6668"/>
    <cellStyle name="20% - Accent5 3 3 3 5" xfId="6669"/>
    <cellStyle name="20% - Accent5 3 3 3 5 2" xfId="6670"/>
    <cellStyle name="20% - Accent5 3 3 3 5 2 2" xfId="6671"/>
    <cellStyle name="20% - Accent5 3 3 3 5 3" xfId="6672"/>
    <cellStyle name="20% - Accent5 3 3 3 5 4" xfId="6673"/>
    <cellStyle name="20% - Accent5 3 3 3 6" xfId="6674"/>
    <cellStyle name="20% - Accent5 3 3 3 6 2" xfId="6675"/>
    <cellStyle name="20% - Accent5 3 3 3 6 2 2" xfId="6676"/>
    <cellStyle name="20% - Accent5 3 3 3 6 3" xfId="6677"/>
    <cellStyle name="20% - Accent5 3 3 3 6 4" xfId="6678"/>
    <cellStyle name="20% - Accent5 3 3 3 7" xfId="6679"/>
    <cellStyle name="20% - Accent5 3 3 3 7 2" xfId="6680"/>
    <cellStyle name="20% - Accent5 3 3 3 8" xfId="6681"/>
    <cellStyle name="20% - Accent5 3 3 3 9" xfId="6682"/>
    <cellStyle name="20% - Accent5 3 3 4" xfId="6683"/>
    <cellStyle name="20% - Accent5 3 3 4 2" xfId="6684"/>
    <cellStyle name="20% - Accent5 3 3 4 2 2" xfId="6685"/>
    <cellStyle name="20% - Accent5 3 3 4 2 2 2" xfId="6686"/>
    <cellStyle name="20% - Accent5 3 3 4 2 3" xfId="6687"/>
    <cellStyle name="20% - Accent5 3 3 4 2 4" xfId="6688"/>
    <cellStyle name="20% - Accent5 3 3 4 3" xfId="6689"/>
    <cellStyle name="20% - Accent5 3 3 4 3 2" xfId="6690"/>
    <cellStyle name="20% - Accent5 3 3 4 4" xfId="6691"/>
    <cellStyle name="20% - Accent5 3 3 4 5" xfId="6692"/>
    <cellStyle name="20% - Accent5 3 3 5" xfId="6693"/>
    <cellStyle name="20% - Accent5 3 3 5 2" xfId="6694"/>
    <cellStyle name="20% - Accent5 3 3 5 2 2" xfId="6695"/>
    <cellStyle name="20% - Accent5 3 3 5 2 2 2" xfId="6696"/>
    <cellStyle name="20% - Accent5 3 3 5 2 3" xfId="6697"/>
    <cellStyle name="20% - Accent5 3 3 5 2 4" xfId="6698"/>
    <cellStyle name="20% - Accent5 3 3 5 3" xfId="6699"/>
    <cellStyle name="20% - Accent5 3 3 5 3 2" xfId="6700"/>
    <cellStyle name="20% - Accent5 3 3 5 4" xfId="6701"/>
    <cellStyle name="20% - Accent5 3 3 5 5" xfId="6702"/>
    <cellStyle name="20% - Accent5 3 3 6" xfId="6703"/>
    <cellStyle name="20% - Accent5 3 3 6 2" xfId="6704"/>
    <cellStyle name="20% - Accent5 3 3 6 2 2" xfId="6705"/>
    <cellStyle name="20% - Accent5 3 3 6 3" xfId="6706"/>
    <cellStyle name="20% - Accent5 3 3 6 4" xfId="6707"/>
    <cellStyle name="20% - Accent5 3 3 7" xfId="6708"/>
    <cellStyle name="20% - Accent5 3 3 7 2" xfId="6709"/>
    <cellStyle name="20% - Accent5 3 3 7 2 2" xfId="6710"/>
    <cellStyle name="20% - Accent5 3 3 7 3" xfId="6711"/>
    <cellStyle name="20% - Accent5 3 3 7 4" xfId="6712"/>
    <cellStyle name="20% - Accent5 3 3 8" xfId="6713"/>
    <cellStyle name="20% - Accent5 3 3 8 2" xfId="6714"/>
    <cellStyle name="20% - Accent5 3 3 8 2 2" xfId="6715"/>
    <cellStyle name="20% - Accent5 3 3 8 3" xfId="6716"/>
    <cellStyle name="20% - Accent5 3 3 8 4" xfId="6717"/>
    <cellStyle name="20% - Accent5 3 3 9" xfId="6718"/>
    <cellStyle name="20% - Accent5 3 3 9 2" xfId="6719"/>
    <cellStyle name="20% - Accent5 3 4" xfId="6720"/>
    <cellStyle name="20% - Accent5 3 4 10" xfId="6721"/>
    <cellStyle name="20% - Accent5 3 4 2" xfId="6722"/>
    <cellStyle name="20% - Accent5 3 4 2 2" xfId="6723"/>
    <cellStyle name="20% - Accent5 3 4 2 2 2" xfId="6724"/>
    <cellStyle name="20% - Accent5 3 4 2 2 2 2" xfId="6725"/>
    <cellStyle name="20% - Accent5 3 4 2 2 2 2 2" xfId="6726"/>
    <cellStyle name="20% - Accent5 3 4 2 2 2 3" xfId="6727"/>
    <cellStyle name="20% - Accent5 3 4 2 2 2 4" xfId="6728"/>
    <cellStyle name="20% - Accent5 3 4 2 2 3" xfId="6729"/>
    <cellStyle name="20% - Accent5 3 4 2 2 3 2" xfId="6730"/>
    <cellStyle name="20% - Accent5 3 4 2 2 4" xfId="6731"/>
    <cellStyle name="20% - Accent5 3 4 2 2 5" xfId="6732"/>
    <cellStyle name="20% - Accent5 3 4 2 3" xfId="6733"/>
    <cellStyle name="20% - Accent5 3 4 2 3 2" xfId="6734"/>
    <cellStyle name="20% - Accent5 3 4 2 3 2 2" xfId="6735"/>
    <cellStyle name="20% - Accent5 3 4 2 3 2 2 2" xfId="6736"/>
    <cellStyle name="20% - Accent5 3 4 2 3 2 3" xfId="6737"/>
    <cellStyle name="20% - Accent5 3 4 2 3 2 4" xfId="6738"/>
    <cellStyle name="20% - Accent5 3 4 2 3 3" xfId="6739"/>
    <cellStyle name="20% - Accent5 3 4 2 3 3 2" xfId="6740"/>
    <cellStyle name="20% - Accent5 3 4 2 3 4" xfId="6741"/>
    <cellStyle name="20% - Accent5 3 4 2 3 5" xfId="6742"/>
    <cellStyle name="20% - Accent5 3 4 2 4" xfId="6743"/>
    <cellStyle name="20% - Accent5 3 4 2 4 2" xfId="6744"/>
    <cellStyle name="20% - Accent5 3 4 2 4 2 2" xfId="6745"/>
    <cellStyle name="20% - Accent5 3 4 2 4 3" xfId="6746"/>
    <cellStyle name="20% - Accent5 3 4 2 4 4" xfId="6747"/>
    <cellStyle name="20% - Accent5 3 4 2 5" xfId="6748"/>
    <cellStyle name="20% - Accent5 3 4 2 5 2" xfId="6749"/>
    <cellStyle name="20% - Accent5 3 4 2 5 2 2" xfId="6750"/>
    <cellStyle name="20% - Accent5 3 4 2 5 3" xfId="6751"/>
    <cellStyle name="20% - Accent5 3 4 2 5 4" xfId="6752"/>
    <cellStyle name="20% - Accent5 3 4 2 6" xfId="6753"/>
    <cellStyle name="20% - Accent5 3 4 2 6 2" xfId="6754"/>
    <cellStyle name="20% - Accent5 3 4 2 6 2 2" xfId="6755"/>
    <cellStyle name="20% - Accent5 3 4 2 6 3" xfId="6756"/>
    <cellStyle name="20% - Accent5 3 4 2 6 4" xfId="6757"/>
    <cellStyle name="20% - Accent5 3 4 2 7" xfId="6758"/>
    <cellStyle name="20% - Accent5 3 4 2 7 2" xfId="6759"/>
    <cellStyle name="20% - Accent5 3 4 2 8" xfId="6760"/>
    <cellStyle name="20% - Accent5 3 4 2 9" xfId="6761"/>
    <cellStyle name="20% - Accent5 3 4 3" xfId="6762"/>
    <cellStyle name="20% - Accent5 3 4 3 2" xfId="6763"/>
    <cellStyle name="20% - Accent5 3 4 3 2 2" xfId="6764"/>
    <cellStyle name="20% - Accent5 3 4 3 2 2 2" xfId="6765"/>
    <cellStyle name="20% - Accent5 3 4 3 2 3" xfId="6766"/>
    <cellStyle name="20% - Accent5 3 4 3 2 4" xfId="6767"/>
    <cellStyle name="20% - Accent5 3 4 3 3" xfId="6768"/>
    <cellStyle name="20% - Accent5 3 4 3 3 2" xfId="6769"/>
    <cellStyle name="20% - Accent5 3 4 3 4" xfId="6770"/>
    <cellStyle name="20% - Accent5 3 4 3 5" xfId="6771"/>
    <cellStyle name="20% - Accent5 3 4 4" xfId="6772"/>
    <cellStyle name="20% - Accent5 3 4 4 2" xfId="6773"/>
    <cellStyle name="20% - Accent5 3 4 4 2 2" xfId="6774"/>
    <cellStyle name="20% - Accent5 3 4 4 2 2 2" xfId="6775"/>
    <cellStyle name="20% - Accent5 3 4 4 2 3" xfId="6776"/>
    <cellStyle name="20% - Accent5 3 4 4 2 4" xfId="6777"/>
    <cellStyle name="20% - Accent5 3 4 4 3" xfId="6778"/>
    <cellStyle name="20% - Accent5 3 4 4 3 2" xfId="6779"/>
    <cellStyle name="20% - Accent5 3 4 4 4" xfId="6780"/>
    <cellStyle name="20% - Accent5 3 4 4 5" xfId="6781"/>
    <cellStyle name="20% - Accent5 3 4 5" xfId="6782"/>
    <cellStyle name="20% - Accent5 3 4 5 2" xfId="6783"/>
    <cellStyle name="20% - Accent5 3 4 5 2 2" xfId="6784"/>
    <cellStyle name="20% - Accent5 3 4 5 3" xfId="6785"/>
    <cellStyle name="20% - Accent5 3 4 5 4" xfId="6786"/>
    <cellStyle name="20% - Accent5 3 4 6" xfId="6787"/>
    <cellStyle name="20% - Accent5 3 4 6 2" xfId="6788"/>
    <cellStyle name="20% - Accent5 3 4 6 2 2" xfId="6789"/>
    <cellStyle name="20% - Accent5 3 4 6 3" xfId="6790"/>
    <cellStyle name="20% - Accent5 3 4 6 4" xfId="6791"/>
    <cellStyle name="20% - Accent5 3 4 7" xfId="6792"/>
    <cellStyle name="20% - Accent5 3 4 7 2" xfId="6793"/>
    <cellStyle name="20% - Accent5 3 4 7 2 2" xfId="6794"/>
    <cellStyle name="20% - Accent5 3 4 7 3" xfId="6795"/>
    <cellStyle name="20% - Accent5 3 4 7 4" xfId="6796"/>
    <cellStyle name="20% - Accent5 3 4 8" xfId="6797"/>
    <cellStyle name="20% - Accent5 3 4 8 2" xfId="6798"/>
    <cellStyle name="20% - Accent5 3 4 9" xfId="6799"/>
    <cellStyle name="20% - Accent5 3 5" xfId="6800"/>
    <cellStyle name="20% - Accent5 3 5 2" xfId="6801"/>
    <cellStyle name="20% - Accent5 3 5 2 2" xfId="6802"/>
    <cellStyle name="20% - Accent5 3 5 2 2 2" xfId="6803"/>
    <cellStyle name="20% - Accent5 3 5 2 2 2 2" xfId="6804"/>
    <cellStyle name="20% - Accent5 3 5 2 2 3" xfId="6805"/>
    <cellStyle name="20% - Accent5 3 5 2 2 4" xfId="6806"/>
    <cellStyle name="20% - Accent5 3 5 2 3" xfId="6807"/>
    <cellStyle name="20% - Accent5 3 5 2 3 2" xfId="6808"/>
    <cellStyle name="20% - Accent5 3 5 2 4" xfId="6809"/>
    <cellStyle name="20% - Accent5 3 5 2 5" xfId="6810"/>
    <cellStyle name="20% - Accent5 3 5 3" xfId="6811"/>
    <cellStyle name="20% - Accent5 3 5 3 2" xfId="6812"/>
    <cellStyle name="20% - Accent5 3 5 3 2 2" xfId="6813"/>
    <cellStyle name="20% - Accent5 3 5 3 2 2 2" xfId="6814"/>
    <cellStyle name="20% - Accent5 3 5 3 2 3" xfId="6815"/>
    <cellStyle name="20% - Accent5 3 5 3 2 4" xfId="6816"/>
    <cellStyle name="20% - Accent5 3 5 3 3" xfId="6817"/>
    <cellStyle name="20% - Accent5 3 5 3 3 2" xfId="6818"/>
    <cellStyle name="20% - Accent5 3 5 3 4" xfId="6819"/>
    <cellStyle name="20% - Accent5 3 5 3 5" xfId="6820"/>
    <cellStyle name="20% - Accent5 3 5 4" xfId="6821"/>
    <cellStyle name="20% - Accent5 3 5 4 2" xfId="6822"/>
    <cellStyle name="20% - Accent5 3 5 4 2 2" xfId="6823"/>
    <cellStyle name="20% - Accent5 3 5 4 3" xfId="6824"/>
    <cellStyle name="20% - Accent5 3 5 4 4" xfId="6825"/>
    <cellStyle name="20% - Accent5 3 5 5" xfId="6826"/>
    <cellStyle name="20% - Accent5 3 5 5 2" xfId="6827"/>
    <cellStyle name="20% - Accent5 3 5 5 2 2" xfId="6828"/>
    <cellStyle name="20% - Accent5 3 5 5 3" xfId="6829"/>
    <cellStyle name="20% - Accent5 3 5 5 4" xfId="6830"/>
    <cellStyle name="20% - Accent5 3 5 6" xfId="6831"/>
    <cellStyle name="20% - Accent5 3 5 6 2" xfId="6832"/>
    <cellStyle name="20% - Accent5 3 5 6 2 2" xfId="6833"/>
    <cellStyle name="20% - Accent5 3 5 6 3" xfId="6834"/>
    <cellStyle name="20% - Accent5 3 5 6 4" xfId="6835"/>
    <cellStyle name="20% - Accent5 3 5 7" xfId="6836"/>
    <cellStyle name="20% - Accent5 3 5 7 2" xfId="6837"/>
    <cellStyle name="20% - Accent5 3 5 8" xfId="6838"/>
    <cellStyle name="20% - Accent5 3 5 9" xfId="6839"/>
    <cellStyle name="20% - Accent5 3 6" xfId="6840"/>
    <cellStyle name="20% - Accent5 3 6 2" xfId="6841"/>
    <cellStyle name="20% - Accent5 3 6 2 2" xfId="6842"/>
    <cellStyle name="20% - Accent5 3 6 2 2 2" xfId="6843"/>
    <cellStyle name="20% - Accent5 3 6 2 3" xfId="6844"/>
    <cellStyle name="20% - Accent5 3 6 2 4" xfId="6845"/>
    <cellStyle name="20% - Accent5 3 6 3" xfId="6846"/>
    <cellStyle name="20% - Accent5 3 6 3 2" xfId="6847"/>
    <cellStyle name="20% - Accent5 3 6 3 2 2" xfId="6848"/>
    <cellStyle name="20% - Accent5 3 6 3 3" xfId="6849"/>
    <cellStyle name="20% - Accent5 3 6 3 4" xfId="6850"/>
    <cellStyle name="20% - Accent5 3 6 4" xfId="6851"/>
    <cellStyle name="20% - Accent5 3 6 4 2" xfId="6852"/>
    <cellStyle name="20% - Accent5 3 6 5" xfId="6853"/>
    <cellStyle name="20% - Accent5 3 6 6" xfId="6854"/>
    <cellStyle name="20% - Accent5 3 7" xfId="6855"/>
    <cellStyle name="20% - Accent5 3 7 2" xfId="6856"/>
    <cellStyle name="20% - Accent5 3 7 2 2" xfId="6857"/>
    <cellStyle name="20% - Accent5 3 7 2 2 2" xfId="6858"/>
    <cellStyle name="20% - Accent5 3 7 2 3" xfId="6859"/>
    <cellStyle name="20% - Accent5 3 7 2 4" xfId="6860"/>
    <cellStyle name="20% - Accent5 3 7 3" xfId="6861"/>
    <cellStyle name="20% - Accent5 3 7 4" xfId="6862"/>
    <cellStyle name="20% - Accent5 3 7 4 2" xfId="6863"/>
    <cellStyle name="20% - Accent5 3 7 5" xfId="6864"/>
    <cellStyle name="20% - Accent5 3 7 6" xfId="6865"/>
    <cellStyle name="20% - Accent5 3 8" xfId="6866"/>
    <cellStyle name="20% - Accent5 3 8 2" xfId="6867"/>
    <cellStyle name="20% - Accent5 3 8 2 2" xfId="6868"/>
    <cellStyle name="20% - Accent5 3 8 3" xfId="6869"/>
    <cellStyle name="20% - Accent5 3 8 4" xfId="6870"/>
    <cellStyle name="20% - Accent5 3 9" xfId="6871"/>
    <cellStyle name="20% - Accent5 3 9 2" xfId="6872"/>
    <cellStyle name="20% - Accent5 3 9 2 2" xfId="6873"/>
    <cellStyle name="20% - Accent5 3 9 3" xfId="6874"/>
    <cellStyle name="20% - Accent5 3 9 4" xfId="6875"/>
    <cellStyle name="20% - Accent5 4" xfId="213"/>
    <cellStyle name="20% - Accent5 4 10" xfId="6877"/>
    <cellStyle name="20% - Accent5 4 10 2" xfId="6878"/>
    <cellStyle name="20% - Accent5 4 11" xfId="6879"/>
    <cellStyle name="20% - Accent5 4 12" xfId="6880"/>
    <cellStyle name="20% - Accent5 4 13" xfId="35503"/>
    <cellStyle name="20% - Accent5 4 14" xfId="6876"/>
    <cellStyle name="20% - Accent5 4 2" xfId="6881"/>
    <cellStyle name="20% - Accent5 4 2 10" xfId="6882"/>
    <cellStyle name="20% - Accent5 4 2 11" xfId="6883"/>
    <cellStyle name="20% - Accent5 4 2 2" xfId="6884"/>
    <cellStyle name="20% - Accent5 4 2 2 10" xfId="6885"/>
    <cellStyle name="20% - Accent5 4 2 2 2" xfId="6886"/>
    <cellStyle name="20% - Accent5 4 2 2 2 2" xfId="6887"/>
    <cellStyle name="20% - Accent5 4 2 2 2 2 2" xfId="6888"/>
    <cellStyle name="20% - Accent5 4 2 2 2 2 2 2" xfId="6889"/>
    <cellStyle name="20% - Accent5 4 2 2 2 2 2 2 2" xfId="6890"/>
    <cellStyle name="20% - Accent5 4 2 2 2 2 2 3" xfId="6891"/>
    <cellStyle name="20% - Accent5 4 2 2 2 2 2 4" xfId="6892"/>
    <cellStyle name="20% - Accent5 4 2 2 2 2 3" xfId="6893"/>
    <cellStyle name="20% - Accent5 4 2 2 2 2 3 2" xfId="6894"/>
    <cellStyle name="20% - Accent5 4 2 2 2 2 4" xfId="6895"/>
    <cellStyle name="20% - Accent5 4 2 2 2 2 5" xfId="6896"/>
    <cellStyle name="20% - Accent5 4 2 2 2 3" xfId="6897"/>
    <cellStyle name="20% - Accent5 4 2 2 2 3 2" xfId="6898"/>
    <cellStyle name="20% - Accent5 4 2 2 2 3 2 2" xfId="6899"/>
    <cellStyle name="20% - Accent5 4 2 2 2 3 2 2 2" xfId="6900"/>
    <cellStyle name="20% - Accent5 4 2 2 2 3 2 3" xfId="6901"/>
    <cellStyle name="20% - Accent5 4 2 2 2 3 2 4" xfId="6902"/>
    <cellStyle name="20% - Accent5 4 2 2 2 3 3" xfId="6903"/>
    <cellStyle name="20% - Accent5 4 2 2 2 3 3 2" xfId="6904"/>
    <cellStyle name="20% - Accent5 4 2 2 2 3 4" xfId="6905"/>
    <cellStyle name="20% - Accent5 4 2 2 2 3 5" xfId="6906"/>
    <cellStyle name="20% - Accent5 4 2 2 2 4" xfId="6907"/>
    <cellStyle name="20% - Accent5 4 2 2 2 4 2" xfId="6908"/>
    <cellStyle name="20% - Accent5 4 2 2 2 4 2 2" xfId="6909"/>
    <cellStyle name="20% - Accent5 4 2 2 2 4 3" xfId="6910"/>
    <cellStyle name="20% - Accent5 4 2 2 2 4 4" xfId="6911"/>
    <cellStyle name="20% - Accent5 4 2 2 2 5" xfId="6912"/>
    <cellStyle name="20% - Accent5 4 2 2 2 5 2" xfId="6913"/>
    <cellStyle name="20% - Accent5 4 2 2 2 5 2 2" xfId="6914"/>
    <cellStyle name="20% - Accent5 4 2 2 2 5 3" xfId="6915"/>
    <cellStyle name="20% - Accent5 4 2 2 2 5 4" xfId="6916"/>
    <cellStyle name="20% - Accent5 4 2 2 2 6" xfId="6917"/>
    <cellStyle name="20% - Accent5 4 2 2 2 6 2" xfId="6918"/>
    <cellStyle name="20% - Accent5 4 2 2 2 6 2 2" xfId="6919"/>
    <cellStyle name="20% - Accent5 4 2 2 2 6 3" xfId="6920"/>
    <cellStyle name="20% - Accent5 4 2 2 2 6 4" xfId="6921"/>
    <cellStyle name="20% - Accent5 4 2 2 2 7" xfId="6922"/>
    <cellStyle name="20% - Accent5 4 2 2 2 7 2" xfId="6923"/>
    <cellStyle name="20% - Accent5 4 2 2 2 8" xfId="6924"/>
    <cellStyle name="20% - Accent5 4 2 2 2 9" xfId="6925"/>
    <cellStyle name="20% - Accent5 4 2 2 3" xfId="6926"/>
    <cellStyle name="20% - Accent5 4 2 2 3 2" xfId="6927"/>
    <cellStyle name="20% - Accent5 4 2 2 3 2 2" xfId="6928"/>
    <cellStyle name="20% - Accent5 4 2 2 3 2 2 2" xfId="6929"/>
    <cellStyle name="20% - Accent5 4 2 2 3 2 3" xfId="6930"/>
    <cellStyle name="20% - Accent5 4 2 2 3 2 4" xfId="6931"/>
    <cellStyle name="20% - Accent5 4 2 2 3 3" xfId="6932"/>
    <cellStyle name="20% - Accent5 4 2 2 3 3 2" xfId="6933"/>
    <cellStyle name="20% - Accent5 4 2 2 3 4" xfId="6934"/>
    <cellStyle name="20% - Accent5 4 2 2 3 5" xfId="6935"/>
    <cellStyle name="20% - Accent5 4 2 2 4" xfId="6936"/>
    <cellStyle name="20% - Accent5 4 2 2 4 2" xfId="6937"/>
    <cellStyle name="20% - Accent5 4 2 2 4 2 2" xfId="6938"/>
    <cellStyle name="20% - Accent5 4 2 2 4 2 2 2" xfId="6939"/>
    <cellStyle name="20% - Accent5 4 2 2 4 2 3" xfId="6940"/>
    <cellStyle name="20% - Accent5 4 2 2 4 2 4" xfId="6941"/>
    <cellStyle name="20% - Accent5 4 2 2 4 3" xfId="6942"/>
    <cellStyle name="20% - Accent5 4 2 2 4 3 2" xfId="6943"/>
    <cellStyle name="20% - Accent5 4 2 2 4 4" xfId="6944"/>
    <cellStyle name="20% - Accent5 4 2 2 4 5" xfId="6945"/>
    <cellStyle name="20% - Accent5 4 2 2 5" xfId="6946"/>
    <cellStyle name="20% - Accent5 4 2 2 5 2" xfId="6947"/>
    <cellStyle name="20% - Accent5 4 2 2 5 2 2" xfId="6948"/>
    <cellStyle name="20% - Accent5 4 2 2 5 3" xfId="6949"/>
    <cellStyle name="20% - Accent5 4 2 2 5 4" xfId="6950"/>
    <cellStyle name="20% - Accent5 4 2 2 6" xfId="6951"/>
    <cellStyle name="20% - Accent5 4 2 2 6 2" xfId="6952"/>
    <cellStyle name="20% - Accent5 4 2 2 6 2 2" xfId="6953"/>
    <cellStyle name="20% - Accent5 4 2 2 6 3" xfId="6954"/>
    <cellStyle name="20% - Accent5 4 2 2 6 4" xfId="6955"/>
    <cellStyle name="20% - Accent5 4 2 2 7" xfId="6956"/>
    <cellStyle name="20% - Accent5 4 2 2 7 2" xfId="6957"/>
    <cellStyle name="20% - Accent5 4 2 2 7 2 2" xfId="6958"/>
    <cellStyle name="20% - Accent5 4 2 2 7 3" xfId="6959"/>
    <cellStyle name="20% - Accent5 4 2 2 7 4" xfId="6960"/>
    <cellStyle name="20% - Accent5 4 2 2 8" xfId="6961"/>
    <cellStyle name="20% - Accent5 4 2 2 8 2" xfId="6962"/>
    <cellStyle name="20% - Accent5 4 2 2 9" xfId="6963"/>
    <cellStyle name="20% - Accent5 4 2 3" xfId="6964"/>
    <cellStyle name="20% - Accent5 4 2 3 2" xfId="6965"/>
    <cellStyle name="20% - Accent5 4 2 3 2 2" xfId="6966"/>
    <cellStyle name="20% - Accent5 4 2 3 2 2 2" xfId="6967"/>
    <cellStyle name="20% - Accent5 4 2 3 2 2 2 2" xfId="6968"/>
    <cellStyle name="20% - Accent5 4 2 3 2 2 3" xfId="6969"/>
    <cellStyle name="20% - Accent5 4 2 3 2 2 4" xfId="6970"/>
    <cellStyle name="20% - Accent5 4 2 3 2 3" xfId="6971"/>
    <cellStyle name="20% - Accent5 4 2 3 2 3 2" xfId="6972"/>
    <cellStyle name="20% - Accent5 4 2 3 2 4" xfId="6973"/>
    <cellStyle name="20% - Accent5 4 2 3 2 5" xfId="6974"/>
    <cellStyle name="20% - Accent5 4 2 3 3" xfId="6975"/>
    <cellStyle name="20% - Accent5 4 2 3 3 2" xfId="6976"/>
    <cellStyle name="20% - Accent5 4 2 3 3 2 2" xfId="6977"/>
    <cellStyle name="20% - Accent5 4 2 3 3 2 2 2" xfId="6978"/>
    <cellStyle name="20% - Accent5 4 2 3 3 2 3" xfId="6979"/>
    <cellStyle name="20% - Accent5 4 2 3 3 2 4" xfId="6980"/>
    <cellStyle name="20% - Accent5 4 2 3 3 3" xfId="6981"/>
    <cellStyle name="20% - Accent5 4 2 3 3 3 2" xfId="6982"/>
    <cellStyle name="20% - Accent5 4 2 3 3 4" xfId="6983"/>
    <cellStyle name="20% - Accent5 4 2 3 3 5" xfId="6984"/>
    <cellStyle name="20% - Accent5 4 2 3 4" xfId="6985"/>
    <cellStyle name="20% - Accent5 4 2 3 4 2" xfId="6986"/>
    <cellStyle name="20% - Accent5 4 2 3 4 2 2" xfId="6987"/>
    <cellStyle name="20% - Accent5 4 2 3 4 3" xfId="6988"/>
    <cellStyle name="20% - Accent5 4 2 3 4 4" xfId="6989"/>
    <cellStyle name="20% - Accent5 4 2 3 5" xfId="6990"/>
    <cellStyle name="20% - Accent5 4 2 3 5 2" xfId="6991"/>
    <cellStyle name="20% - Accent5 4 2 3 5 2 2" xfId="6992"/>
    <cellStyle name="20% - Accent5 4 2 3 5 3" xfId="6993"/>
    <cellStyle name="20% - Accent5 4 2 3 5 4" xfId="6994"/>
    <cellStyle name="20% - Accent5 4 2 3 6" xfId="6995"/>
    <cellStyle name="20% - Accent5 4 2 3 6 2" xfId="6996"/>
    <cellStyle name="20% - Accent5 4 2 3 6 2 2" xfId="6997"/>
    <cellStyle name="20% - Accent5 4 2 3 6 3" xfId="6998"/>
    <cellStyle name="20% - Accent5 4 2 3 6 4" xfId="6999"/>
    <cellStyle name="20% - Accent5 4 2 3 7" xfId="7000"/>
    <cellStyle name="20% - Accent5 4 2 3 7 2" xfId="7001"/>
    <cellStyle name="20% - Accent5 4 2 3 8" xfId="7002"/>
    <cellStyle name="20% - Accent5 4 2 3 9" xfId="7003"/>
    <cellStyle name="20% - Accent5 4 2 4" xfId="7004"/>
    <cellStyle name="20% - Accent5 4 2 4 2" xfId="7005"/>
    <cellStyle name="20% - Accent5 4 2 4 2 2" xfId="7006"/>
    <cellStyle name="20% - Accent5 4 2 4 2 2 2" xfId="7007"/>
    <cellStyle name="20% - Accent5 4 2 4 2 3" xfId="7008"/>
    <cellStyle name="20% - Accent5 4 2 4 2 4" xfId="7009"/>
    <cellStyle name="20% - Accent5 4 2 4 3" xfId="7010"/>
    <cellStyle name="20% - Accent5 4 2 4 3 2" xfId="7011"/>
    <cellStyle name="20% - Accent5 4 2 4 4" xfId="7012"/>
    <cellStyle name="20% - Accent5 4 2 4 5" xfId="7013"/>
    <cellStyle name="20% - Accent5 4 2 5" xfId="7014"/>
    <cellStyle name="20% - Accent5 4 2 5 2" xfId="7015"/>
    <cellStyle name="20% - Accent5 4 2 5 2 2" xfId="7016"/>
    <cellStyle name="20% - Accent5 4 2 5 2 2 2" xfId="7017"/>
    <cellStyle name="20% - Accent5 4 2 5 2 3" xfId="7018"/>
    <cellStyle name="20% - Accent5 4 2 5 2 4" xfId="7019"/>
    <cellStyle name="20% - Accent5 4 2 5 3" xfId="7020"/>
    <cellStyle name="20% - Accent5 4 2 5 3 2" xfId="7021"/>
    <cellStyle name="20% - Accent5 4 2 5 4" xfId="7022"/>
    <cellStyle name="20% - Accent5 4 2 5 5" xfId="7023"/>
    <cellStyle name="20% - Accent5 4 2 6" xfId="7024"/>
    <cellStyle name="20% - Accent5 4 2 6 2" xfId="7025"/>
    <cellStyle name="20% - Accent5 4 2 6 2 2" xfId="7026"/>
    <cellStyle name="20% - Accent5 4 2 6 3" xfId="7027"/>
    <cellStyle name="20% - Accent5 4 2 6 4" xfId="7028"/>
    <cellStyle name="20% - Accent5 4 2 7" xfId="7029"/>
    <cellStyle name="20% - Accent5 4 2 7 2" xfId="7030"/>
    <cellStyle name="20% - Accent5 4 2 7 2 2" xfId="7031"/>
    <cellStyle name="20% - Accent5 4 2 7 3" xfId="7032"/>
    <cellStyle name="20% - Accent5 4 2 7 4" xfId="7033"/>
    <cellStyle name="20% - Accent5 4 2 8" xfId="7034"/>
    <cellStyle name="20% - Accent5 4 2 8 2" xfId="7035"/>
    <cellStyle name="20% - Accent5 4 2 8 2 2" xfId="7036"/>
    <cellStyle name="20% - Accent5 4 2 8 3" xfId="7037"/>
    <cellStyle name="20% - Accent5 4 2 8 4" xfId="7038"/>
    <cellStyle name="20% - Accent5 4 2 9" xfId="7039"/>
    <cellStyle name="20% - Accent5 4 2 9 2" xfId="7040"/>
    <cellStyle name="20% - Accent5 4 3" xfId="7041"/>
    <cellStyle name="20% - Accent5 4 3 10" xfId="7042"/>
    <cellStyle name="20% - Accent5 4 3 2" xfId="7043"/>
    <cellStyle name="20% - Accent5 4 3 2 2" xfId="7044"/>
    <cellStyle name="20% - Accent5 4 3 2 2 2" xfId="7045"/>
    <cellStyle name="20% - Accent5 4 3 2 2 2 2" xfId="7046"/>
    <cellStyle name="20% - Accent5 4 3 2 2 2 2 2" xfId="7047"/>
    <cellStyle name="20% - Accent5 4 3 2 2 2 3" xfId="7048"/>
    <cellStyle name="20% - Accent5 4 3 2 2 2 4" xfId="7049"/>
    <cellStyle name="20% - Accent5 4 3 2 2 3" xfId="7050"/>
    <cellStyle name="20% - Accent5 4 3 2 2 3 2" xfId="7051"/>
    <cellStyle name="20% - Accent5 4 3 2 2 4" xfId="7052"/>
    <cellStyle name="20% - Accent5 4 3 2 2 5" xfId="7053"/>
    <cellStyle name="20% - Accent5 4 3 2 3" xfId="7054"/>
    <cellStyle name="20% - Accent5 4 3 2 3 2" xfId="7055"/>
    <cellStyle name="20% - Accent5 4 3 2 3 2 2" xfId="7056"/>
    <cellStyle name="20% - Accent5 4 3 2 3 2 2 2" xfId="7057"/>
    <cellStyle name="20% - Accent5 4 3 2 3 2 3" xfId="7058"/>
    <cellStyle name="20% - Accent5 4 3 2 3 2 4" xfId="7059"/>
    <cellStyle name="20% - Accent5 4 3 2 3 3" xfId="7060"/>
    <cellStyle name="20% - Accent5 4 3 2 3 3 2" xfId="7061"/>
    <cellStyle name="20% - Accent5 4 3 2 3 4" xfId="7062"/>
    <cellStyle name="20% - Accent5 4 3 2 3 5" xfId="7063"/>
    <cellStyle name="20% - Accent5 4 3 2 4" xfId="7064"/>
    <cellStyle name="20% - Accent5 4 3 2 4 2" xfId="7065"/>
    <cellStyle name="20% - Accent5 4 3 2 4 2 2" xfId="7066"/>
    <cellStyle name="20% - Accent5 4 3 2 4 3" xfId="7067"/>
    <cellStyle name="20% - Accent5 4 3 2 4 4" xfId="7068"/>
    <cellStyle name="20% - Accent5 4 3 2 5" xfId="7069"/>
    <cellStyle name="20% - Accent5 4 3 2 5 2" xfId="7070"/>
    <cellStyle name="20% - Accent5 4 3 2 5 2 2" xfId="7071"/>
    <cellStyle name="20% - Accent5 4 3 2 5 3" xfId="7072"/>
    <cellStyle name="20% - Accent5 4 3 2 5 4" xfId="7073"/>
    <cellStyle name="20% - Accent5 4 3 2 6" xfId="7074"/>
    <cellStyle name="20% - Accent5 4 3 2 6 2" xfId="7075"/>
    <cellStyle name="20% - Accent5 4 3 2 6 2 2" xfId="7076"/>
    <cellStyle name="20% - Accent5 4 3 2 6 3" xfId="7077"/>
    <cellStyle name="20% - Accent5 4 3 2 6 4" xfId="7078"/>
    <cellStyle name="20% - Accent5 4 3 2 7" xfId="7079"/>
    <cellStyle name="20% - Accent5 4 3 2 7 2" xfId="7080"/>
    <cellStyle name="20% - Accent5 4 3 2 8" xfId="7081"/>
    <cellStyle name="20% - Accent5 4 3 2 9" xfId="7082"/>
    <cellStyle name="20% - Accent5 4 3 3" xfId="7083"/>
    <cellStyle name="20% - Accent5 4 3 3 2" xfId="7084"/>
    <cellStyle name="20% - Accent5 4 3 3 2 2" xfId="7085"/>
    <cellStyle name="20% - Accent5 4 3 3 2 2 2" xfId="7086"/>
    <cellStyle name="20% - Accent5 4 3 3 2 3" xfId="7087"/>
    <cellStyle name="20% - Accent5 4 3 3 2 4" xfId="7088"/>
    <cellStyle name="20% - Accent5 4 3 3 3" xfId="7089"/>
    <cellStyle name="20% - Accent5 4 3 3 3 2" xfId="7090"/>
    <cellStyle name="20% - Accent5 4 3 3 4" xfId="7091"/>
    <cellStyle name="20% - Accent5 4 3 3 5" xfId="7092"/>
    <cellStyle name="20% - Accent5 4 3 4" xfId="7093"/>
    <cellStyle name="20% - Accent5 4 3 4 2" xfId="7094"/>
    <cellStyle name="20% - Accent5 4 3 4 2 2" xfId="7095"/>
    <cellStyle name="20% - Accent5 4 3 4 2 2 2" xfId="7096"/>
    <cellStyle name="20% - Accent5 4 3 4 2 3" xfId="7097"/>
    <cellStyle name="20% - Accent5 4 3 4 2 4" xfId="7098"/>
    <cellStyle name="20% - Accent5 4 3 4 3" xfId="7099"/>
    <cellStyle name="20% - Accent5 4 3 4 3 2" xfId="7100"/>
    <cellStyle name="20% - Accent5 4 3 4 4" xfId="7101"/>
    <cellStyle name="20% - Accent5 4 3 4 5" xfId="7102"/>
    <cellStyle name="20% - Accent5 4 3 5" xfId="7103"/>
    <cellStyle name="20% - Accent5 4 3 5 2" xfId="7104"/>
    <cellStyle name="20% - Accent5 4 3 5 2 2" xfId="7105"/>
    <cellStyle name="20% - Accent5 4 3 5 3" xfId="7106"/>
    <cellStyle name="20% - Accent5 4 3 5 4" xfId="7107"/>
    <cellStyle name="20% - Accent5 4 3 6" xfId="7108"/>
    <cellStyle name="20% - Accent5 4 3 6 2" xfId="7109"/>
    <cellStyle name="20% - Accent5 4 3 6 2 2" xfId="7110"/>
    <cellStyle name="20% - Accent5 4 3 6 3" xfId="7111"/>
    <cellStyle name="20% - Accent5 4 3 6 4" xfId="7112"/>
    <cellStyle name="20% - Accent5 4 3 7" xfId="7113"/>
    <cellStyle name="20% - Accent5 4 3 7 2" xfId="7114"/>
    <cellStyle name="20% - Accent5 4 3 7 2 2" xfId="7115"/>
    <cellStyle name="20% - Accent5 4 3 7 3" xfId="7116"/>
    <cellStyle name="20% - Accent5 4 3 7 4" xfId="7117"/>
    <cellStyle name="20% - Accent5 4 3 8" xfId="7118"/>
    <cellStyle name="20% - Accent5 4 3 8 2" xfId="7119"/>
    <cellStyle name="20% - Accent5 4 3 9" xfId="7120"/>
    <cellStyle name="20% - Accent5 4 4" xfId="7121"/>
    <cellStyle name="20% - Accent5 4 4 2" xfId="7122"/>
    <cellStyle name="20% - Accent5 4 4 2 2" xfId="7123"/>
    <cellStyle name="20% - Accent5 4 4 2 2 2" xfId="7124"/>
    <cellStyle name="20% - Accent5 4 4 2 2 2 2" xfId="7125"/>
    <cellStyle name="20% - Accent5 4 4 2 2 3" xfId="7126"/>
    <cellStyle name="20% - Accent5 4 4 2 2 4" xfId="7127"/>
    <cellStyle name="20% - Accent5 4 4 2 3" xfId="7128"/>
    <cellStyle name="20% - Accent5 4 4 2 3 2" xfId="7129"/>
    <cellStyle name="20% - Accent5 4 4 2 4" xfId="7130"/>
    <cellStyle name="20% - Accent5 4 4 2 5" xfId="7131"/>
    <cellStyle name="20% - Accent5 4 4 3" xfId="7132"/>
    <cellStyle name="20% - Accent5 4 4 3 2" xfId="7133"/>
    <cellStyle name="20% - Accent5 4 4 3 2 2" xfId="7134"/>
    <cellStyle name="20% - Accent5 4 4 3 2 2 2" xfId="7135"/>
    <cellStyle name="20% - Accent5 4 4 3 2 3" xfId="7136"/>
    <cellStyle name="20% - Accent5 4 4 3 2 4" xfId="7137"/>
    <cellStyle name="20% - Accent5 4 4 3 3" xfId="7138"/>
    <cellStyle name="20% - Accent5 4 4 3 3 2" xfId="7139"/>
    <cellStyle name="20% - Accent5 4 4 3 4" xfId="7140"/>
    <cellStyle name="20% - Accent5 4 4 3 5" xfId="7141"/>
    <cellStyle name="20% - Accent5 4 4 4" xfId="7142"/>
    <cellStyle name="20% - Accent5 4 4 4 2" xfId="7143"/>
    <cellStyle name="20% - Accent5 4 4 4 2 2" xfId="7144"/>
    <cellStyle name="20% - Accent5 4 4 4 3" xfId="7145"/>
    <cellStyle name="20% - Accent5 4 4 4 4" xfId="7146"/>
    <cellStyle name="20% - Accent5 4 4 5" xfId="7147"/>
    <cellStyle name="20% - Accent5 4 4 5 2" xfId="7148"/>
    <cellStyle name="20% - Accent5 4 4 5 2 2" xfId="7149"/>
    <cellStyle name="20% - Accent5 4 4 5 3" xfId="7150"/>
    <cellStyle name="20% - Accent5 4 4 5 4" xfId="7151"/>
    <cellStyle name="20% - Accent5 4 4 6" xfId="7152"/>
    <cellStyle name="20% - Accent5 4 4 6 2" xfId="7153"/>
    <cellStyle name="20% - Accent5 4 4 6 2 2" xfId="7154"/>
    <cellStyle name="20% - Accent5 4 4 6 3" xfId="7155"/>
    <cellStyle name="20% - Accent5 4 4 6 4" xfId="7156"/>
    <cellStyle name="20% - Accent5 4 4 7" xfId="7157"/>
    <cellStyle name="20% - Accent5 4 4 7 2" xfId="7158"/>
    <cellStyle name="20% - Accent5 4 4 8" xfId="7159"/>
    <cellStyle name="20% - Accent5 4 4 9" xfId="7160"/>
    <cellStyle name="20% - Accent5 4 5" xfId="7161"/>
    <cellStyle name="20% - Accent5 4 5 2" xfId="7162"/>
    <cellStyle name="20% - Accent5 4 5 2 2" xfId="7163"/>
    <cellStyle name="20% - Accent5 4 5 2 2 2" xfId="7164"/>
    <cellStyle name="20% - Accent5 4 5 2 3" xfId="7165"/>
    <cellStyle name="20% - Accent5 4 5 2 4" xfId="7166"/>
    <cellStyle name="20% - Accent5 4 5 3" xfId="7167"/>
    <cellStyle name="20% - Accent5 4 5 4" xfId="7168"/>
    <cellStyle name="20% - Accent5 4 5 4 2" xfId="7169"/>
    <cellStyle name="20% - Accent5 4 5 5" xfId="7170"/>
    <cellStyle name="20% - Accent5 4 5 6" xfId="7171"/>
    <cellStyle name="20% - Accent5 4 6" xfId="7172"/>
    <cellStyle name="20% - Accent5 4 6 2" xfId="7173"/>
    <cellStyle name="20% - Accent5 4 6 2 2" xfId="7174"/>
    <cellStyle name="20% - Accent5 4 6 2 2 2" xfId="7175"/>
    <cellStyle name="20% - Accent5 4 6 2 3" xfId="7176"/>
    <cellStyle name="20% - Accent5 4 6 2 4" xfId="7177"/>
    <cellStyle name="20% - Accent5 4 6 3" xfId="7178"/>
    <cellStyle name="20% - Accent5 4 6 3 2" xfId="7179"/>
    <cellStyle name="20% - Accent5 4 6 3 2 2" xfId="7180"/>
    <cellStyle name="20% - Accent5 4 6 3 3" xfId="7181"/>
    <cellStyle name="20% - Accent5 4 6 3 4" xfId="7182"/>
    <cellStyle name="20% - Accent5 4 6 4" xfId="7183"/>
    <cellStyle name="20% - Accent5 4 6 4 2" xfId="7184"/>
    <cellStyle name="20% - Accent5 4 6 5" xfId="7185"/>
    <cellStyle name="20% - Accent5 4 6 6" xfId="7186"/>
    <cellStyle name="20% - Accent5 4 7" xfId="7187"/>
    <cellStyle name="20% - Accent5 4 7 2" xfId="7188"/>
    <cellStyle name="20% - Accent5 4 7 2 2" xfId="7189"/>
    <cellStyle name="20% - Accent5 4 7 3" xfId="7190"/>
    <cellStyle name="20% - Accent5 4 7 4" xfId="7191"/>
    <cellStyle name="20% - Accent5 4 8" xfId="7192"/>
    <cellStyle name="20% - Accent5 4 8 2" xfId="7193"/>
    <cellStyle name="20% - Accent5 4 8 2 2" xfId="7194"/>
    <cellStyle name="20% - Accent5 4 8 3" xfId="7195"/>
    <cellStyle name="20% - Accent5 4 8 4" xfId="7196"/>
    <cellStyle name="20% - Accent5 4 9" xfId="7197"/>
    <cellStyle name="20% - Accent5 4 9 2" xfId="7198"/>
    <cellStyle name="20% - Accent5 4 9 2 2" xfId="7199"/>
    <cellStyle name="20% - Accent5 4 9 3" xfId="7200"/>
    <cellStyle name="20% - Accent5 4 9 4" xfId="7201"/>
    <cellStyle name="20% - Accent5 5" xfId="7202"/>
    <cellStyle name="20% - Accent5 5 2" xfId="7203"/>
    <cellStyle name="20% - Accent5 5 2 2" xfId="7204"/>
    <cellStyle name="20% - Accent5 5 2 2 2" xfId="7205"/>
    <cellStyle name="20% - Accent5 5 2 3" xfId="7206"/>
    <cellStyle name="20% - Accent5 5 2 4" xfId="7207"/>
    <cellStyle name="20% - Accent5 6" xfId="7208"/>
    <cellStyle name="20% - Accent5 7" xfId="7209"/>
    <cellStyle name="20% - Accent5 7 2" xfId="7210"/>
    <cellStyle name="20% - Accent5 7 2 2" xfId="7211"/>
    <cellStyle name="20% - Accent5 7 3" xfId="7212"/>
    <cellStyle name="20% - Accent5 7 4" xfId="7213"/>
    <cellStyle name="20% - Accent6" xfId="35704" builtinId="50" customBuiltin="1"/>
    <cellStyle name="20% - Accent6 2" xfId="38"/>
    <cellStyle name="20% - Accent6 2 10" xfId="7215"/>
    <cellStyle name="20% - Accent6 2 10 2" xfId="7216"/>
    <cellStyle name="20% - Accent6 2 10 2 2" xfId="7217"/>
    <cellStyle name="20% - Accent6 2 10 3" xfId="7218"/>
    <cellStyle name="20% - Accent6 2 10 4" xfId="7219"/>
    <cellStyle name="20% - Accent6 2 11" xfId="7220"/>
    <cellStyle name="20% - Accent6 2 11 2" xfId="7221"/>
    <cellStyle name="20% - Accent6 2 12" xfId="7222"/>
    <cellStyle name="20% - Accent6 2 13" xfId="7223"/>
    <cellStyle name="20% - Accent6 2 14" xfId="7214"/>
    <cellStyle name="20% - Accent6 2 2" xfId="7224"/>
    <cellStyle name="20% - Accent6 2 2 2" xfId="7225"/>
    <cellStyle name="20% - Accent6 2 2 3" xfId="7226"/>
    <cellStyle name="20% - Accent6 2 2 4" xfId="7227"/>
    <cellStyle name="20% - Accent6 2 3" xfId="7228"/>
    <cellStyle name="20% - Accent6 2 3 10" xfId="7229"/>
    <cellStyle name="20% - Accent6 2 3 11" xfId="7230"/>
    <cellStyle name="20% - Accent6 2 3 2" xfId="7231"/>
    <cellStyle name="20% - Accent6 2 3 2 10" xfId="7232"/>
    <cellStyle name="20% - Accent6 2 3 2 2" xfId="7233"/>
    <cellStyle name="20% - Accent6 2 3 2 2 2" xfId="7234"/>
    <cellStyle name="20% - Accent6 2 3 2 2 2 2" xfId="7235"/>
    <cellStyle name="20% - Accent6 2 3 2 2 2 2 2" xfId="7236"/>
    <cellStyle name="20% - Accent6 2 3 2 2 2 2 2 2" xfId="7237"/>
    <cellStyle name="20% - Accent6 2 3 2 2 2 2 3" xfId="7238"/>
    <cellStyle name="20% - Accent6 2 3 2 2 2 2 4" xfId="7239"/>
    <cellStyle name="20% - Accent6 2 3 2 2 2 3" xfId="7240"/>
    <cellStyle name="20% - Accent6 2 3 2 2 2 3 2" xfId="7241"/>
    <cellStyle name="20% - Accent6 2 3 2 2 2 4" xfId="7242"/>
    <cellStyle name="20% - Accent6 2 3 2 2 2 5" xfId="7243"/>
    <cellStyle name="20% - Accent6 2 3 2 2 3" xfId="7244"/>
    <cellStyle name="20% - Accent6 2 3 2 2 3 2" xfId="7245"/>
    <cellStyle name="20% - Accent6 2 3 2 2 3 2 2" xfId="7246"/>
    <cellStyle name="20% - Accent6 2 3 2 2 3 2 2 2" xfId="7247"/>
    <cellStyle name="20% - Accent6 2 3 2 2 3 2 3" xfId="7248"/>
    <cellStyle name="20% - Accent6 2 3 2 2 3 2 4" xfId="7249"/>
    <cellStyle name="20% - Accent6 2 3 2 2 3 3" xfId="7250"/>
    <cellStyle name="20% - Accent6 2 3 2 2 3 3 2" xfId="7251"/>
    <cellStyle name="20% - Accent6 2 3 2 2 3 4" xfId="7252"/>
    <cellStyle name="20% - Accent6 2 3 2 2 3 5" xfId="7253"/>
    <cellStyle name="20% - Accent6 2 3 2 2 4" xfId="7254"/>
    <cellStyle name="20% - Accent6 2 3 2 2 4 2" xfId="7255"/>
    <cellStyle name="20% - Accent6 2 3 2 2 4 2 2" xfId="7256"/>
    <cellStyle name="20% - Accent6 2 3 2 2 4 3" xfId="7257"/>
    <cellStyle name="20% - Accent6 2 3 2 2 4 4" xfId="7258"/>
    <cellStyle name="20% - Accent6 2 3 2 2 5" xfId="7259"/>
    <cellStyle name="20% - Accent6 2 3 2 2 5 2" xfId="7260"/>
    <cellStyle name="20% - Accent6 2 3 2 2 5 2 2" xfId="7261"/>
    <cellStyle name="20% - Accent6 2 3 2 2 5 3" xfId="7262"/>
    <cellStyle name="20% - Accent6 2 3 2 2 5 4" xfId="7263"/>
    <cellStyle name="20% - Accent6 2 3 2 2 6" xfId="7264"/>
    <cellStyle name="20% - Accent6 2 3 2 2 6 2" xfId="7265"/>
    <cellStyle name="20% - Accent6 2 3 2 2 6 2 2" xfId="7266"/>
    <cellStyle name="20% - Accent6 2 3 2 2 6 3" xfId="7267"/>
    <cellStyle name="20% - Accent6 2 3 2 2 6 4" xfId="7268"/>
    <cellStyle name="20% - Accent6 2 3 2 2 7" xfId="7269"/>
    <cellStyle name="20% - Accent6 2 3 2 2 7 2" xfId="7270"/>
    <cellStyle name="20% - Accent6 2 3 2 2 8" xfId="7271"/>
    <cellStyle name="20% - Accent6 2 3 2 2 9" xfId="7272"/>
    <cellStyle name="20% - Accent6 2 3 2 3" xfId="7273"/>
    <cellStyle name="20% - Accent6 2 3 2 3 2" xfId="7274"/>
    <cellStyle name="20% - Accent6 2 3 2 3 2 2" xfId="7275"/>
    <cellStyle name="20% - Accent6 2 3 2 3 2 2 2" xfId="7276"/>
    <cellStyle name="20% - Accent6 2 3 2 3 2 3" xfId="7277"/>
    <cellStyle name="20% - Accent6 2 3 2 3 2 4" xfId="7278"/>
    <cellStyle name="20% - Accent6 2 3 2 3 3" xfId="7279"/>
    <cellStyle name="20% - Accent6 2 3 2 3 3 2" xfId="7280"/>
    <cellStyle name="20% - Accent6 2 3 2 3 4" xfId="7281"/>
    <cellStyle name="20% - Accent6 2 3 2 3 5" xfId="7282"/>
    <cellStyle name="20% - Accent6 2 3 2 4" xfId="7283"/>
    <cellStyle name="20% - Accent6 2 3 2 4 2" xfId="7284"/>
    <cellStyle name="20% - Accent6 2 3 2 4 2 2" xfId="7285"/>
    <cellStyle name="20% - Accent6 2 3 2 4 2 2 2" xfId="7286"/>
    <cellStyle name="20% - Accent6 2 3 2 4 2 3" xfId="7287"/>
    <cellStyle name="20% - Accent6 2 3 2 4 2 4" xfId="7288"/>
    <cellStyle name="20% - Accent6 2 3 2 4 3" xfId="7289"/>
    <cellStyle name="20% - Accent6 2 3 2 4 3 2" xfId="7290"/>
    <cellStyle name="20% - Accent6 2 3 2 4 4" xfId="7291"/>
    <cellStyle name="20% - Accent6 2 3 2 4 5" xfId="7292"/>
    <cellStyle name="20% - Accent6 2 3 2 5" xfId="7293"/>
    <cellStyle name="20% - Accent6 2 3 2 5 2" xfId="7294"/>
    <cellStyle name="20% - Accent6 2 3 2 5 2 2" xfId="7295"/>
    <cellStyle name="20% - Accent6 2 3 2 5 3" xfId="7296"/>
    <cellStyle name="20% - Accent6 2 3 2 5 4" xfId="7297"/>
    <cellStyle name="20% - Accent6 2 3 2 6" xfId="7298"/>
    <cellStyle name="20% - Accent6 2 3 2 6 2" xfId="7299"/>
    <cellStyle name="20% - Accent6 2 3 2 6 2 2" xfId="7300"/>
    <cellStyle name="20% - Accent6 2 3 2 6 3" xfId="7301"/>
    <cellStyle name="20% - Accent6 2 3 2 6 4" xfId="7302"/>
    <cellStyle name="20% - Accent6 2 3 2 7" xfId="7303"/>
    <cellStyle name="20% - Accent6 2 3 2 7 2" xfId="7304"/>
    <cellStyle name="20% - Accent6 2 3 2 7 2 2" xfId="7305"/>
    <cellStyle name="20% - Accent6 2 3 2 7 3" xfId="7306"/>
    <cellStyle name="20% - Accent6 2 3 2 7 4" xfId="7307"/>
    <cellStyle name="20% - Accent6 2 3 2 8" xfId="7308"/>
    <cellStyle name="20% - Accent6 2 3 2 8 2" xfId="7309"/>
    <cellStyle name="20% - Accent6 2 3 2 9" xfId="7310"/>
    <cellStyle name="20% - Accent6 2 3 3" xfId="7311"/>
    <cellStyle name="20% - Accent6 2 3 3 2" xfId="7312"/>
    <cellStyle name="20% - Accent6 2 3 3 2 2" xfId="7313"/>
    <cellStyle name="20% - Accent6 2 3 3 2 2 2" xfId="7314"/>
    <cellStyle name="20% - Accent6 2 3 3 2 2 2 2" xfId="7315"/>
    <cellStyle name="20% - Accent6 2 3 3 2 2 3" xfId="7316"/>
    <cellStyle name="20% - Accent6 2 3 3 2 2 4" xfId="7317"/>
    <cellStyle name="20% - Accent6 2 3 3 2 3" xfId="7318"/>
    <cellStyle name="20% - Accent6 2 3 3 2 3 2" xfId="7319"/>
    <cellStyle name="20% - Accent6 2 3 3 2 4" xfId="7320"/>
    <cellStyle name="20% - Accent6 2 3 3 2 5" xfId="7321"/>
    <cellStyle name="20% - Accent6 2 3 3 3" xfId="7322"/>
    <cellStyle name="20% - Accent6 2 3 3 3 2" xfId="7323"/>
    <cellStyle name="20% - Accent6 2 3 3 3 2 2" xfId="7324"/>
    <cellStyle name="20% - Accent6 2 3 3 3 2 2 2" xfId="7325"/>
    <cellStyle name="20% - Accent6 2 3 3 3 2 3" xfId="7326"/>
    <cellStyle name="20% - Accent6 2 3 3 3 2 4" xfId="7327"/>
    <cellStyle name="20% - Accent6 2 3 3 3 3" xfId="7328"/>
    <cellStyle name="20% - Accent6 2 3 3 3 3 2" xfId="7329"/>
    <cellStyle name="20% - Accent6 2 3 3 3 4" xfId="7330"/>
    <cellStyle name="20% - Accent6 2 3 3 3 5" xfId="7331"/>
    <cellStyle name="20% - Accent6 2 3 3 4" xfId="7332"/>
    <cellStyle name="20% - Accent6 2 3 3 4 2" xfId="7333"/>
    <cellStyle name="20% - Accent6 2 3 3 4 2 2" xfId="7334"/>
    <cellStyle name="20% - Accent6 2 3 3 4 3" xfId="7335"/>
    <cellStyle name="20% - Accent6 2 3 3 4 4" xfId="7336"/>
    <cellStyle name="20% - Accent6 2 3 3 5" xfId="7337"/>
    <cellStyle name="20% - Accent6 2 3 3 5 2" xfId="7338"/>
    <cellStyle name="20% - Accent6 2 3 3 5 2 2" xfId="7339"/>
    <cellStyle name="20% - Accent6 2 3 3 5 3" xfId="7340"/>
    <cellStyle name="20% - Accent6 2 3 3 5 4" xfId="7341"/>
    <cellStyle name="20% - Accent6 2 3 3 6" xfId="7342"/>
    <cellStyle name="20% - Accent6 2 3 3 6 2" xfId="7343"/>
    <cellStyle name="20% - Accent6 2 3 3 6 2 2" xfId="7344"/>
    <cellStyle name="20% - Accent6 2 3 3 6 3" xfId="7345"/>
    <cellStyle name="20% - Accent6 2 3 3 6 4" xfId="7346"/>
    <cellStyle name="20% - Accent6 2 3 3 7" xfId="7347"/>
    <cellStyle name="20% - Accent6 2 3 3 7 2" xfId="7348"/>
    <cellStyle name="20% - Accent6 2 3 3 8" xfId="7349"/>
    <cellStyle name="20% - Accent6 2 3 3 9" xfId="7350"/>
    <cellStyle name="20% - Accent6 2 3 4" xfId="7351"/>
    <cellStyle name="20% - Accent6 2 3 4 2" xfId="7352"/>
    <cellStyle name="20% - Accent6 2 3 4 2 2" xfId="7353"/>
    <cellStyle name="20% - Accent6 2 3 4 2 2 2" xfId="7354"/>
    <cellStyle name="20% - Accent6 2 3 4 2 3" xfId="7355"/>
    <cellStyle name="20% - Accent6 2 3 4 2 4" xfId="7356"/>
    <cellStyle name="20% - Accent6 2 3 4 3" xfId="7357"/>
    <cellStyle name="20% - Accent6 2 3 4 4" xfId="7358"/>
    <cellStyle name="20% - Accent6 2 3 4 4 2" xfId="7359"/>
    <cellStyle name="20% - Accent6 2 3 4 5" xfId="7360"/>
    <cellStyle name="20% - Accent6 2 3 4 6" xfId="7361"/>
    <cellStyle name="20% - Accent6 2 3 5" xfId="7362"/>
    <cellStyle name="20% - Accent6 2 3 5 2" xfId="7363"/>
    <cellStyle name="20% - Accent6 2 3 5 2 2" xfId="7364"/>
    <cellStyle name="20% - Accent6 2 3 5 2 2 2" xfId="7365"/>
    <cellStyle name="20% - Accent6 2 3 5 2 3" xfId="7366"/>
    <cellStyle name="20% - Accent6 2 3 5 2 4" xfId="7367"/>
    <cellStyle name="20% - Accent6 2 3 5 3" xfId="7368"/>
    <cellStyle name="20% - Accent6 2 3 5 3 2" xfId="7369"/>
    <cellStyle name="20% - Accent6 2 3 5 4" xfId="7370"/>
    <cellStyle name="20% - Accent6 2 3 5 5" xfId="7371"/>
    <cellStyle name="20% - Accent6 2 3 6" xfId="7372"/>
    <cellStyle name="20% - Accent6 2 3 6 2" xfId="7373"/>
    <cellStyle name="20% - Accent6 2 3 6 2 2" xfId="7374"/>
    <cellStyle name="20% - Accent6 2 3 6 3" xfId="7375"/>
    <cellStyle name="20% - Accent6 2 3 6 4" xfId="7376"/>
    <cellStyle name="20% - Accent6 2 3 7" xfId="7377"/>
    <cellStyle name="20% - Accent6 2 3 7 2" xfId="7378"/>
    <cellStyle name="20% - Accent6 2 3 7 2 2" xfId="7379"/>
    <cellStyle name="20% - Accent6 2 3 7 3" xfId="7380"/>
    <cellStyle name="20% - Accent6 2 3 7 4" xfId="7381"/>
    <cellStyle name="20% - Accent6 2 3 8" xfId="7382"/>
    <cellStyle name="20% - Accent6 2 3 8 2" xfId="7383"/>
    <cellStyle name="20% - Accent6 2 3 8 2 2" xfId="7384"/>
    <cellStyle name="20% - Accent6 2 3 8 3" xfId="7385"/>
    <cellStyle name="20% - Accent6 2 3 8 4" xfId="7386"/>
    <cellStyle name="20% - Accent6 2 3 9" xfId="7387"/>
    <cellStyle name="20% - Accent6 2 3 9 2" xfId="7388"/>
    <cellStyle name="20% - Accent6 2 4" xfId="7389"/>
    <cellStyle name="20% - Accent6 2 4 10" xfId="7390"/>
    <cellStyle name="20% - Accent6 2 4 2" xfId="7391"/>
    <cellStyle name="20% - Accent6 2 4 2 2" xfId="7392"/>
    <cellStyle name="20% - Accent6 2 4 2 2 2" xfId="7393"/>
    <cellStyle name="20% - Accent6 2 4 2 2 2 2" xfId="7394"/>
    <cellStyle name="20% - Accent6 2 4 2 2 2 2 2" xfId="7395"/>
    <cellStyle name="20% - Accent6 2 4 2 2 2 3" xfId="7396"/>
    <cellStyle name="20% - Accent6 2 4 2 2 2 4" xfId="7397"/>
    <cellStyle name="20% - Accent6 2 4 2 2 3" xfId="7398"/>
    <cellStyle name="20% - Accent6 2 4 2 2 3 2" xfId="7399"/>
    <cellStyle name="20% - Accent6 2 4 2 2 4" xfId="7400"/>
    <cellStyle name="20% - Accent6 2 4 2 2 5" xfId="7401"/>
    <cellStyle name="20% - Accent6 2 4 2 3" xfId="7402"/>
    <cellStyle name="20% - Accent6 2 4 2 3 2" xfId="7403"/>
    <cellStyle name="20% - Accent6 2 4 2 3 2 2" xfId="7404"/>
    <cellStyle name="20% - Accent6 2 4 2 3 2 2 2" xfId="7405"/>
    <cellStyle name="20% - Accent6 2 4 2 3 2 3" xfId="7406"/>
    <cellStyle name="20% - Accent6 2 4 2 3 2 4" xfId="7407"/>
    <cellStyle name="20% - Accent6 2 4 2 3 3" xfId="7408"/>
    <cellStyle name="20% - Accent6 2 4 2 3 3 2" xfId="7409"/>
    <cellStyle name="20% - Accent6 2 4 2 3 4" xfId="7410"/>
    <cellStyle name="20% - Accent6 2 4 2 3 5" xfId="7411"/>
    <cellStyle name="20% - Accent6 2 4 2 4" xfId="7412"/>
    <cellStyle name="20% - Accent6 2 4 2 4 2" xfId="7413"/>
    <cellStyle name="20% - Accent6 2 4 2 4 2 2" xfId="7414"/>
    <cellStyle name="20% - Accent6 2 4 2 4 3" xfId="7415"/>
    <cellStyle name="20% - Accent6 2 4 2 4 4" xfId="7416"/>
    <cellStyle name="20% - Accent6 2 4 2 5" xfId="7417"/>
    <cellStyle name="20% - Accent6 2 4 2 5 2" xfId="7418"/>
    <cellStyle name="20% - Accent6 2 4 2 5 2 2" xfId="7419"/>
    <cellStyle name="20% - Accent6 2 4 2 5 3" xfId="7420"/>
    <cellStyle name="20% - Accent6 2 4 2 5 4" xfId="7421"/>
    <cellStyle name="20% - Accent6 2 4 2 6" xfId="7422"/>
    <cellStyle name="20% - Accent6 2 4 2 6 2" xfId="7423"/>
    <cellStyle name="20% - Accent6 2 4 2 6 2 2" xfId="7424"/>
    <cellStyle name="20% - Accent6 2 4 2 6 3" xfId="7425"/>
    <cellStyle name="20% - Accent6 2 4 2 6 4" xfId="7426"/>
    <cellStyle name="20% - Accent6 2 4 2 7" xfId="7427"/>
    <cellStyle name="20% - Accent6 2 4 2 7 2" xfId="7428"/>
    <cellStyle name="20% - Accent6 2 4 2 8" xfId="7429"/>
    <cellStyle name="20% - Accent6 2 4 2 9" xfId="7430"/>
    <cellStyle name="20% - Accent6 2 4 3" xfId="7431"/>
    <cellStyle name="20% - Accent6 2 4 3 2" xfId="7432"/>
    <cellStyle name="20% - Accent6 2 4 3 2 2" xfId="7433"/>
    <cellStyle name="20% - Accent6 2 4 3 2 2 2" xfId="7434"/>
    <cellStyle name="20% - Accent6 2 4 3 2 3" xfId="7435"/>
    <cellStyle name="20% - Accent6 2 4 3 2 4" xfId="7436"/>
    <cellStyle name="20% - Accent6 2 4 3 3" xfId="7437"/>
    <cellStyle name="20% - Accent6 2 4 3 3 2" xfId="7438"/>
    <cellStyle name="20% - Accent6 2 4 3 4" xfId="7439"/>
    <cellStyle name="20% - Accent6 2 4 3 5" xfId="7440"/>
    <cellStyle name="20% - Accent6 2 4 4" xfId="7441"/>
    <cellStyle name="20% - Accent6 2 4 4 2" xfId="7442"/>
    <cellStyle name="20% - Accent6 2 4 4 2 2" xfId="7443"/>
    <cellStyle name="20% - Accent6 2 4 4 2 2 2" xfId="7444"/>
    <cellStyle name="20% - Accent6 2 4 4 2 3" xfId="7445"/>
    <cellStyle name="20% - Accent6 2 4 4 2 4" xfId="7446"/>
    <cellStyle name="20% - Accent6 2 4 4 3" xfId="7447"/>
    <cellStyle name="20% - Accent6 2 4 4 3 2" xfId="7448"/>
    <cellStyle name="20% - Accent6 2 4 4 4" xfId="7449"/>
    <cellStyle name="20% - Accent6 2 4 4 5" xfId="7450"/>
    <cellStyle name="20% - Accent6 2 4 5" xfId="7451"/>
    <cellStyle name="20% - Accent6 2 4 5 2" xfId="7452"/>
    <cellStyle name="20% - Accent6 2 4 5 2 2" xfId="7453"/>
    <cellStyle name="20% - Accent6 2 4 5 3" xfId="7454"/>
    <cellStyle name="20% - Accent6 2 4 5 4" xfId="7455"/>
    <cellStyle name="20% - Accent6 2 4 6" xfId="7456"/>
    <cellStyle name="20% - Accent6 2 4 6 2" xfId="7457"/>
    <cellStyle name="20% - Accent6 2 4 6 2 2" xfId="7458"/>
    <cellStyle name="20% - Accent6 2 4 6 3" xfId="7459"/>
    <cellStyle name="20% - Accent6 2 4 6 4" xfId="7460"/>
    <cellStyle name="20% - Accent6 2 4 7" xfId="7461"/>
    <cellStyle name="20% - Accent6 2 4 7 2" xfId="7462"/>
    <cellStyle name="20% - Accent6 2 4 7 2 2" xfId="7463"/>
    <cellStyle name="20% - Accent6 2 4 7 3" xfId="7464"/>
    <cellStyle name="20% - Accent6 2 4 7 4" xfId="7465"/>
    <cellStyle name="20% - Accent6 2 4 8" xfId="7466"/>
    <cellStyle name="20% - Accent6 2 4 8 2" xfId="7467"/>
    <cellStyle name="20% - Accent6 2 4 9" xfId="7468"/>
    <cellStyle name="20% - Accent6 2 5"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4" xfId="7478"/>
    <cellStyle name="20% - Accent6 2 5 2 5" xfId="7479"/>
    <cellStyle name="20% - Accent6 2 5 3" xfId="7480"/>
    <cellStyle name="20% - Accent6 2 5 3 2" xfId="7481"/>
    <cellStyle name="20% - Accent6 2 5 3 2 2" xfId="7482"/>
    <cellStyle name="20% - Accent6 2 5 3 2 2 2" xfId="7483"/>
    <cellStyle name="20% - Accent6 2 5 3 2 3" xfId="7484"/>
    <cellStyle name="20% - Accent6 2 5 3 2 4" xfId="7485"/>
    <cellStyle name="20% - Accent6 2 5 3 3" xfId="7486"/>
    <cellStyle name="20% - Accent6 2 5 3 3 2" xfId="7487"/>
    <cellStyle name="20% - Accent6 2 5 3 4" xfId="7488"/>
    <cellStyle name="20% - Accent6 2 5 3 5" xfId="7489"/>
    <cellStyle name="20% - Accent6 2 5 4" xfId="7490"/>
    <cellStyle name="20% - Accent6 2 5 4 2" xfId="7491"/>
    <cellStyle name="20% - Accent6 2 5 4 2 2" xfId="7492"/>
    <cellStyle name="20% - Accent6 2 5 4 3" xfId="7493"/>
    <cellStyle name="20% - Accent6 2 5 4 4" xfId="7494"/>
    <cellStyle name="20% - Accent6 2 5 5" xfId="7495"/>
    <cellStyle name="20% - Accent6 2 5 5 2" xfId="7496"/>
    <cellStyle name="20% - Accent6 2 5 5 2 2" xfId="7497"/>
    <cellStyle name="20% - Accent6 2 5 5 3" xfId="7498"/>
    <cellStyle name="20% - Accent6 2 5 5 4" xfId="7499"/>
    <cellStyle name="20% - Accent6 2 5 6" xfId="7500"/>
    <cellStyle name="20% - Accent6 2 5 6 2" xfId="7501"/>
    <cellStyle name="20% - Accent6 2 5 6 2 2" xfId="7502"/>
    <cellStyle name="20% - Accent6 2 5 6 3" xfId="7503"/>
    <cellStyle name="20% - Accent6 2 5 6 4" xfId="7504"/>
    <cellStyle name="20% - Accent6 2 5 7" xfId="7505"/>
    <cellStyle name="20% - Accent6 2 5 7 2" xfId="7506"/>
    <cellStyle name="20% - Accent6 2 5 8" xfId="7507"/>
    <cellStyle name="20% - Accent6 2 5 9" xfId="7508"/>
    <cellStyle name="20% - Accent6 2 6" xfId="7509"/>
    <cellStyle name="20% - Accent6 2 7" xfId="7510"/>
    <cellStyle name="20% - Accent6 2 8" xfId="7511"/>
    <cellStyle name="20% - Accent6 2 8 2" xfId="7512"/>
    <cellStyle name="20% - Accent6 2 9" xfId="7513"/>
    <cellStyle name="20% - Accent6 2 9 2" xfId="7514"/>
    <cellStyle name="20% - Accent6 2 9 2 2" xfId="7515"/>
    <cellStyle name="20% - Accent6 2 9 2 2 2" xfId="7516"/>
    <cellStyle name="20% - Accent6 2 9 2 3" xfId="7517"/>
    <cellStyle name="20% - Accent6 2 9 2 4" xfId="7518"/>
    <cellStyle name="20% - Accent6 2 9 3" xfId="7519"/>
    <cellStyle name="20% - Accent6 2 9 4" xfId="7520"/>
    <cellStyle name="20% - Accent6 2 9 4 2" xfId="7521"/>
    <cellStyle name="20% - Accent6 2 9 5" xfId="7522"/>
    <cellStyle name="20% - Accent6 2 9 6" xfId="7523"/>
    <cellStyle name="20% - Accent6 3" xfId="106"/>
    <cellStyle name="20% - Accent6 3 2" xfId="7525"/>
    <cellStyle name="20% - Accent6 3 2 10" xfId="7526"/>
    <cellStyle name="20% - Accent6 3 2 10 2" xfId="7527"/>
    <cellStyle name="20% - Accent6 3 2 11" xfId="7528"/>
    <cellStyle name="20% - Accent6 3 2 12" xfId="7529"/>
    <cellStyle name="20% - Accent6 3 2 2" xfId="7530"/>
    <cellStyle name="20% - Accent6 3 2 2 10" xfId="7531"/>
    <cellStyle name="20% - Accent6 3 2 2 11" xfId="7532"/>
    <cellStyle name="20% - Accent6 3 2 2 2" xfId="7533"/>
    <cellStyle name="20% - Accent6 3 2 2 2 10" xfId="7534"/>
    <cellStyle name="20% - Accent6 3 2 2 2 2" xfId="7535"/>
    <cellStyle name="20% - Accent6 3 2 2 2 2 2" xfId="7536"/>
    <cellStyle name="20% - Accent6 3 2 2 2 2 2 2" xfId="7537"/>
    <cellStyle name="20% - Accent6 3 2 2 2 2 2 2 2" xfId="7538"/>
    <cellStyle name="20% - Accent6 3 2 2 2 2 2 2 2 2" xfId="7539"/>
    <cellStyle name="20% - Accent6 3 2 2 2 2 2 2 3" xfId="7540"/>
    <cellStyle name="20% - Accent6 3 2 2 2 2 2 2 4" xfId="7541"/>
    <cellStyle name="20% - Accent6 3 2 2 2 2 2 3" xfId="7542"/>
    <cellStyle name="20% - Accent6 3 2 2 2 2 2 3 2" xfId="7543"/>
    <cellStyle name="20% - Accent6 3 2 2 2 2 2 4" xfId="7544"/>
    <cellStyle name="20% - Accent6 3 2 2 2 2 2 5" xfId="7545"/>
    <cellStyle name="20% - Accent6 3 2 2 2 2 3" xfId="7546"/>
    <cellStyle name="20% - Accent6 3 2 2 2 2 3 2" xfId="7547"/>
    <cellStyle name="20% - Accent6 3 2 2 2 2 3 2 2" xfId="7548"/>
    <cellStyle name="20% - Accent6 3 2 2 2 2 3 2 2 2" xfId="7549"/>
    <cellStyle name="20% - Accent6 3 2 2 2 2 3 2 3" xfId="7550"/>
    <cellStyle name="20% - Accent6 3 2 2 2 2 3 2 4" xfId="7551"/>
    <cellStyle name="20% - Accent6 3 2 2 2 2 3 3" xfId="7552"/>
    <cellStyle name="20% - Accent6 3 2 2 2 2 3 3 2" xfId="7553"/>
    <cellStyle name="20% - Accent6 3 2 2 2 2 3 4" xfId="7554"/>
    <cellStyle name="20% - Accent6 3 2 2 2 2 3 5" xfId="7555"/>
    <cellStyle name="20% - Accent6 3 2 2 2 2 4" xfId="7556"/>
    <cellStyle name="20% - Accent6 3 2 2 2 2 4 2" xfId="7557"/>
    <cellStyle name="20% - Accent6 3 2 2 2 2 4 2 2" xfId="7558"/>
    <cellStyle name="20% - Accent6 3 2 2 2 2 4 3" xfId="7559"/>
    <cellStyle name="20% - Accent6 3 2 2 2 2 4 4" xfId="7560"/>
    <cellStyle name="20% - Accent6 3 2 2 2 2 5" xfId="7561"/>
    <cellStyle name="20% - Accent6 3 2 2 2 2 5 2" xfId="7562"/>
    <cellStyle name="20% - Accent6 3 2 2 2 2 5 2 2" xfId="7563"/>
    <cellStyle name="20% - Accent6 3 2 2 2 2 5 3" xfId="7564"/>
    <cellStyle name="20% - Accent6 3 2 2 2 2 5 4" xfId="7565"/>
    <cellStyle name="20% - Accent6 3 2 2 2 2 6" xfId="7566"/>
    <cellStyle name="20% - Accent6 3 2 2 2 2 6 2" xfId="7567"/>
    <cellStyle name="20% - Accent6 3 2 2 2 2 6 2 2" xfId="7568"/>
    <cellStyle name="20% - Accent6 3 2 2 2 2 6 3" xfId="7569"/>
    <cellStyle name="20% - Accent6 3 2 2 2 2 6 4" xfId="7570"/>
    <cellStyle name="20% - Accent6 3 2 2 2 2 7" xfId="7571"/>
    <cellStyle name="20% - Accent6 3 2 2 2 2 7 2" xfId="7572"/>
    <cellStyle name="20% - Accent6 3 2 2 2 2 8" xfId="7573"/>
    <cellStyle name="20% - Accent6 3 2 2 2 2 9" xfId="7574"/>
    <cellStyle name="20% - Accent6 3 2 2 2 3" xfId="7575"/>
    <cellStyle name="20% - Accent6 3 2 2 2 3 2" xfId="7576"/>
    <cellStyle name="20% - Accent6 3 2 2 2 3 2 2" xfId="7577"/>
    <cellStyle name="20% - Accent6 3 2 2 2 3 2 2 2" xfId="7578"/>
    <cellStyle name="20% - Accent6 3 2 2 2 3 2 3" xfId="7579"/>
    <cellStyle name="20% - Accent6 3 2 2 2 3 2 4" xfId="7580"/>
    <cellStyle name="20% - Accent6 3 2 2 2 3 3" xfId="7581"/>
    <cellStyle name="20% - Accent6 3 2 2 2 3 3 2" xfId="7582"/>
    <cellStyle name="20% - Accent6 3 2 2 2 3 4" xfId="7583"/>
    <cellStyle name="20% - Accent6 3 2 2 2 3 5" xfId="7584"/>
    <cellStyle name="20% - Accent6 3 2 2 2 4" xfId="7585"/>
    <cellStyle name="20% - Accent6 3 2 2 2 4 2" xfId="7586"/>
    <cellStyle name="20% - Accent6 3 2 2 2 4 2 2" xfId="7587"/>
    <cellStyle name="20% - Accent6 3 2 2 2 4 2 2 2" xfId="7588"/>
    <cellStyle name="20% - Accent6 3 2 2 2 4 2 3" xfId="7589"/>
    <cellStyle name="20% - Accent6 3 2 2 2 4 2 4" xfId="7590"/>
    <cellStyle name="20% - Accent6 3 2 2 2 4 3" xfId="7591"/>
    <cellStyle name="20% - Accent6 3 2 2 2 4 3 2" xfId="7592"/>
    <cellStyle name="20% - Accent6 3 2 2 2 4 4" xfId="7593"/>
    <cellStyle name="20% - Accent6 3 2 2 2 4 5" xfId="7594"/>
    <cellStyle name="20% - Accent6 3 2 2 2 5" xfId="7595"/>
    <cellStyle name="20% - Accent6 3 2 2 2 5 2" xfId="7596"/>
    <cellStyle name="20% - Accent6 3 2 2 2 5 2 2" xfId="7597"/>
    <cellStyle name="20% - Accent6 3 2 2 2 5 3" xfId="7598"/>
    <cellStyle name="20% - Accent6 3 2 2 2 5 4" xfId="7599"/>
    <cellStyle name="20% - Accent6 3 2 2 2 6" xfId="7600"/>
    <cellStyle name="20% - Accent6 3 2 2 2 6 2" xfId="7601"/>
    <cellStyle name="20% - Accent6 3 2 2 2 6 2 2" xfId="7602"/>
    <cellStyle name="20% - Accent6 3 2 2 2 6 3" xfId="7603"/>
    <cellStyle name="20% - Accent6 3 2 2 2 6 4" xfId="7604"/>
    <cellStyle name="20% - Accent6 3 2 2 2 7" xfId="7605"/>
    <cellStyle name="20% - Accent6 3 2 2 2 7 2" xfId="7606"/>
    <cellStyle name="20% - Accent6 3 2 2 2 7 2 2" xfId="7607"/>
    <cellStyle name="20% - Accent6 3 2 2 2 7 3" xfId="7608"/>
    <cellStyle name="20% - Accent6 3 2 2 2 7 4" xfId="7609"/>
    <cellStyle name="20% - Accent6 3 2 2 2 8" xfId="7610"/>
    <cellStyle name="20% - Accent6 3 2 2 2 8 2" xfId="7611"/>
    <cellStyle name="20% - Accent6 3 2 2 2 9" xfId="7612"/>
    <cellStyle name="20% - Accent6 3 2 2 3" xfId="7613"/>
    <cellStyle name="20% - Accent6 3 2 2 3 2" xfId="7614"/>
    <cellStyle name="20% - Accent6 3 2 2 3 2 2" xfId="7615"/>
    <cellStyle name="20% - Accent6 3 2 2 3 2 2 2" xfId="7616"/>
    <cellStyle name="20% - Accent6 3 2 2 3 2 2 2 2" xfId="7617"/>
    <cellStyle name="20% - Accent6 3 2 2 3 2 2 3" xfId="7618"/>
    <cellStyle name="20% - Accent6 3 2 2 3 2 2 4" xfId="7619"/>
    <cellStyle name="20% - Accent6 3 2 2 3 2 3" xfId="7620"/>
    <cellStyle name="20% - Accent6 3 2 2 3 2 3 2" xfId="7621"/>
    <cellStyle name="20% - Accent6 3 2 2 3 2 4" xfId="7622"/>
    <cellStyle name="20% - Accent6 3 2 2 3 2 5" xfId="7623"/>
    <cellStyle name="20% - Accent6 3 2 2 3 3" xfId="7624"/>
    <cellStyle name="20% - Accent6 3 2 2 3 3 2" xfId="7625"/>
    <cellStyle name="20% - Accent6 3 2 2 3 3 2 2" xfId="7626"/>
    <cellStyle name="20% - Accent6 3 2 2 3 3 2 2 2" xfId="7627"/>
    <cellStyle name="20% - Accent6 3 2 2 3 3 2 3" xfId="7628"/>
    <cellStyle name="20% - Accent6 3 2 2 3 3 2 4" xfId="7629"/>
    <cellStyle name="20% - Accent6 3 2 2 3 3 3" xfId="7630"/>
    <cellStyle name="20% - Accent6 3 2 2 3 3 3 2" xfId="7631"/>
    <cellStyle name="20% - Accent6 3 2 2 3 3 4" xfId="7632"/>
    <cellStyle name="20% - Accent6 3 2 2 3 3 5" xfId="7633"/>
    <cellStyle name="20% - Accent6 3 2 2 3 4" xfId="7634"/>
    <cellStyle name="20% - Accent6 3 2 2 3 4 2" xfId="7635"/>
    <cellStyle name="20% - Accent6 3 2 2 3 4 2 2" xfId="7636"/>
    <cellStyle name="20% - Accent6 3 2 2 3 4 3" xfId="7637"/>
    <cellStyle name="20% - Accent6 3 2 2 3 4 4" xfId="7638"/>
    <cellStyle name="20% - Accent6 3 2 2 3 5" xfId="7639"/>
    <cellStyle name="20% - Accent6 3 2 2 3 5 2" xfId="7640"/>
    <cellStyle name="20% - Accent6 3 2 2 3 5 2 2" xfId="7641"/>
    <cellStyle name="20% - Accent6 3 2 2 3 5 3" xfId="7642"/>
    <cellStyle name="20% - Accent6 3 2 2 3 5 4" xfId="7643"/>
    <cellStyle name="20% - Accent6 3 2 2 3 6" xfId="7644"/>
    <cellStyle name="20% - Accent6 3 2 2 3 6 2" xfId="7645"/>
    <cellStyle name="20% - Accent6 3 2 2 3 6 2 2" xfId="7646"/>
    <cellStyle name="20% - Accent6 3 2 2 3 6 3" xfId="7647"/>
    <cellStyle name="20% - Accent6 3 2 2 3 6 4" xfId="7648"/>
    <cellStyle name="20% - Accent6 3 2 2 3 7" xfId="7649"/>
    <cellStyle name="20% - Accent6 3 2 2 3 7 2" xfId="7650"/>
    <cellStyle name="20% - Accent6 3 2 2 3 8" xfId="7651"/>
    <cellStyle name="20% - Accent6 3 2 2 3 9" xfId="7652"/>
    <cellStyle name="20% - Accent6 3 2 2 4" xfId="7653"/>
    <cellStyle name="20% - Accent6 3 2 2 4 2" xfId="7654"/>
    <cellStyle name="20% - Accent6 3 2 2 4 2 2" xfId="7655"/>
    <cellStyle name="20% - Accent6 3 2 2 4 2 2 2" xfId="7656"/>
    <cellStyle name="20% - Accent6 3 2 2 4 2 3" xfId="7657"/>
    <cellStyle name="20% - Accent6 3 2 2 4 2 4" xfId="7658"/>
    <cellStyle name="20% - Accent6 3 2 2 4 3" xfId="7659"/>
    <cellStyle name="20% - Accent6 3 2 2 4 3 2" xfId="7660"/>
    <cellStyle name="20% - Accent6 3 2 2 4 4" xfId="7661"/>
    <cellStyle name="20% - Accent6 3 2 2 4 5" xfId="7662"/>
    <cellStyle name="20% - Accent6 3 2 2 5" xfId="7663"/>
    <cellStyle name="20% - Accent6 3 2 2 5 2" xfId="7664"/>
    <cellStyle name="20% - Accent6 3 2 2 5 2 2" xfId="7665"/>
    <cellStyle name="20% - Accent6 3 2 2 5 2 2 2" xfId="7666"/>
    <cellStyle name="20% - Accent6 3 2 2 5 2 3" xfId="7667"/>
    <cellStyle name="20% - Accent6 3 2 2 5 2 4" xfId="7668"/>
    <cellStyle name="20% - Accent6 3 2 2 5 3" xfId="7669"/>
    <cellStyle name="20% - Accent6 3 2 2 5 3 2" xfId="7670"/>
    <cellStyle name="20% - Accent6 3 2 2 5 4" xfId="7671"/>
    <cellStyle name="20% - Accent6 3 2 2 5 5" xfId="7672"/>
    <cellStyle name="20% - Accent6 3 2 2 6" xfId="7673"/>
    <cellStyle name="20% - Accent6 3 2 2 6 2" xfId="7674"/>
    <cellStyle name="20% - Accent6 3 2 2 6 2 2" xfId="7675"/>
    <cellStyle name="20% - Accent6 3 2 2 6 3" xfId="7676"/>
    <cellStyle name="20% - Accent6 3 2 2 6 4" xfId="7677"/>
    <cellStyle name="20% - Accent6 3 2 2 7" xfId="7678"/>
    <cellStyle name="20% - Accent6 3 2 2 7 2" xfId="7679"/>
    <cellStyle name="20% - Accent6 3 2 2 7 2 2" xfId="7680"/>
    <cellStyle name="20% - Accent6 3 2 2 7 3" xfId="7681"/>
    <cellStyle name="20% - Accent6 3 2 2 7 4" xfId="7682"/>
    <cellStyle name="20% - Accent6 3 2 2 8" xfId="7683"/>
    <cellStyle name="20% - Accent6 3 2 2 8 2" xfId="7684"/>
    <cellStyle name="20% - Accent6 3 2 2 8 2 2" xfId="7685"/>
    <cellStyle name="20% - Accent6 3 2 2 8 3" xfId="7686"/>
    <cellStyle name="20% - Accent6 3 2 2 8 4" xfId="7687"/>
    <cellStyle name="20% - Accent6 3 2 2 9" xfId="7688"/>
    <cellStyle name="20% - Accent6 3 2 2 9 2" xfId="7689"/>
    <cellStyle name="20% - Accent6 3 2 3" xfId="7690"/>
    <cellStyle name="20% - Accent6 3 2 3 10" xfId="7691"/>
    <cellStyle name="20% - Accent6 3 2 3 2" xfId="7692"/>
    <cellStyle name="20% - Accent6 3 2 3 2 2" xfId="7693"/>
    <cellStyle name="20% - Accent6 3 2 3 2 2 2" xfId="7694"/>
    <cellStyle name="20% - Accent6 3 2 3 2 2 2 2" xfId="7695"/>
    <cellStyle name="20% - Accent6 3 2 3 2 2 2 2 2" xfId="7696"/>
    <cellStyle name="20% - Accent6 3 2 3 2 2 2 3" xfId="7697"/>
    <cellStyle name="20% - Accent6 3 2 3 2 2 2 4" xfId="7698"/>
    <cellStyle name="20% - Accent6 3 2 3 2 2 3" xfId="7699"/>
    <cellStyle name="20% - Accent6 3 2 3 2 2 3 2" xfId="7700"/>
    <cellStyle name="20% - Accent6 3 2 3 2 2 4" xfId="7701"/>
    <cellStyle name="20% - Accent6 3 2 3 2 2 5" xfId="7702"/>
    <cellStyle name="20% - Accent6 3 2 3 2 3" xfId="7703"/>
    <cellStyle name="20% - Accent6 3 2 3 2 3 2" xfId="7704"/>
    <cellStyle name="20% - Accent6 3 2 3 2 3 2 2" xfId="7705"/>
    <cellStyle name="20% - Accent6 3 2 3 2 3 2 2 2" xfId="7706"/>
    <cellStyle name="20% - Accent6 3 2 3 2 3 2 3" xfId="7707"/>
    <cellStyle name="20% - Accent6 3 2 3 2 3 2 4" xfId="7708"/>
    <cellStyle name="20% - Accent6 3 2 3 2 3 3" xfId="7709"/>
    <cellStyle name="20% - Accent6 3 2 3 2 3 3 2" xfId="7710"/>
    <cellStyle name="20% - Accent6 3 2 3 2 3 4" xfId="7711"/>
    <cellStyle name="20% - Accent6 3 2 3 2 3 5" xfId="7712"/>
    <cellStyle name="20% - Accent6 3 2 3 2 4" xfId="7713"/>
    <cellStyle name="20% - Accent6 3 2 3 2 4 2" xfId="7714"/>
    <cellStyle name="20% - Accent6 3 2 3 2 4 2 2" xfId="7715"/>
    <cellStyle name="20% - Accent6 3 2 3 2 4 3" xfId="7716"/>
    <cellStyle name="20% - Accent6 3 2 3 2 4 4" xfId="7717"/>
    <cellStyle name="20% - Accent6 3 2 3 2 5" xfId="7718"/>
    <cellStyle name="20% - Accent6 3 2 3 2 5 2" xfId="7719"/>
    <cellStyle name="20% - Accent6 3 2 3 2 5 2 2" xfId="7720"/>
    <cellStyle name="20% - Accent6 3 2 3 2 5 3" xfId="7721"/>
    <cellStyle name="20% - Accent6 3 2 3 2 5 4" xfId="7722"/>
    <cellStyle name="20% - Accent6 3 2 3 2 6" xfId="7723"/>
    <cellStyle name="20% - Accent6 3 2 3 2 6 2" xfId="7724"/>
    <cellStyle name="20% - Accent6 3 2 3 2 6 2 2" xfId="7725"/>
    <cellStyle name="20% - Accent6 3 2 3 2 6 3" xfId="7726"/>
    <cellStyle name="20% - Accent6 3 2 3 2 6 4" xfId="7727"/>
    <cellStyle name="20% - Accent6 3 2 3 2 7" xfId="7728"/>
    <cellStyle name="20% - Accent6 3 2 3 2 7 2" xfId="7729"/>
    <cellStyle name="20% - Accent6 3 2 3 2 8" xfId="7730"/>
    <cellStyle name="20% - Accent6 3 2 3 2 9" xfId="7731"/>
    <cellStyle name="20% - Accent6 3 2 3 3" xfId="7732"/>
    <cellStyle name="20% - Accent6 3 2 3 3 2" xfId="7733"/>
    <cellStyle name="20% - Accent6 3 2 3 3 2 2" xfId="7734"/>
    <cellStyle name="20% - Accent6 3 2 3 3 2 2 2" xfId="7735"/>
    <cellStyle name="20% - Accent6 3 2 3 3 2 3" xfId="7736"/>
    <cellStyle name="20% - Accent6 3 2 3 3 2 4" xfId="7737"/>
    <cellStyle name="20% - Accent6 3 2 3 3 3" xfId="7738"/>
    <cellStyle name="20% - Accent6 3 2 3 3 3 2" xfId="7739"/>
    <cellStyle name="20% - Accent6 3 2 3 3 4" xfId="7740"/>
    <cellStyle name="20% - Accent6 3 2 3 3 5" xfId="7741"/>
    <cellStyle name="20% - Accent6 3 2 3 4" xfId="7742"/>
    <cellStyle name="20% - Accent6 3 2 3 4 2" xfId="7743"/>
    <cellStyle name="20% - Accent6 3 2 3 4 2 2" xfId="7744"/>
    <cellStyle name="20% - Accent6 3 2 3 4 2 2 2" xfId="7745"/>
    <cellStyle name="20% - Accent6 3 2 3 4 2 3" xfId="7746"/>
    <cellStyle name="20% - Accent6 3 2 3 4 2 4" xfId="7747"/>
    <cellStyle name="20% - Accent6 3 2 3 4 3" xfId="7748"/>
    <cellStyle name="20% - Accent6 3 2 3 4 3 2" xfId="7749"/>
    <cellStyle name="20% - Accent6 3 2 3 4 4" xfId="7750"/>
    <cellStyle name="20% - Accent6 3 2 3 4 5" xfId="7751"/>
    <cellStyle name="20% - Accent6 3 2 3 5" xfId="7752"/>
    <cellStyle name="20% - Accent6 3 2 3 5 2" xfId="7753"/>
    <cellStyle name="20% - Accent6 3 2 3 5 2 2" xfId="7754"/>
    <cellStyle name="20% - Accent6 3 2 3 5 3" xfId="7755"/>
    <cellStyle name="20% - Accent6 3 2 3 5 4" xfId="7756"/>
    <cellStyle name="20% - Accent6 3 2 3 6" xfId="7757"/>
    <cellStyle name="20% - Accent6 3 2 3 6 2" xfId="7758"/>
    <cellStyle name="20% - Accent6 3 2 3 6 2 2" xfId="7759"/>
    <cellStyle name="20% - Accent6 3 2 3 6 3" xfId="7760"/>
    <cellStyle name="20% - Accent6 3 2 3 6 4" xfId="7761"/>
    <cellStyle name="20% - Accent6 3 2 3 7" xfId="7762"/>
    <cellStyle name="20% - Accent6 3 2 3 7 2" xfId="7763"/>
    <cellStyle name="20% - Accent6 3 2 3 7 2 2" xfId="7764"/>
    <cellStyle name="20% - Accent6 3 2 3 7 3" xfId="7765"/>
    <cellStyle name="20% - Accent6 3 2 3 7 4" xfId="7766"/>
    <cellStyle name="20% - Accent6 3 2 3 8" xfId="7767"/>
    <cellStyle name="20% - Accent6 3 2 3 8 2" xfId="7768"/>
    <cellStyle name="20% - Accent6 3 2 3 9" xfId="7769"/>
    <cellStyle name="20% - Accent6 3 2 4" xfId="7770"/>
    <cellStyle name="20% - Accent6 3 2 4 2" xfId="7771"/>
    <cellStyle name="20% - Accent6 3 2 4 2 2" xfId="7772"/>
    <cellStyle name="20% - Accent6 3 2 4 2 2 2" xfId="7773"/>
    <cellStyle name="20% - Accent6 3 2 4 2 2 2 2" xfId="7774"/>
    <cellStyle name="20% - Accent6 3 2 4 2 2 3" xfId="7775"/>
    <cellStyle name="20% - Accent6 3 2 4 2 2 4" xfId="7776"/>
    <cellStyle name="20% - Accent6 3 2 4 2 3" xfId="7777"/>
    <cellStyle name="20% - Accent6 3 2 4 2 3 2" xfId="7778"/>
    <cellStyle name="20% - Accent6 3 2 4 2 4" xfId="7779"/>
    <cellStyle name="20% - Accent6 3 2 4 2 5" xfId="7780"/>
    <cellStyle name="20% - Accent6 3 2 4 3" xfId="7781"/>
    <cellStyle name="20% - Accent6 3 2 4 3 2" xfId="7782"/>
    <cellStyle name="20% - Accent6 3 2 4 3 2 2" xfId="7783"/>
    <cellStyle name="20% - Accent6 3 2 4 3 2 2 2" xfId="7784"/>
    <cellStyle name="20% - Accent6 3 2 4 3 2 3" xfId="7785"/>
    <cellStyle name="20% - Accent6 3 2 4 3 2 4" xfId="7786"/>
    <cellStyle name="20% - Accent6 3 2 4 3 3" xfId="7787"/>
    <cellStyle name="20% - Accent6 3 2 4 3 3 2" xfId="7788"/>
    <cellStyle name="20% - Accent6 3 2 4 3 4" xfId="7789"/>
    <cellStyle name="20% - Accent6 3 2 4 3 5" xfId="7790"/>
    <cellStyle name="20% - Accent6 3 2 4 4" xfId="7791"/>
    <cellStyle name="20% - Accent6 3 2 4 4 2" xfId="7792"/>
    <cellStyle name="20% - Accent6 3 2 4 4 2 2" xfId="7793"/>
    <cellStyle name="20% - Accent6 3 2 4 4 3" xfId="7794"/>
    <cellStyle name="20% - Accent6 3 2 4 4 4" xfId="7795"/>
    <cellStyle name="20% - Accent6 3 2 4 5" xfId="7796"/>
    <cellStyle name="20% - Accent6 3 2 4 5 2" xfId="7797"/>
    <cellStyle name="20% - Accent6 3 2 4 5 2 2" xfId="7798"/>
    <cellStyle name="20% - Accent6 3 2 4 5 3" xfId="7799"/>
    <cellStyle name="20% - Accent6 3 2 4 5 4" xfId="7800"/>
    <cellStyle name="20% - Accent6 3 2 4 6" xfId="7801"/>
    <cellStyle name="20% - Accent6 3 2 4 6 2" xfId="7802"/>
    <cellStyle name="20% - Accent6 3 2 4 6 2 2" xfId="7803"/>
    <cellStyle name="20% - Accent6 3 2 4 6 3" xfId="7804"/>
    <cellStyle name="20% - Accent6 3 2 4 6 4" xfId="7805"/>
    <cellStyle name="20% - Accent6 3 2 4 7" xfId="7806"/>
    <cellStyle name="20% - Accent6 3 2 4 7 2" xfId="7807"/>
    <cellStyle name="20% - Accent6 3 2 4 8" xfId="7808"/>
    <cellStyle name="20% - Accent6 3 2 4 9" xfId="7809"/>
    <cellStyle name="20% - Accent6 3 2 5" xfId="7810"/>
    <cellStyle name="20% - Accent6 3 2 5 2" xfId="7811"/>
    <cellStyle name="20% - Accent6 3 2 5 2 2" xfId="7812"/>
    <cellStyle name="20% - Accent6 3 2 5 2 2 2" xfId="7813"/>
    <cellStyle name="20% - Accent6 3 2 5 2 3" xfId="7814"/>
    <cellStyle name="20% - Accent6 3 2 5 2 4" xfId="7815"/>
    <cellStyle name="20% - Accent6 3 2 5 3" xfId="7816"/>
    <cellStyle name="20% - Accent6 3 2 5 3 2" xfId="7817"/>
    <cellStyle name="20% - Accent6 3 2 5 4" xfId="7818"/>
    <cellStyle name="20% - Accent6 3 2 5 5" xfId="7819"/>
    <cellStyle name="20% - Accent6 3 2 6" xfId="7820"/>
    <cellStyle name="20% - Accent6 3 2 6 2" xfId="7821"/>
    <cellStyle name="20% - Accent6 3 2 6 2 2" xfId="7822"/>
    <cellStyle name="20% - Accent6 3 2 6 2 2 2" xfId="7823"/>
    <cellStyle name="20% - Accent6 3 2 6 2 3" xfId="7824"/>
    <cellStyle name="20% - Accent6 3 2 6 2 4" xfId="7825"/>
    <cellStyle name="20% - Accent6 3 2 6 3" xfId="7826"/>
    <cellStyle name="20% - Accent6 3 2 6 3 2" xfId="7827"/>
    <cellStyle name="20% - Accent6 3 2 6 4" xfId="7828"/>
    <cellStyle name="20% - Accent6 3 2 6 5" xfId="7829"/>
    <cellStyle name="20% - Accent6 3 2 7" xfId="7830"/>
    <cellStyle name="20% - Accent6 3 2 7 2" xfId="7831"/>
    <cellStyle name="20% - Accent6 3 2 7 2 2" xfId="7832"/>
    <cellStyle name="20% - Accent6 3 2 7 3" xfId="7833"/>
    <cellStyle name="20% - Accent6 3 2 7 4" xfId="7834"/>
    <cellStyle name="20% - Accent6 3 2 8" xfId="7835"/>
    <cellStyle name="20% - Accent6 3 2 8 2" xfId="7836"/>
    <cellStyle name="20% - Accent6 3 2 8 2 2" xfId="7837"/>
    <cellStyle name="20% - Accent6 3 2 8 3" xfId="7838"/>
    <cellStyle name="20% - Accent6 3 2 8 4" xfId="7839"/>
    <cellStyle name="20% - Accent6 3 2 9" xfId="7840"/>
    <cellStyle name="20% - Accent6 3 2 9 2" xfId="7841"/>
    <cellStyle name="20% - Accent6 3 2 9 2 2" xfId="7842"/>
    <cellStyle name="20% - Accent6 3 2 9 3" xfId="7843"/>
    <cellStyle name="20% - Accent6 3 2 9 4" xfId="7844"/>
    <cellStyle name="20% - Accent6 3 3" xfId="7845"/>
    <cellStyle name="20% - Accent6 3 4" xfId="7846"/>
    <cellStyle name="20% - Accent6 3 5" xfId="7847"/>
    <cellStyle name="20% - Accent6 3 6" xfId="7524"/>
    <cellStyle name="20% - Accent6 4" xfId="7848"/>
    <cellStyle name="20% - Accent6 4 10" xfId="7849"/>
    <cellStyle name="20% - Accent6 4 10 2" xfId="7850"/>
    <cellStyle name="20% - Accent6 4 11" xfId="7851"/>
    <cellStyle name="20% - Accent6 4 12" xfId="7852"/>
    <cellStyle name="20% - Accent6 4 2" xfId="7853"/>
    <cellStyle name="20% - Accent6 4 2 10" xfId="7854"/>
    <cellStyle name="20% - Accent6 4 2 11" xfId="7855"/>
    <cellStyle name="20% - Accent6 4 2 2" xfId="7856"/>
    <cellStyle name="20% - Accent6 4 2 2 10" xfId="7857"/>
    <cellStyle name="20% - Accent6 4 2 2 2" xfId="7858"/>
    <cellStyle name="20% - Accent6 4 2 2 2 2" xfId="7859"/>
    <cellStyle name="20% - Accent6 4 2 2 2 2 2" xfId="7860"/>
    <cellStyle name="20% - Accent6 4 2 2 2 2 2 2" xfId="7861"/>
    <cellStyle name="20% - Accent6 4 2 2 2 2 2 2 2" xfId="7862"/>
    <cellStyle name="20% - Accent6 4 2 2 2 2 2 3" xfId="7863"/>
    <cellStyle name="20% - Accent6 4 2 2 2 2 2 4" xfId="7864"/>
    <cellStyle name="20% - Accent6 4 2 2 2 2 3" xfId="7865"/>
    <cellStyle name="20% - Accent6 4 2 2 2 2 3 2" xfId="7866"/>
    <cellStyle name="20% - Accent6 4 2 2 2 2 4" xfId="7867"/>
    <cellStyle name="20% - Accent6 4 2 2 2 2 5" xfId="7868"/>
    <cellStyle name="20% - Accent6 4 2 2 2 3" xfId="7869"/>
    <cellStyle name="20% - Accent6 4 2 2 2 3 2" xfId="7870"/>
    <cellStyle name="20% - Accent6 4 2 2 2 3 2 2" xfId="7871"/>
    <cellStyle name="20% - Accent6 4 2 2 2 3 2 2 2" xfId="7872"/>
    <cellStyle name="20% - Accent6 4 2 2 2 3 2 3" xfId="7873"/>
    <cellStyle name="20% - Accent6 4 2 2 2 3 2 4" xfId="7874"/>
    <cellStyle name="20% - Accent6 4 2 2 2 3 3" xfId="7875"/>
    <cellStyle name="20% - Accent6 4 2 2 2 3 3 2" xfId="7876"/>
    <cellStyle name="20% - Accent6 4 2 2 2 3 4" xfId="7877"/>
    <cellStyle name="20% - Accent6 4 2 2 2 3 5" xfId="7878"/>
    <cellStyle name="20% - Accent6 4 2 2 2 4" xfId="7879"/>
    <cellStyle name="20% - Accent6 4 2 2 2 4 2" xfId="7880"/>
    <cellStyle name="20% - Accent6 4 2 2 2 4 2 2" xfId="7881"/>
    <cellStyle name="20% - Accent6 4 2 2 2 4 3" xfId="7882"/>
    <cellStyle name="20% - Accent6 4 2 2 2 4 4" xfId="7883"/>
    <cellStyle name="20% - Accent6 4 2 2 2 5" xfId="7884"/>
    <cellStyle name="20% - Accent6 4 2 2 2 5 2" xfId="7885"/>
    <cellStyle name="20% - Accent6 4 2 2 2 5 2 2" xfId="7886"/>
    <cellStyle name="20% - Accent6 4 2 2 2 5 3" xfId="7887"/>
    <cellStyle name="20% - Accent6 4 2 2 2 5 4" xfId="7888"/>
    <cellStyle name="20% - Accent6 4 2 2 2 6" xfId="7889"/>
    <cellStyle name="20% - Accent6 4 2 2 2 6 2" xfId="7890"/>
    <cellStyle name="20% - Accent6 4 2 2 2 6 2 2" xfId="7891"/>
    <cellStyle name="20% - Accent6 4 2 2 2 6 3" xfId="7892"/>
    <cellStyle name="20% - Accent6 4 2 2 2 6 4" xfId="7893"/>
    <cellStyle name="20% - Accent6 4 2 2 2 7" xfId="7894"/>
    <cellStyle name="20% - Accent6 4 2 2 2 7 2" xfId="7895"/>
    <cellStyle name="20% - Accent6 4 2 2 2 8" xfId="7896"/>
    <cellStyle name="20% - Accent6 4 2 2 2 9" xfId="7897"/>
    <cellStyle name="20% - Accent6 4 2 2 3" xfId="7898"/>
    <cellStyle name="20% - Accent6 4 2 2 3 2" xfId="7899"/>
    <cellStyle name="20% - Accent6 4 2 2 3 2 2" xfId="7900"/>
    <cellStyle name="20% - Accent6 4 2 2 3 2 2 2" xfId="7901"/>
    <cellStyle name="20% - Accent6 4 2 2 3 2 3" xfId="7902"/>
    <cellStyle name="20% - Accent6 4 2 2 3 2 4" xfId="7903"/>
    <cellStyle name="20% - Accent6 4 2 2 3 3" xfId="7904"/>
    <cellStyle name="20% - Accent6 4 2 2 3 3 2" xfId="7905"/>
    <cellStyle name="20% - Accent6 4 2 2 3 4" xfId="7906"/>
    <cellStyle name="20% - Accent6 4 2 2 3 5" xfId="7907"/>
    <cellStyle name="20% - Accent6 4 2 2 4" xfId="7908"/>
    <cellStyle name="20% - Accent6 4 2 2 4 2" xfId="7909"/>
    <cellStyle name="20% - Accent6 4 2 2 4 2 2" xfId="7910"/>
    <cellStyle name="20% - Accent6 4 2 2 4 2 2 2" xfId="7911"/>
    <cellStyle name="20% - Accent6 4 2 2 4 2 3" xfId="7912"/>
    <cellStyle name="20% - Accent6 4 2 2 4 2 4" xfId="7913"/>
    <cellStyle name="20% - Accent6 4 2 2 4 3" xfId="7914"/>
    <cellStyle name="20% - Accent6 4 2 2 4 3 2" xfId="7915"/>
    <cellStyle name="20% - Accent6 4 2 2 4 4" xfId="7916"/>
    <cellStyle name="20% - Accent6 4 2 2 4 5" xfId="7917"/>
    <cellStyle name="20% - Accent6 4 2 2 5" xfId="7918"/>
    <cellStyle name="20% - Accent6 4 2 2 5 2" xfId="7919"/>
    <cellStyle name="20% - Accent6 4 2 2 5 2 2" xfId="7920"/>
    <cellStyle name="20% - Accent6 4 2 2 5 3" xfId="7921"/>
    <cellStyle name="20% - Accent6 4 2 2 5 4" xfId="7922"/>
    <cellStyle name="20% - Accent6 4 2 2 6" xfId="7923"/>
    <cellStyle name="20% - Accent6 4 2 2 6 2" xfId="7924"/>
    <cellStyle name="20% - Accent6 4 2 2 6 2 2" xfId="7925"/>
    <cellStyle name="20% - Accent6 4 2 2 6 3" xfId="7926"/>
    <cellStyle name="20% - Accent6 4 2 2 6 4" xfId="7927"/>
    <cellStyle name="20% - Accent6 4 2 2 7" xfId="7928"/>
    <cellStyle name="20% - Accent6 4 2 2 7 2" xfId="7929"/>
    <cellStyle name="20% - Accent6 4 2 2 7 2 2" xfId="7930"/>
    <cellStyle name="20% - Accent6 4 2 2 7 3" xfId="7931"/>
    <cellStyle name="20% - Accent6 4 2 2 7 4" xfId="7932"/>
    <cellStyle name="20% - Accent6 4 2 2 8" xfId="7933"/>
    <cellStyle name="20% - Accent6 4 2 2 8 2" xfId="7934"/>
    <cellStyle name="20% - Accent6 4 2 2 9" xfId="7935"/>
    <cellStyle name="20% - Accent6 4 2 3" xfId="7936"/>
    <cellStyle name="20% - Accent6 4 2 3 2" xfId="7937"/>
    <cellStyle name="20% - Accent6 4 2 3 2 2" xfId="7938"/>
    <cellStyle name="20% - Accent6 4 2 3 2 2 2" xfId="7939"/>
    <cellStyle name="20% - Accent6 4 2 3 2 2 2 2" xfId="7940"/>
    <cellStyle name="20% - Accent6 4 2 3 2 2 3" xfId="7941"/>
    <cellStyle name="20% - Accent6 4 2 3 2 2 4" xfId="7942"/>
    <cellStyle name="20% - Accent6 4 2 3 2 3" xfId="7943"/>
    <cellStyle name="20% - Accent6 4 2 3 2 3 2" xfId="7944"/>
    <cellStyle name="20% - Accent6 4 2 3 2 4" xfId="7945"/>
    <cellStyle name="20% - Accent6 4 2 3 2 5" xfId="7946"/>
    <cellStyle name="20% - Accent6 4 2 3 3" xfId="7947"/>
    <cellStyle name="20% - Accent6 4 2 3 3 2" xfId="7948"/>
    <cellStyle name="20% - Accent6 4 2 3 3 2 2" xfId="7949"/>
    <cellStyle name="20% - Accent6 4 2 3 3 2 2 2" xfId="7950"/>
    <cellStyle name="20% - Accent6 4 2 3 3 2 3" xfId="7951"/>
    <cellStyle name="20% - Accent6 4 2 3 3 2 4" xfId="7952"/>
    <cellStyle name="20% - Accent6 4 2 3 3 3" xfId="7953"/>
    <cellStyle name="20% - Accent6 4 2 3 3 3 2" xfId="7954"/>
    <cellStyle name="20% - Accent6 4 2 3 3 4" xfId="7955"/>
    <cellStyle name="20% - Accent6 4 2 3 3 5" xfId="7956"/>
    <cellStyle name="20% - Accent6 4 2 3 4" xfId="7957"/>
    <cellStyle name="20% - Accent6 4 2 3 4 2" xfId="7958"/>
    <cellStyle name="20% - Accent6 4 2 3 4 2 2" xfId="7959"/>
    <cellStyle name="20% - Accent6 4 2 3 4 3" xfId="7960"/>
    <cellStyle name="20% - Accent6 4 2 3 4 4" xfId="7961"/>
    <cellStyle name="20% - Accent6 4 2 3 5" xfId="7962"/>
    <cellStyle name="20% - Accent6 4 2 3 5 2" xfId="7963"/>
    <cellStyle name="20% - Accent6 4 2 3 5 2 2" xfId="7964"/>
    <cellStyle name="20% - Accent6 4 2 3 5 3" xfId="7965"/>
    <cellStyle name="20% - Accent6 4 2 3 5 4" xfId="7966"/>
    <cellStyle name="20% - Accent6 4 2 3 6" xfId="7967"/>
    <cellStyle name="20% - Accent6 4 2 3 6 2" xfId="7968"/>
    <cellStyle name="20% - Accent6 4 2 3 6 2 2" xfId="7969"/>
    <cellStyle name="20% - Accent6 4 2 3 6 3" xfId="7970"/>
    <cellStyle name="20% - Accent6 4 2 3 6 4" xfId="7971"/>
    <cellStyle name="20% - Accent6 4 2 3 7" xfId="7972"/>
    <cellStyle name="20% - Accent6 4 2 3 7 2" xfId="7973"/>
    <cellStyle name="20% - Accent6 4 2 3 8" xfId="7974"/>
    <cellStyle name="20% - Accent6 4 2 3 9" xfId="7975"/>
    <cellStyle name="20% - Accent6 4 2 4" xfId="7976"/>
    <cellStyle name="20% - Accent6 4 2 4 2" xfId="7977"/>
    <cellStyle name="20% - Accent6 4 2 4 2 2" xfId="7978"/>
    <cellStyle name="20% - Accent6 4 2 4 2 2 2" xfId="7979"/>
    <cellStyle name="20% - Accent6 4 2 4 2 3" xfId="7980"/>
    <cellStyle name="20% - Accent6 4 2 4 2 4" xfId="7981"/>
    <cellStyle name="20% - Accent6 4 2 4 3" xfId="7982"/>
    <cellStyle name="20% - Accent6 4 2 4 3 2" xfId="7983"/>
    <cellStyle name="20% - Accent6 4 2 4 4" xfId="7984"/>
    <cellStyle name="20% - Accent6 4 2 4 5" xfId="7985"/>
    <cellStyle name="20% - Accent6 4 2 5" xfId="7986"/>
    <cellStyle name="20% - Accent6 4 2 5 2" xfId="7987"/>
    <cellStyle name="20% - Accent6 4 2 5 2 2" xfId="7988"/>
    <cellStyle name="20% - Accent6 4 2 5 2 2 2" xfId="7989"/>
    <cellStyle name="20% - Accent6 4 2 5 2 3" xfId="7990"/>
    <cellStyle name="20% - Accent6 4 2 5 2 4" xfId="7991"/>
    <cellStyle name="20% - Accent6 4 2 5 3" xfId="7992"/>
    <cellStyle name="20% - Accent6 4 2 5 3 2" xfId="7993"/>
    <cellStyle name="20% - Accent6 4 2 5 4" xfId="7994"/>
    <cellStyle name="20% - Accent6 4 2 5 5" xfId="7995"/>
    <cellStyle name="20% - Accent6 4 2 6" xfId="7996"/>
    <cellStyle name="20% - Accent6 4 2 6 2" xfId="7997"/>
    <cellStyle name="20% - Accent6 4 2 6 2 2" xfId="7998"/>
    <cellStyle name="20% - Accent6 4 2 6 3" xfId="7999"/>
    <cellStyle name="20% - Accent6 4 2 6 4" xfId="8000"/>
    <cellStyle name="20% - Accent6 4 2 7" xfId="8001"/>
    <cellStyle name="20% - Accent6 4 2 7 2" xfId="8002"/>
    <cellStyle name="20% - Accent6 4 2 7 2 2" xfId="8003"/>
    <cellStyle name="20% - Accent6 4 2 7 3" xfId="8004"/>
    <cellStyle name="20% - Accent6 4 2 7 4" xfId="8005"/>
    <cellStyle name="20% - Accent6 4 2 8" xfId="8006"/>
    <cellStyle name="20% - Accent6 4 2 8 2" xfId="8007"/>
    <cellStyle name="20% - Accent6 4 2 8 2 2" xfId="8008"/>
    <cellStyle name="20% - Accent6 4 2 8 3" xfId="8009"/>
    <cellStyle name="20% - Accent6 4 2 8 4" xfId="8010"/>
    <cellStyle name="20% - Accent6 4 2 9" xfId="8011"/>
    <cellStyle name="20% - Accent6 4 2 9 2" xfId="8012"/>
    <cellStyle name="20% - Accent6 4 3" xfId="8013"/>
    <cellStyle name="20% - Accent6 4 3 10" xfId="8014"/>
    <cellStyle name="20% - Accent6 4 3 2" xfId="8015"/>
    <cellStyle name="20% - Accent6 4 3 2 2" xfId="8016"/>
    <cellStyle name="20% - Accent6 4 3 2 2 2" xfId="8017"/>
    <cellStyle name="20% - Accent6 4 3 2 2 2 2" xfId="8018"/>
    <cellStyle name="20% - Accent6 4 3 2 2 2 2 2" xfId="8019"/>
    <cellStyle name="20% - Accent6 4 3 2 2 2 3" xfId="8020"/>
    <cellStyle name="20% - Accent6 4 3 2 2 2 4" xfId="8021"/>
    <cellStyle name="20% - Accent6 4 3 2 2 3" xfId="8022"/>
    <cellStyle name="20% - Accent6 4 3 2 2 3 2" xfId="8023"/>
    <cellStyle name="20% - Accent6 4 3 2 2 4" xfId="8024"/>
    <cellStyle name="20% - Accent6 4 3 2 2 5" xfId="8025"/>
    <cellStyle name="20% - Accent6 4 3 2 3" xfId="8026"/>
    <cellStyle name="20% - Accent6 4 3 2 3 2" xfId="8027"/>
    <cellStyle name="20% - Accent6 4 3 2 3 2 2" xfId="8028"/>
    <cellStyle name="20% - Accent6 4 3 2 3 2 2 2" xfId="8029"/>
    <cellStyle name="20% - Accent6 4 3 2 3 2 3" xfId="8030"/>
    <cellStyle name="20% - Accent6 4 3 2 3 2 4" xfId="8031"/>
    <cellStyle name="20% - Accent6 4 3 2 3 3" xfId="8032"/>
    <cellStyle name="20% - Accent6 4 3 2 3 3 2" xfId="8033"/>
    <cellStyle name="20% - Accent6 4 3 2 3 4" xfId="8034"/>
    <cellStyle name="20% - Accent6 4 3 2 3 5" xfId="8035"/>
    <cellStyle name="20% - Accent6 4 3 2 4" xfId="8036"/>
    <cellStyle name="20% - Accent6 4 3 2 4 2" xfId="8037"/>
    <cellStyle name="20% - Accent6 4 3 2 4 2 2" xfId="8038"/>
    <cellStyle name="20% - Accent6 4 3 2 4 3" xfId="8039"/>
    <cellStyle name="20% - Accent6 4 3 2 4 4" xfId="8040"/>
    <cellStyle name="20% - Accent6 4 3 2 5" xfId="8041"/>
    <cellStyle name="20% - Accent6 4 3 2 5 2" xfId="8042"/>
    <cellStyle name="20% - Accent6 4 3 2 5 2 2" xfId="8043"/>
    <cellStyle name="20% - Accent6 4 3 2 5 3" xfId="8044"/>
    <cellStyle name="20% - Accent6 4 3 2 5 4" xfId="8045"/>
    <cellStyle name="20% - Accent6 4 3 2 6" xfId="8046"/>
    <cellStyle name="20% - Accent6 4 3 2 6 2" xfId="8047"/>
    <cellStyle name="20% - Accent6 4 3 2 6 2 2" xfId="8048"/>
    <cellStyle name="20% - Accent6 4 3 2 6 3" xfId="8049"/>
    <cellStyle name="20% - Accent6 4 3 2 6 4" xfId="8050"/>
    <cellStyle name="20% - Accent6 4 3 2 7" xfId="8051"/>
    <cellStyle name="20% - Accent6 4 3 2 7 2" xfId="8052"/>
    <cellStyle name="20% - Accent6 4 3 2 8" xfId="8053"/>
    <cellStyle name="20% - Accent6 4 3 2 9" xfId="8054"/>
    <cellStyle name="20% - Accent6 4 3 3" xfId="8055"/>
    <cellStyle name="20% - Accent6 4 3 3 2" xfId="8056"/>
    <cellStyle name="20% - Accent6 4 3 3 2 2" xfId="8057"/>
    <cellStyle name="20% - Accent6 4 3 3 2 2 2" xfId="8058"/>
    <cellStyle name="20% - Accent6 4 3 3 2 3" xfId="8059"/>
    <cellStyle name="20% - Accent6 4 3 3 2 4" xfId="8060"/>
    <cellStyle name="20% - Accent6 4 3 3 3" xfId="8061"/>
    <cellStyle name="20% - Accent6 4 3 3 3 2" xfId="8062"/>
    <cellStyle name="20% - Accent6 4 3 3 4" xfId="8063"/>
    <cellStyle name="20% - Accent6 4 3 3 5" xfId="8064"/>
    <cellStyle name="20% - Accent6 4 3 4" xfId="8065"/>
    <cellStyle name="20% - Accent6 4 3 4 2" xfId="8066"/>
    <cellStyle name="20% - Accent6 4 3 4 2 2" xfId="8067"/>
    <cellStyle name="20% - Accent6 4 3 4 2 2 2" xfId="8068"/>
    <cellStyle name="20% - Accent6 4 3 4 2 3" xfId="8069"/>
    <cellStyle name="20% - Accent6 4 3 4 2 4" xfId="8070"/>
    <cellStyle name="20% - Accent6 4 3 4 3" xfId="8071"/>
    <cellStyle name="20% - Accent6 4 3 4 3 2" xfId="8072"/>
    <cellStyle name="20% - Accent6 4 3 4 4" xfId="8073"/>
    <cellStyle name="20% - Accent6 4 3 4 5" xfId="8074"/>
    <cellStyle name="20% - Accent6 4 3 5" xfId="8075"/>
    <cellStyle name="20% - Accent6 4 3 5 2" xfId="8076"/>
    <cellStyle name="20% - Accent6 4 3 5 2 2" xfId="8077"/>
    <cellStyle name="20% - Accent6 4 3 5 3" xfId="8078"/>
    <cellStyle name="20% - Accent6 4 3 5 4" xfId="8079"/>
    <cellStyle name="20% - Accent6 4 3 6" xfId="8080"/>
    <cellStyle name="20% - Accent6 4 3 6 2" xfId="8081"/>
    <cellStyle name="20% - Accent6 4 3 6 2 2" xfId="8082"/>
    <cellStyle name="20% - Accent6 4 3 6 3" xfId="8083"/>
    <cellStyle name="20% - Accent6 4 3 6 4" xfId="8084"/>
    <cellStyle name="20% - Accent6 4 3 7" xfId="8085"/>
    <cellStyle name="20% - Accent6 4 3 7 2" xfId="8086"/>
    <cellStyle name="20% - Accent6 4 3 7 2 2" xfId="8087"/>
    <cellStyle name="20% - Accent6 4 3 7 3" xfId="8088"/>
    <cellStyle name="20% - Accent6 4 3 7 4" xfId="8089"/>
    <cellStyle name="20% - Accent6 4 3 8" xfId="8090"/>
    <cellStyle name="20% - Accent6 4 3 8 2" xfId="8091"/>
    <cellStyle name="20% - Accent6 4 3 9" xfId="8092"/>
    <cellStyle name="20% - Accent6 4 4" xfId="8093"/>
    <cellStyle name="20% - Accent6 4 4 2" xfId="8094"/>
    <cellStyle name="20% - Accent6 4 4 2 2" xfId="8095"/>
    <cellStyle name="20% - Accent6 4 4 2 2 2" xfId="8096"/>
    <cellStyle name="20% - Accent6 4 4 2 2 2 2" xfId="8097"/>
    <cellStyle name="20% - Accent6 4 4 2 2 3" xfId="8098"/>
    <cellStyle name="20% - Accent6 4 4 2 2 4" xfId="8099"/>
    <cellStyle name="20% - Accent6 4 4 2 3" xfId="8100"/>
    <cellStyle name="20% - Accent6 4 4 2 3 2" xfId="8101"/>
    <cellStyle name="20% - Accent6 4 4 2 4" xfId="8102"/>
    <cellStyle name="20% - Accent6 4 4 2 5" xfId="8103"/>
    <cellStyle name="20% - Accent6 4 4 3" xfId="8104"/>
    <cellStyle name="20% - Accent6 4 4 3 2" xfId="8105"/>
    <cellStyle name="20% - Accent6 4 4 3 2 2" xfId="8106"/>
    <cellStyle name="20% - Accent6 4 4 3 2 2 2" xfId="8107"/>
    <cellStyle name="20% - Accent6 4 4 3 2 3" xfId="8108"/>
    <cellStyle name="20% - Accent6 4 4 3 2 4" xfId="8109"/>
    <cellStyle name="20% - Accent6 4 4 3 3" xfId="8110"/>
    <cellStyle name="20% - Accent6 4 4 3 3 2" xfId="8111"/>
    <cellStyle name="20% - Accent6 4 4 3 4" xfId="8112"/>
    <cellStyle name="20% - Accent6 4 4 3 5" xfId="8113"/>
    <cellStyle name="20% - Accent6 4 4 4" xfId="8114"/>
    <cellStyle name="20% - Accent6 4 4 4 2" xfId="8115"/>
    <cellStyle name="20% - Accent6 4 4 4 2 2" xfId="8116"/>
    <cellStyle name="20% - Accent6 4 4 4 3" xfId="8117"/>
    <cellStyle name="20% - Accent6 4 4 4 4" xfId="8118"/>
    <cellStyle name="20% - Accent6 4 4 5" xfId="8119"/>
    <cellStyle name="20% - Accent6 4 4 5 2" xfId="8120"/>
    <cellStyle name="20% - Accent6 4 4 5 2 2" xfId="8121"/>
    <cellStyle name="20% - Accent6 4 4 5 3" xfId="8122"/>
    <cellStyle name="20% - Accent6 4 4 5 4" xfId="8123"/>
    <cellStyle name="20% - Accent6 4 4 6" xfId="8124"/>
    <cellStyle name="20% - Accent6 4 4 6 2" xfId="8125"/>
    <cellStyle name="20% - Accent6 4 4 6 2 2" xfId="8126"/>
    <cellStyle name="20% - Accent6 4 4 6 3" xfId="8127"/>
    <cellStyle name="20% - Accent6 4 4 6 4" xfId="8128"/>
    <cellStyle name="20% - Accent6 4 4 7" xfId="8129"/>
    <cellStyle name="20% - Accent6 4 4 7 2" xfId="8130"/>
    <cellStyle name="20% - Accent6 4 4 8" xfId="8131"/>
    <cellStyle name="20% - Accent6 4 4 9" xfId="8132"/>
    <cellStyle name="20% - Accent6 4 5" xfId="8133"/>
    <cellStyle name="20% - Accent6 4 5 2" xfId="8134"/>
    <cellStyle name="20% - Accent6 4 5 2 2" xfId="8135"/>
    <cellStyle name="20% - Accent6 4 5 2 2 2" xfId="8136"/>
    <cellStyle name="20% - Accent6 4 5 2 3" xfId="8137"/>
    <cellStyle name="20% - Accent6 4 5 2 4" xfId="8138"/>
    <cellStyle name="20% - Accent6 4 5 3" xfId="8139"/>
    <cellStyle name="20% - Accent6 4 5 4" xfId="8140"/>
    <cellStyle name="20% - Accent6 4 5 4 2" xfId="8141"/>
    <cellStyle name="20% - Accent6 4 5 5" xfId="8142"/>
    <cellStyle name="20% - Accent6 4 5 6" xfId="8143"/>
    <cellStyle name="20% - Accent6 4 6" xfId="8144"/>
    <cellStyle name="20% - Accent6 4 6 2" xfId="8145"/>
    <cellStyle name="20% - Accent6 4 6 2 2" xfId="8146"/>
    <cellStyle name="20% - Accent6 4 6 2 2 2" xfId="8147"/>
    <cellStyle name="20% - Accent6 4 6 2 3" xfId="8148"/>
    <cellStyle name="20% - Accent6 4 6 2 4" xfId="8149"/>
    <cellStyle name="20% - Accent6 4 6 3" xfId="8150"/>
    <cellStyle name="20% - Accent6 4 6 3 2" xfId="8151"/>
    <cellStyle name="20% - Accent6 4 6 3 2 2" xfId="8152"/>
    <cellStyle name="20% - Accent6 4 6 3 3" xfId="8153"/>
    <cellStyle name="20% - Accent6 4 6 3 4" xfId="8154"/>
    <cellStyle name="20% - Accent6 4 6 4" xfId="8155"/>
    <cellStyle name="20% - Accent6 4 6 4 2" xfId="8156"/>
    <cellStyle name="20% - Accent6 4 6 5" xfId="8157"/>
    <cellStyle name="20% - Accent6 4 6 6" xfId="8158"/>
    <cellStyle name="20% - Accent6 4 7" xfId="8159"/>
    <cellStyle name="20% - Accent6 4 7 2" xfId="8160"/>
    <cellStyle name="20% - Accent6 4 7 2 2" xfId="8161"/>
    <cellStyle name="20% - Accent6 4 7 3" xfId="8162"/>
    <cellStyle name="20% - Accent6 4 7 4" xfId="8163"/>
    <cellStyle name="20% - Accent6 4 8" xfId="8164"/>
    <cellStyle name="20% - Accent6 4 8 2" xfId="8165"/>
    <cellStyle name="20% - Accent6 4 8 2 2" xfId="8166"/>
    <cellStyle name="20% - Accent6 4 8 3" xfId="8167"/>
    <cellStyle name="20% - Accent6 4 8 4" xfId="8168"/>
    <cellStyle name="20% - Accent6 4 9" xfId="8169"/>
    <cellStyle name="20% - Accent6 4 9 2" xfId="8170"/>
    <cellStyle name="20% - Accent6 4 9 2 2" xfId="8171"/>
    <cellStyle name="20% - Accent6 4 9 3" xfId="8172"/>
    <cellStyle name="20% - Accent6 4 9 4" xfId="8173"/>
    <cellStyle name="20% - Accent6 5" xfId="8174"/>
    <cellStyle name="20% - Accent6 5 10" xfId="8175"/>
    <cellStyle name="20% - Accent6 5 10 2" xfId="8176"/>
    <cellStyle name="20% - Accent6 5 11" xfId="8177"/>
    <cellStyle name="20% - Accent6 5 12" xfId="8178"/>
    <cellStyle name="20% - Accent6 5 2" xfId="8179"/>
    <cellStyle name="20% - Accent6 5 2 10" xfId="8180"/>
    <cellStyle name="20% - Accent6 5 2 11" xfId="8181"/>
    <cellStyle name="20% - Accent6 5 2 2" xfId="8182"/>
    <cellStyle name="20% - Accent6 5 2 2 10" xfId="8183"/>
    <cellStyle name="20% - Accent6 5 2 2 2" xfId="8184"/>
    <cellStyle name="20% - Accent6 5 2 2 2 2" xfId="8185"/>
    <cellStyle name="20% - Accent6 5 2 2 2 2 2" xfId="8186"/>
    <cellStyle name="20% - Accent6 5 2 2 2 2 2 2" xfId="8187"/>
    <cellStyle name="20% - Accent6 5 2 2 2 2 2 2 2" xfId="8188"/>
    <cellStyle name="20% - Accent6 5 2 2 2 2 2 3" xfId="8189"/>
    <cellStyle name="20% - Accent6 5 2 2 2 2 2 4" xfId="8190"/>
    <cellStyle name="20% - Accent6 5 2 2 2 2 3" xfId="8191"/>
    <cellStyle name="20% - Accent6 5 2 2 2 2 3 2" xfId="8192"/>
    <cellStyle name="20% - Accent6 5 2 2 2 2 4" xfId="8193"/>
    <cellStyle name="20% - Accent6 5 2 2 2 2 5" xfId="8194"/>
    <cellStyle name="20% - Accent6 5 2 2 2 3" xfId="8195"/>
    <cellStyle name="20% - Accent6 5 2 2 2 3 2" xfId="8196"/>
    <cellStyle name="20% - Accent6 5 2 2 2 3 2 2" xfId="8197"/>
    <cellStyle name="20% - Accent6 5 2 2 2 3 2 2 2" xfId="8198"/>
    <cellStyle name="20% - Accent6 5 2 2 2 3 2 3" xfId="8199"/>
    <cellStyle name="20% - Accent6 5 2 2 2 3 2 4" xfId="8200"/>
    <cellStyle name="20% - Accent6 5 2 2 2 3 3" xfId="8201"/>
    <cellStyle name="20% - Accent6 5 2 2 2 3 3 2" xfId="8202"/>
    <cellStyle name="20% - Accent6 5 2 2 2 3 4" xfId="8203"/>
    <cellStyle name="20% - Accent6 5 2 2 2 3 5" xfId="8204"/>
    <cellStyle name="20% - Accent6 5 2 2 2 4" xfId="8205"/>
    <cellStyle name="20% - Accent6 5 2 2 2 4 2" xfId="8206"/>
    <cellStyle name="20% - Accent6 5 2 2 2 4 2 2" xfId="8207"/>
    <cellStyle name="20% - Accent6 5 2 2 2 4 3" xfId="8208"/>
    <cellStyle name="20% - Accent6 5 2 2 2 4 4" xfId="8209"/>
    <cellStyle name="20% - Accent6 5 2 2 2 5" xfId="8210"/>
    <cellStyle name="20% - Accent6 5 2 2 2 5 2" xfId="8211"/>
    <cellStyle name="20% - Accent6 5 2 2 2 5 2 2" xfId="8212"/>
    <cellStyle name="20% - Accent6 5 2 2 2 5 3" xfId="8213"/>
    <cellStyle name="20% - Accent6 5 2 2 2 5 4" xfId="8214"/>
    <cellStyle name="20% - Accent6 5 2 2 2 6" xfId="8215"/>
    <cellStyle name="20% - Accent6 5 2 2 2 6 2" xfId="8216"/>
    <cellStyle name="20% - Accent6 5 2 2 2 6 2 2" xfId="8217"/>
    <cellStyle name="20% - Accent6 5 2 2 2 6 3" xfId="8218"/>
    <cellStyle name="20% - Accent6 5 2 2 2 6 4" xfId="8219"/>
    <cellStyle name="20% - Accent6 5 2 2 2 7" xfId="8220"/>
    <cellStyle name="20% - Accent6 5 2 2 2 7 2" xfId="8221"/>
    <cellStyle name="20% - Accent6 5 2 2 2 8" xfId="8222"/>
    <cellStyle name="20% - Accent6 5 2 2 2 9" xfId="8223"/>
    <cellStyle name="20% - Accent6 5 2 2 3" xfId="8224"/>
    <cellStyle name="20% - Accent6 5 2 2 3 2" xfId="8225"/>
    <cellStyle name="20% - Accent6 5 2 2 3 2 2" xfId="8226"/>
    <cellStyle name="20% - Accent6 5 2 2 3 2 2 2" xfId="8227"/>
    <cellStyle name="20% - Accent6 5 2 2 3 2 3" xfId="8228"/>
    <cellStyle name="20% - Accent6 5 2 2 3 2 4" xfId="8229"/>
    <cellStyle name="20% - Accent6 5 2 2 3 3" xfId="8230"/>
    <cellStyle name="20% - Accent6 5 2 2 3 3 2" xfId="8231"/>
    <cellStyle name="20% - Accent6 5 2 2 3 4" xfId="8232"/>
    <cellStyle name="20% - Accent6 5 2 2 3 5" xfId="8233"/>
    <cellStyle name="20% - Accent6 5 2 2 4" xfId="8234"/>
    <cellStyle name="20% - Accent6 5 2 2 4 2" xfId="8235"/>
    <cellStyle name="20% - Accent6 5 2 2 4 2 2" xfId="8236"/>
    <cellStyle name="20% - Accent6 5 2 2 4 2 2 2" xfId="8237"/>
    <cellStyle name="20% - Accent6 5 2 2 4 2 3" xfId="8238"/>
    <cellStyle name="20% - Accent6 5 2 2 4 2 4" xfId="8239"/>
    <cellStyle name="20% - Accent6 5 2 2 4 3" xfId="8240"/>
    <cellStyle name="20% - Accent6 5 2 2 4 3 2" xfId="8241"/>
    <cellStyle name="20% - Accent6 5 2 2 4 4" xfId="8242"/>
    <cellStyle name="20% - Accent6 5 2 2 4 5" xfId="8243"/>
    <cellStyle name="20% - Accent6 5 2 2 5" xfId="8244"/>
    <cellStyle name="20% - Accent6 5 2 2 5 2" xfId="8245"/>
    <cellStyle name="20% - Accent6 5 2 2 5 2 2" xfId="8246"/>
    <cellStyle name="20% - Accent6 5 2 2 5 3" xfId="8247"/>
    <cellStyle name="20% - Accent6 5 2 2 5 4" xfId="8248"/>
    <cellStyle name="20% - Accent6 5 2 2 6" xfId="8249"/>
    <cellStyle name="20% - Accent6 5 2 2 6 2" xfId="8250"/>
    <cellStyle name="20% - Accent6 5 2 2 6 2 2" xfId="8251"/>
    <cellStyle name="20% - Accent6 5 2 2 6 3" xfId="8252"/>
    <cellStyle name="20% - Accent6 5 2 2 6 4" xfId="8253"/>
    <cellStyle name="20% - Accent6 5 2 2 7" xfId="8254"/>
    <cellStyle name="20% - Accent6 5 2 2 7 2" xfId="8255"/>
    <cellStyle name="20% - Accent6 5 2 2 7 2 2" xfId="8256"/>
    <cellStyle name="20% - Accent6 5 2 2 7 3" xfId="8257"/>
    <cellStyle name="20% - Accent6 5 2 2 7 4" xfId="8258"/>
    <cellStyle name="20% - Accent6 5 2 2 8" xfId="8259"/>
    <cellStyle name="20% - Accent6 5 2 2 8 2" xfId="8260"/>
    <cellStyle name="20% - Accent6 5 2 2 9" xfId="8261"/>
    <cellStyle name="20% - Accent6 5 2 3" xfId="8262"/>
    <cellStyle name="20% - Accent6 5 2 3 2" xfId="8263"/>
    <cellStyle name="20% - Accent6 5 2 3 2 2" xfId="8264"/>
    <cellStyle name="20% - Accent6 5 2 3 2 2 2" xfId="8265"/>
    <cellStyle name="20% - Accent6 5 2 3 2 2 2 2" xfId="8266"/>
    <cellStyle name="20% - Accent6 5 2 3 2 2 3" xfId="8267"/>
    <cellStyle name="20% - Accent6 5 2 3 2 2 4" xfId="8268"/>
    <cellStyle name="20% - Accent6 5 2 3 2 3" xfId="8269"/>
    <cellStyle name="20% - Accent6 5 2 3 2 3 2" xfId="8270"/>
    <cellStyle name="20% - Accent6 5 2 3 2 4" xfId="8271"/>
    <cellStyle name="20% - Accent6 5 2 3 2 5" xfId="8272"/>
    <cellStyle name="20% - Accent6 5 2 3 3" xfId="8273"/>
    <cellStyle name="20% - Accent6 5 2 3 3 2" xfId="8274"/>
    <cellStyle name="20% - Accent6 5 2 3 3 2 2" xfId="8275"/>
    <cellStyle name="20% - Accent6 5 2 3 3 2 2 2" xfId="8276"/>
    <cellStyle name="20% - Accent6 5 2 3 3 2 3" xfId="8277"/>
    <cellStyle name="20% - Accent6 5 2 3 3 2 4" xfId="8278"/>
    <cellStyle name="20% - Accent6 5 2 3 3 3" xfId="8279"/>
    <cellStyle name="20% - Accent6 5 2 3 3 3 2" xfId="8280"/>
    <cellStyle name="20% - Accent6 5 2 3 3 4" xfId="8281"/>
    <cellStyle name="20% - Accent6 5 2 3 3 5" xfId="8282"/>
    <cellStyle name="20% - Accent6 5 2 3 4" xfId="8283"/>
    <cellStyle name="20% - Accent6 5 2 3 4 2" xfId="8284"/>
    <cellStyle name="20% - Accent6 5 2 3 4 2 2" xfId="8285"/>
    <cellStyle name="20% - Accent6 5 2 3 4 3" xfId="8286"/>
    <cellStyle name="20% - Accent6 5 2 3 4 4" xfId="8287"/>
    <cellStyle name="20% - Accent6 5 2 3 5" xfId="8288"/>
    <cellStyle name="20% - Accent6 5 2 3 5 2" xfId="8289"/>
    <cellStyle name="20% - Accent6 5 2 3 5 2 2" xfId="8290"/>
    <cellStyle name="20% - Accent6 5 2 3 5 3" xfId="8291"/>
    <cellStyle name="20% - Accent6 5 2 3 5 4" xfId="8292"/>
    <cellStyle name="20% - Accent6 5 2 3 6" xfId="8293"/>
    <cellStyle name="20% - Accent6 5 2 3 6 2" xfId="8294"/>
    <cellStyle name="20% - Accent6 5 2 3 6 2 2" xfId="8295"/>
    <cellStyle name="20% - Accent6 5 2 3 6 3" xfId="8296"/>
    <cellStyle name="20% - Accent6 5 2 3 6 4" xfId="8297"/>
    <cellStyle name="20% - Accent6 5 2 3 7" xfId="8298"/>
    <cellStyle name="20% - Accent6 5 2 3 7 2" xfId="8299"/>
    <cellStyle name="20% - Accent6 5 2 3 8" xfId="8300"/>
    <cellStyle name="20% - Accent6 5 2 3 9" xfId="8301"/>
    <cellStyle name="20% - Accent6 5 2 4" xfId="8302"/>
    <cellStyle name="20% - Accent6 5 2 4 2" xfId="8303"/>
    <cellStyle name="20% - Accent6 5 2 4 2 2" xfId="8304"/>
    <cellStyle name="20% - Accent6 5 2 4 2 2 2" xfId="8305"/>
    <cellStyle name="20% - Accent6 5 2 4 2 3" xfId="8306"/>
    <cellStyle name="20% - Accent6 5 2 4 2 4" xfId="8307"/>
    <cellStyle name="20% - Accent6 5 2 4 3" xfId="8308"/>
    <cellStyle name="20% - Accent6 5 2 4 3 2" xfId="8309"/>
    <cellStyle name="20% - Accent6 5 2 4 4" xfId="8310"/>
    <cellStyle name="20% - Accent6 5 2 4 5" xfId="8311"/>
    <cellStyle name="20% - Accent6 5 2 5" xfId="8312"/>
    <cellStyle name="20% - Accent6 5 2 5 2" xfId="8313"/>
    <cellStyle name="20% - Accent6 5 2 5 2 2" xfId="8314"/>
    <cellStyle name="20% - Accent6 5 2 5 2 2 2" xfId="8315"/>
    <cellStyle name="20% - Accent6 5 2 5 2 3" xfId="8316"/>
    <cellStyle name="20% - Accent6 5 2 5 2 4" xfId="8317"/>
    <cellStyle name="20% - Accent6 5 2 5 3" xfId="8318"/>
    <cellStyle name="20% - Accent6 5 2 5 3 2" xfId="8319"/>
    <cellStyle name="20% - Accent6 5 2 5 4" xfId="8320"/>
    <cellStyle name="20% - Accent6 5 2 5 5" xfId="8321"/>
    <cellStyle name="20% - Accent6 5 2 6" xfId="8322"/>
    <cellStyle name="20% - Accent6 5 2 6 2" xfId="8323"/>
    <cellStyle name="20% - Accent6 5 2 6 2 2" xfId="8324"/>
    <cellStyle name="20% - Accent6 5 2 6 3" xfId="8325"/>
    <cellStyle name="20% - Accent6 5 2 6 4" xfId="8326"/>
    <cellStyle name="20% - Accent6 5 2 7" xfId="8327"/>
    <cellStyle name="20% - Accent6 5 2 7 2" xfId="8328"/>
    <cellStyle name="20% - Accent6 5 2 7 2 2" xfId="8329"/>
    <cellStyle name="20% - Accent6 5 2 7 3" xfId="8330"/>
    <cellStyle name="20% - Accent6 5 2 7 4" xfId="8331"/>
    <cellStyle name="20% - Accent6 5 2 8" xfId="8332"/>
    <cellStyle name="20% - Accent6 5 2 8 2" xfId="8333"/>
    <cellStyle name="20% - Accent6 5 2 8 2 2" xfId="8334"/>
    <cellStyle name="20% - Accent6 5 2 8 3" xfId="8335"/>
    <cellStyle name="20% - Accent6 5 2 8 4" xfId="8336"/>
    <cellStyle name="20% - Accent6 5 2 9" xfId="8337"/>
    <cellStyle name="20% - Accent6 5 2 9 2" xfId="8338"/>
    <cellStyle name="20% - Accent6 5 3" xfId="8339"/>
    <cellStyle name="20% - Accent6 5 3 10" xfId="8340"/>
    <cellStyle name="20% - Accent6 5 3 2" xfId="8341"/>
    <cellStyle name="20% - Accent6 5 3 2 2" xfId="8342"/>
    <cellStyle name="20% - Accent6 5 3 2 2 2" xfId="8343"/>
    <cellStyle name="20% - Accent6 5 3 2 2 2 2" xfId="8344"/>
    <cellStyle name="20% - Accent6 5 3 2 2 2 2 2" xfId="8345"/>
    <cellStyle name="20% - Accent6 5 3 2 2 2 3" xfId="8346"/>
    <cellStyle name="20% - Accent6 5 3 2 2 2 4" xfId="8347"/>
    <cellStyle name="20% - Accent6 5 3 2 2 3" xfId="8348"/>
    <cellStyle name="20% - Accent6 5 3 2 2 3 2" xfId="8349"/>
    <cellStyle name="20% - Accent6 5 3 2 2 4" xfId="8350"/>
    <cellStyle name="20% - Accent6 5 3 2 2 5" xfId="8351"/>
    <cellStyle name="20% - Accent6 5 3 2 3" xfId="8352"/>
    <cellStyle name="20% - Accent6 5 3 2 3 2" xfId="8353"/>
    <cellStyle name="20% - Accent6 5 3 2 3 2 2" xfId="8354"/>
    <cellStyle name="20% - Accent6 5 3 2 3 2 2 2" xfId="8355"/>
    <cellStyle name="20% - Accent6 5 3 2 3 2 3" xfId="8356"/>
    <cellStyle name="20% - Accent6 5 3 2 3 2 4" xfId="8357"/>
    <cellStyle name="20% - Accent6 5 3 2 3 3" xfId="8358"/>
    <cellStyle name="20% - Accent6 5 3 2 3 3 2" xfId="8359"/>
    <cellStyle name="20% - Accent6 5 3 2 3 4" xfId="8360"/>
    <cellStyle name="20% - Accent6 5 3 2 3 5" xfId="8361"/>
    <cellStyle name="20% - Accent6 5 3 2 4" xfId="8362"/>
    <cellStyle name="20% - Accent6 5 3 2 4 2" xfId="8363"/>
    <cellStyle name="20% - Accent6 5 3 2 4 2 2" xfId="8364"/>
    <cellStyle name="20% - Accent6 5 3 2 4 3" xfId="8365"/>
    <cellStyle name="20% - Accent6 5 3 2 4 4" xfId="8366"/>
    <cellStyle name="20% - Accent6 5 3 2 5" xfId="8367"/>
    <cellStyle name="20% - Accent6 5 3 2 5 2" xfId="8368"/>
    <cellStyle name="20% - Accent6 5 3 2 5 2 2" xfId="8369"/>
    <cellStyle name="20% - Accent6 5 3 2 5 3" xfId="8370"/>
    <cellStyle name="20% - Accent6 5 3 2 5 4" xfId="8371"/>
    <cellStyle name="20% - Accent6 5 3 2 6" xfId="8372"/>
    <cellStyle name="20% - Accent6 5 3 2 6 2" xfId="8373"/>
    <cellStyle name="20% - Accent6 5 3 2 6 2 2" xfId="8374"/>
    <cellStyle name="20% - Accent6 5 3 2 6 3" xfId="8375"/>
    <cellStyle name="20% - Accent6 5 3 2 6 4" xfId="8376"/>
    <cellStyle name="20% - Accent6 5 3 2 7" xfId="8377"/>
    <cellStyle name="20% - Accent6 5 3 2 7 2" xfId="8378"/>
    <cellStyle name="20% - Accent6 5 3 2 8" xfId="8379"/>
    <cellStyle name="20% - Accent6 5 3 2 9" xfId="8380"/>
    <cellStyle name="20% - Accent6 5 3 3" xfId="8381"/>
    <cellStyle name="20% - Accent6 5 3 3 2" xfId="8382"/>
    <cellStyle name="20% - Accent6 5 3 3 2 2" xfId="8383"/>
    <cellStyle name="20% - Accent6 5 3 3 2 2 2" xfId="8384"/>
    <cellStyle name="20% - Accent6 5 3 3 2 3" xfId="8385"/>
    <cellStyle name="20% - Accent6 5 3 3 2 4" xfId="8386"/>
    <cellStyle name="20% - Accent6 5 3 3 3" xfId="8387"/>
    <cellStyle name="20% - Accent6 5 3 3 3 2" xfId="8388"/>
    <cellStyle name="20% - Accent6 5 3 3 4" xfId="8389"/>
    <cellStyle name="20% - Accent6 5 3 3 5" xfId="8390"/>
    <cellStyle name="20% - Accent6 5 3 4" xfId="8391"/>
    <cellStyle name="20% - Accent6 5 3 4 2" xfId="8392"/>
    <cellStyle name="20% - Accent6 5 3 4 2 2" xfId="8393"/>
    <cellStyle name="20% - Accent6 5 3 4 2 2 2" xfId="8394"/>
    <cellStyle name="20% - Accent6 5 3 4 2 3" xfId="8395"/>
    <cellStyle name="20% - Accent6 5 3 4 2 4" xfId="8396"/>
    <cellStyle name="20% - Accent6 5 3 4 3" xfId="8397"/>
    <cellStyle name="20% - Accent6 5 3 4 3 2" xfId="8398"/>
    <cellStyle name="20% - Accent6 5 3 4 4" xfId="8399"/>
    <cellStyle name="20% - Accent6 5 3 4 5" xfId="8400"/>
    <cellStyle name="20% - Accent6 5 3 5" xfId="8401"/>
    <cellStyle name="20% - Accent6 5 3 5 2" xfId="8402"/>
    <cellStyle name="20% - Accent6 5 3 5 2 2" xfId="8403"/>
    <cellStyle name="20% - Accent6 5 3 5 3" xfId="8404"/>
    <cellStyle name="20% - Accent6 5 3 5 4" xfId="8405"/>
    <cellStyle name="20% - Accent6 5 3 6" xfId="8406"/>
    <cellStyle name="20% - Accent6 5 3 6 2" xfId="8407"/>
    <cellStyle name="20% - Accent6 5 3 6 2 2" xfId="8408"/>
    <cellStyle name="20% - Accent6 5 3 6 3" xfId="8409"/>
    <cellStyle name="20% - Accent6 5 3 6 4" xfId="8410"/>
    <cellStyle name="20% - Accent6 5 3 7" xfId="8411"/>
    <cellStyle name="20% - Accent6 5 3 7 2" xfId="8412"/>
    <cellStyle name="20% - Accent6 5 3 7 2 2" xfId="8413"/>
    <cellStyle name="20% - Accent6 5 3 7 3" xfId="8414"/>
    <cellStyle name="20% - Accent6 5 3 7 4" xfId="8415"/>
    <cellStyle name="20% - Accent6 5 3 8" xfId="8416"/>
    <cellStyle name="20% - Accent6 5 3 8 2" xfId="8417"/>
    <cellStyle name="20% - Accent6 5 3 9" xfId="8418"/>
    <cellStyle name="20% - Accent6 5 4" xfId="8419"/>
    <cellStyle name="20% - Accent6 5 4 2" xfId="8420"/>
    <cellStyle name="20% - Accent6 5 4 2 2" xfId="8421"/>
    <cellStyle name="20% - Accent6 5 4 2 2 2" xfId="8422"/>
    <cellStyle name="20% - Accent6 5 4 2 2 2 2" xfId="8423"/>
    <cellStyle name="20% - Accent6 5 4 2 2 3" xfId="8424"/>
    <cellStyle name="20% - Accent6 5 4 2 2 4" xfId="8425"/>
    <cellStyle name="20% - Accent6 5 4 2 3" xfId="8426"/>
    <cellStyle name="20% - Accent6 5 4 2 3 2" xfId="8427"/>
    <cellStyle name="20% - Accent6 5 4 2 4" xfId="8428"/>
    <cellStyle name="20% - Accent6 5 4 2 5" xfId="8429"/>
    <cellStyle name="20% - Accent6 5 4 3" xfId="8430"/>
    <cellStyle name="20% - Accent6 5 4 3 2" xfId="8431"/>
    <cellStyle name="20% - Accent6 5 4 3 2 2" xfId="8432"/>
    <cellStyle name="20% - Accent6 5 4 3 2 2 2" xfId="8433"/>
    <cellStyle name="20% - Accent6 5 4 3 2 3" xfId="8434"/>
    <cellStyle name="20% - Accent6 5 4 3 2 4" xfId="8435"/>
    <cellStyle name="20% - Accent6 5 4 3 3" xfId="8436"/>
    <cellStyle name="20% - Accent6 5 4 3 3 2" xfId="8437"/>
    <cellStyle name="20% - Accent6 5 4 3 4" xfId="8438"/>
    <cellStyle name="20% - Accent6 5 4 3 5" xfId="8439"/>
    <cellStyle name="20% - Accent6 5 4 4" xfId="8440"/>
    <cellStyle name="20% - Accent6 5 4 4 2" xfId="8441"/>
    <cellStyle name="20% - Accent6 5 4 4 2 2" xfId="8442"/>
    <cellStyle name="20% - Accent6 5 4 4 3" xfId="8443"/>
    <cellStyle name="20% - Accent6 5 4 4 4" xfId="8444"/>
    <cellStyle name="20% - Accent6 5 4 5" xfId="8445"/>
    <cellStyle name="20% - Accent6 5 4 5 2" xfId="8446"/>
    <cellStyle name="20% - Accent6 5 4 5 2 2" xfId="8447"/>
    <cellStyle name="20% - Accent6 5 4 5 3" xfId="8448"/>
    <cellStyle name="20% - Accent6 5 4 5 4" xfId="8449"/>
    <cellStyle name="20% - Accent6 5 4 6" xfId="8450"/>
    <cellStyle name="20% - Accent6 5 4 6 2" xfId="8451"/>
    <cellStyle name="20% - Accent6 5 4 6 2 2" xfId="8452"/>
    <cellStyle name="20% - Accent6 5 4 6 3" xfId="8453"/>
    <cellStyle name="20% - Accent6 5 4 6 4" xfId="8454"/>
    <cellStyle name="20% - Accent6 5 4 7" xfId="8455"/>
    <cellStyle name="20% - Accent6 5 4 7 2" xfId="8456"/>
    <cellStyle name="20% - Accent6 5 4 8" xfId="8457"/>
    <cellStyle name="20% - Accent6 5 4 9" xfId="8458"/>
    <cellStyle name="20% - Accent6 5 5" xfId="8459"/>
    <cellStyle name="20% - Accent6 5 5 2" xfId="8460"/>
    <cellStyle name="20% - Accent6 5 5 2 2" xfId="8461"/>
    <cellStyle name="20% - Accent6 5 5 2 2 2" xfId="8462"/>
    <cellStyle name="20% - Accent6 5 5 2 3" xfId="8463"/>
    <cellStyle name="20% - Accent6 5 5 2 4" xfId="8464"/>
    <cellStyle name="20% - Accent6 5 5 3" xfId="8465"/>
    <cellStyle name="20% - Accent6 5 5 3 2" xfId="8466"/>
    <cellStyle name="20% - Accent6 5 5 3 2 2" xfId="8467"/>
    <cellStyle name="20% - Accent6 5 5 3 3" xfId="8468"/>
    <cellStyle name="20% - Accent6 5 5 3 4" xfId="8469"/>
    <cellStyle name="20% - Accent6 5 5 4" xfId="8470"/>
    <cellStyle name="20% - Accent6 5 5 4 2" xfId="8471"/>
    <cellStyle name="20% - Accent6 5 5 5" xfId="8472"/>
    <cellStyle name="20% - Accent6 5 5 6" xfId="8473"/>
    <cellStyle name="20% - Accent6 5 6" xfId="8474"/>
    <cellStyle name="20% - Accent6 5 6 2" xfId="8475"/>
    <cellStyle name="20% - Accent6 5 6 2 2" xfId="8476"/>
    <cellStyle name="20% - Accent6 5 6 2 2 2" xfId="8477"/>
    <cellStyle name="20% - Accent6 5 6 2 3" xfId="8478"/>
    <cellStyle name="20% - Accent6 5 6 2 4" xfId="8479"/>
    <cellStyle name="20% - Accent6 5 6 3" xfId="8480"/>
    <cellStyle name="20% - Accent6 5 6 3 2" xfId="8481"/>
    <cellStyle name="20% - Accent6 5 6 4" xfId="8482"/>
    <cellStyle name="20% - Accent6 5 6 5" xfId="8483"/>
    <cellStyle name="20% - Accent6 5 7" xfId="8484"/>
    <cellStyle name="20% - Accent6 5 7 2" xfId="8485"/>
    <cellStyle name="20% - Accent6 5 7 2 2" xfId="8486"/>
    <cellStyle name="20% - Accent6 5 7 3" xfId="8487"/>
    <cellStyle name="20% - Accent6 5 7 4" xfId="8488"/>
    <cellStyle name="20% - Accent6 5 8" xfId="8489"/>
    <cellStyle name="20% - Accent6 5 8 2" xfId="8490"/>
    <cellStyle name="20% - Accent6 5 8 2 2" xfId="8491"/>
    <cellStyle name="20% - Accent6 5 8 3" xfId="8492"/>
    <cellStyle name="20% - Accent6 5 8 4" xfId="8493"/>
    <cellStyle name="20% - Accent6 5 9" xfId="8494"/>
    <cellStyle name="20% - Accent6 5 9 2" xfId="8495"/>
    <cellStyle name="20% - Accent6 5 9 2 2" xfId="8496"/>
    <cellStyle name="20% - Accent6 5 9 3" xfId="8497"/>
    <cellStyle name="20% - Accent6 5 9 4" xfId="8498"/>
    <cellStyle name="20% - Accent6 6" xfId="8499"/>
    <cellStyle name="20% - Accent6 7" xfId="8500"/>
    <cellStyle name="20% - Accent6 8" xfId="8501"/>
    <cellStyle name="20% - Accent6 9" xfId="8502"/>
    <cellStyle name="20% - Accent6 9 2" xfId="8503"/>
    <cellStyle name="20% - Accent6 9 2 2" xfId="8504"/>
    <cellStyle name="20% - Accent6 9 3" xfId="8505"/>
    <cellStyle name="20% - Accent6 9 4" xfId="8506"/>
    <cellStyle name="40% - Accent1" xfId="35685" builtinId="31" customBuiltin="1"/>
    <cellStyle name="40% - Accent1 2" xfId="39"/>
    <cellStyle name="40% - Accent1 2 10" xfId="8508"/>
    <cellStyle name="40% - Accent1 2 10 2" xfId="8509"/>
    <cellStyle name="40% - Accent1 2 10 2 2" xfId="8510"/>
    <cellStyle name="40% - Accent1 2 10 3" xfId="8511"/>
    <cellStyle name="40% - Accent1 2 10 4" xfId="8512"/>
    <cellStyle name="40% - Accent1 2 11" xfId="8513"/>
    <cellStyle name="40% - Accent1 2 11 2" xfId="8514"/>
    <cellStyle name="40% - Accent1 2 12" xfId="8515"/>
    <cellStyle name="40% - Accent1 2 13" xfId="8516"/>
    <cellStyle name="40% - Accent1 2 14" xfId="35504"/>
    <cellStyle name="40% - Accent1 2 15" xfId="8507"/>
    <cellStyle name="40% - Accent1 2 2" xfId="8517"/>
    <cellStyle name="40% - Accent1 2 2 2" xfId="8518"/>
    <cellStyle name="40% - Accent1 2 2 3" xfId="8519"/>
    <cellStyle name="40% - Accent1 2 2 4" xfId="8520"/>
    <cellStyle name="40% - Accent1 2 3" xfId="8521"/>
    <cellStyle name="40% - Accent1 2 3 10" xfId="8522"/>
    <cellStyle name="40% - Accent1 2 3 11" xfId="8523"/>
    <cellStyle name="40% - Accent1 2 3 2" xfId="8524"/>
    <cellStyle name="40% - Accent1 2 3 2 10" xfId="8525"/>
    <cellStyle name="40% - Accent1 2 3 2 2" xfId="8526"/>
    <cellStyle name="40% - Accent1 2 3 2 2 2" xfId="8527"/>
    <cellStyle name="40% - Accent1 2 3 2 2 2 2" xfId="8528"/>
    <cellStyle name="40% - Accent1 2 3 2 2 2 2 2" xfId="8529"/>
    <cellStyle name="40% - Accent1 2 3 2 2 2 2 2 2" xfId="8530"/>
    <cellStyle name="40% - Accent1 2 3 2 2 2 2 3" xfId="8531"/>
    <cellStyle name="40% - Accent1 2 3 2 2 2 2 4" xfId="8532"/>
    <cellStyle name="40% - Accent1 2 3 2 2 2 3" xfId="8533"/>
    <cellStyle name="40% - Accent1 2 3 2 2 2 3 2" xfId="8534"/>
    <cellStyle name="40% - Accent1 2 3 2 2 2 4" xfId="8535"/>
    <cellStyle name="40% - Accent1 2 3 2 2 2 5" xfId="8536"/>
    <cellStyle name="40% - Accent1 2 3 2 2 3" xfId="8537"/>
    <cellStyle name="40% - Accent1 2 3 2 2 3 2" xfId="8538"/>
    <cellStyle name="40% - Accent1 2 3 2 2 3 2 2" xfId="8539"/>
    <cellStyle name="40% - Accent1 2 3 2 2 3 2 2 2" xfId="8540"/>
    <cellStyle name="40% - Accent1 2 3 2 2 3 2 3" xfId="8541"/>
    <cellStyle name="40% - Accent1 2 3 2 2 3 2 4" xfId="8542"/>
    <cellStyle name="40% - Accent1 2 3 2 2 3 3" xfId="8543"/>
    <cellStyle name="40% - Accent1 2 3 2 2 3 3 2" xfId="8544"/>
    <cellStyle name="40% - Accent1 2 3 2 2 3 4" xfId="8545"/>
    <cellStyle name="40% - Accent1 2 3 2 2 3 5" xfId="8546"/>
    <cellStyle name="40% - Accent1 2 3 2 2 4" xfId="8547"/>
    <cellStyle name="40% - Accent1 2 3 2 2 4 2" xfId="8548"/>
    <cellStyle name="40% - Accent1 2 3 2 2 4 2 2" xfId="8549"/>
    <cellStyle name="40% - Accent1 2 3 2 2 4 3" xfId="8550"/>
    <cellStyle name="40% - Accent1 2 3 2 2 4 4" xfId="8551"/>
    <cellStyle name="40% - Accent1 2 3 2 2 5" xfId="8552"/>
    <cellStyle name="40% - Accent1 2 3 2 2 5 2" xfId="8553"/>
    <cellStyle name="40% - Accent1 2 3 2 2 5 2 2" xfId="8554"/>
    <cellStyle name="40% - Accent1 2 3 2 2 5 3" xfId="8555"/>
    <cellStyle name="40% - Accent1 2 3 2 2 5 4" xfId="8556"/>
    <cellStyle name="40% - Accent1 2 3 2 2 6" xfId="8557"/>
    <cellStyle name="40% - Accent1 2 3 2 2 6 2" xfId="8558"/>
    <cellStyle name="40% - Accent1 2 3 2 2 6 2 2" xfId="8559"/>
    <cellStyle name="40% - Accent1 2 3 2 2 6 3" xfId="8560"/>
    <cellStyle name="40% - Accent1 2 3 2 2 6 4" xfId="8561"/>
    <cellStyle name="40% - Accent1 2 3 2 2 7" xfId="8562"/>
    <cellStyle name="40% - Accent1 2 3 2 2 7 2" xfId="8563"/>
    <cellStyle name="40% - Accent1 2 3 2 2 8" xfId="8564"/>
    <cellStyle name="40% - Accent1 2 3 2 2 9" xfId="8565"/>
    <cellStyle name="40% - Accent1 2 3 2 3" xfId="8566"/>
    <cellStyle name="40% - Accent1 2 3 2 3 2" xfId="8567"/>
    <cellStyle name="40% - Accent1 2 3 2 3 2 2" xfId="8568"/>
    <cellStyle name="40% - Accent1 2 3 2 3 2 2 2" xfId="8569"/>
    <cellStyle name="40% - Accent1 2 3 2 3 2 3" xfId="8570"/>
    <cellStyle name="40% - Accent1 2 3 2 3 2 4" xfId="8571"/>
    <cellStyle name="40% - Accent1 2 3 2 3 3" xfId="8572"/>
    <cellStyle name="40% - Accent1 2 3 2 3 3 2" xfId="8573"/>
    <cellStyle name="40% - Accent1 2 3 2 3 4" xfId="8574"/>
    <cellStyle name="40% - Accent1 2 3 2 3 5" xfId="8575"/>
    <cellStyle name="40% - Accent1 2 3 2 4" xfId="8576"/>
    <cellStyle name="40% - Accent1 2 3 2 4 2" xfId="8577"/>
    <cellStyle name="40% - Accent1 2 3 2 4 2 2" xfId="8578"/>
    <cellStyle name="40% - Accent1 2 3 2 4 2 2 2" xfId="8579"/>
    <cellStyle name="40% - Accent1 2 3 2 4 2 3" xfId="8580"/>
    <cellStyle name="40% - Accent1 2 3 2 4 2 4" xfId="8581"/>
    <cellStyle name="40% - Accent1 2 3 2 4 3" xfId="8582"/>
    <cellStyle name="40% - Accent1 2 3 2 4 3 2" xfId="8583"/>
    <cellStyle name="40% - Accent1 2 3 2 4 4" xfId="8584"/>
    <cellStyle name="40% - Accent1 2 3 2 4 5" xfId="8585"/>
    <cellStyle name="40% - Accent1 2 3 2 5" xfId="8586"/>
    <cellStyle name="40% - Accent1 2 3 2 5 2" xfId="8587"/>
    <cellStyle name="40% - Accent1 2 3 2 5 2 2" xfId="8588"/>
    <cellStyle name="40% - Accent1 2 3 2 5 3" xfId="8589"/>
    <cellStyle name="40% - Accent1 2 3 2 5 4" xfId="8590"/>
    <cellStyle name="40% - Accent1 2 3 2 6" xfId="8591"/>
    <cellStyle name="40% - Accent1 2 3 2 6 2" xfId="8592"/>
    <cellStyle name="40% - Accent1 2 3 2 6 2 2" xfId="8593"/>
    <cellStyle name="40% - Accent1 2 3 2 6 3" xfId="8594"/>
    <cellStyle name="40% - Accent1 2 3 2 6 4" xfId="8595"/>
    <cellStyle name="40% - Accent1 2 3 2 7" xfId="8596"/>
    <cellStyle name="40% - Accent1 2 3 2 7 2" xfId="8597"/>
    <cellStyle name="40% - Accent1 2 3 2 7 2 2" xfId="8598"/>
    <cellStyle name="40% - Accent1 2 3 2 7 3" xfId="8599"/>
    <cellStyle name="40% - Accent1 2 3 2 7 4" xfId="8600"/>
    <cellStyle name="40% - Accent1 2 3 2 8" xfId="8601"/>
    <cellStyle name="40% - Accent1 2 3 2 8 2" xfId="8602"/>
    <cellStyle name="40% - Accent1 2 3 2 9" xfId="8603"/>
    <cellStyle name="40% - Accent1 2 3 3" xfId="8604"/>
    <cellStyle name="40% - Accent1 2 3 3 2" xfId="8605"/>
    <cellStyle name="40% - Accent1 2 3 3 2 2" xfId="8606"/>
    <cellStyle name="40% - Accent1 2 3 3 2 2 2" xfId="8607"/>
    <cellStyle name="40% - Accent1 2 3 3 2 2 2 2" xfId="8608"/>
    <cellStyle name="40% - Accent1 2 3 3 2 2 3" xfId="8609"/>
    <cellStyle name="40% - Accent1 2 3 3 2 2 4" xfId="8610"/>
    <cellStyle name="40% - Accent1 2 3 3 2 3" xfId="8611"/>
    <cellStyle name="40% - Accent1 2 3 3 2 3 2" xfId="8612"/>
    <cellStyle name="40% - Accent1 2 3 3 2 4" xfId="8613"/>
    <cellStyle name="40% - Accent1 2 3 3 2 5" xfId="8614"/>
    <cellStyle name="40% - Accent1 2 3 3 3" xfId="8615"/>
    <cellStyle name="40% - Accent1 2 3 3 3 2" xfId="8616"/>
    <cellStyle name="40% - Accent1 2 3 3 3 2 2" xfId="8617"/>
    <cellStyle name="40% - Accent1 2 3 3 3 2 2 2" xfId="8618"/>
    <cellStyle name="40% - Accent1 2 3 3 3 2 3" xfId="8619"/>
    <cellStyle name="40% - Accent1 2 3 3 3 2 4" xfId="8620"/>
    <cellStyle name="40% - Accent1 2 3 3 3 3" xfId="8621"/>
    <cellStyle name="40% - Accent1 2 3 3 3 3 2" xfId="8622"/>
    <cellStyle name="40% - Accent1 2 3 3 3 4" xfId="8623"/>
    <cellStyle name="40% - Accent1 2 3 3 3 5" xfId="8624"/>
    <cellStyle name="40% - Accent1 2 3 3 4" xfId="8625"/>
    <cellStyle name="40% - Accent1 2 3 3 4 2" xfId="8626"/>
    <cellStyle name="40% - Accent1 2 3 3 4 2 2" xfId="8627"/>
    <cellStyle name="40% - Accent1 2 3 3 4 3" xfId="8628"/>
    <cellStyle name="40% - Accent1 2 3 3 4 4" xfId="8629"/>
    <cellStyle name="40% - Accent1 2 3 3 5" xfId="8630"/>
    <cellStyle name="40% - Accent1 2 3 3 5 2" xfId="8631"/>
    <cellStyle name="40% - Accent1 2 3 3 5 2 2" xfId="8632"/>
    <cellStyle name="40% - Accent1 2 3 3 5 3" xfId="8633"/>
    <cellStyle name="40% - Accent1 2 3 3 5 4" xfId="8634"/>
    <cellStyle name="40% - Accent1 2 3 3 6" xfId="8635"/>
    <cellStyle name="40% - Accent1 2 3 3 6 2" xfId="8636"/>
    <cellStyle name="40% - Accent1 2 3 3 6 2 2" xfId="8637"/>
    <cellStyle name="40% - Accent1 2 3 3 6 3" xfId="8638"/>
    <cellStyle name="40% - Accent1 2 3 3 6 4" xfId="8639"/>
    <cellStyle name="40% - Accent1 2 3 3 7" xfId="8640"/>
    <cellStyle name="40% - Accent1 2 3 3 7 2" xfId="8641"/>
    <cellStyle name="40% - Accent1 2 3 3 8" xfId="8642"/>
    <cellStyle name="40% - Accent1 2 3 3 9" xfId="8643"/>
    <cellStyle name="40% - Accent1 2 3 4" xfId="8644"/>
    <cellStyle name="40% - Accent1 2 3 4 2" xfId="8645"/>
    <cellStyle name="40% - Accent1 2 3 4 2 2" xfId="8646"/>
    <cellStyle name="40% - Accent1 2 3 4 2 2 2" xfId="8647"/>
    <cellStyle name="40% - Accent1 2 3 4 2 3" xfId="8648"/>
    <cellStyle name="40% - Accent1 2 3 4 2 4" xfId="8649"/>
    <cellStyle name="40% - Accent1 2 3 4 3" xfId="8650"/>
    <cellStyle name="40% - Accent1 2 3 4 4" xfId="8651"/>
    <cellStyle name="40% - Accent1 2 3 4 4 2" xfId="8652"/>
    <cellStyle name="40% - Accent1 2 3 4 5" xfId="8653"/>
    <cellStyle name="40% - Accent1 2 3 4 6" xfId="8654"/>
    <cellStyle name="40% - Accent1 2 3 5" xfId="8655"/>
    <cellStyle name="40% - Accent1 2 3 5 2" xfId="8656"/>
    <cellStyle name="40% - Accent1 2 3 5 2 2" xfId="8657"/>
    <cellStyle name="40% - Accent1 2 3 5 2 2 2" xfId="8658"/>
    <cellStyle name="40% - Accent1 2 3 5 2 3" xfId="8659"/>
    <cellStyle name="40% - Accent1 2 3 5 2 4" xfId="8660"/>
    <cellStyle name="40% - Accent1 2 3 5 3" xfId="8661"/>
    <cellStyle name="40% - Accent1 2 3 5 3 2" xfId="8662"/>
    <cellStyle name="40% - Accent1 2 3 5 4" xfId="8663"/>
    <cellStyle name="40% - Accent1 2 3 5 5" xfId="8664"/>
    <cellStyle name="40% - Accent1 2 3 6" xfId="8665"/>
    <cellStyle name="40% - Accent1 2 3 6 2" xfId="8666"/>
    <cellStyle name="40% - Accent1 2 3 6 2 2" xfId="8667"/>
    <cellStyle name="40% - Accent1 2 3 6 3" xfId="8668"/>
    <cellStyle name="40% - Accent1 2 3 6 4" xfId="8669"/>
    <cellStyle name="40% - Accent1 2 3 7" xfId="8670"/>
    <cellStyle name="40% - Accent1 2 3 7 2" xfId="8671"/>
    <cellStyle name="40% - Accent1 2 3 7 2 2" xfId="8672"/>
    <cellStyle name="40% - Accent1 2 3 7 3" xfId="8673"/>
    <cellStyle name="40% - Accent1 2 3 7 4" xfId="8674"/>
    <cellStyle name="40% - Accent1 2 3 8" xfId="8675"/>
    <cellStyle name="40% - Accent1 2 3 8 2" xfId="8676"/>
    <cellStyle name="40% - Accent1 2 3 8 2 2" xfId="8677"/>
    <cellStyle name="40% - Accent1 2 3 8 3" xfId="8678"/>
    <cellStyle name="40% - Accent1 2 3 8 4" xfId="8679"/>
    <cellStyle name="40% - Accent1 2 3 9" xfId="8680"/>
    <cellStyle name="40% - Accent1 2 3 9 2" xfId="8681"/>
    <cellStyle name="40% - Accent1 2 4" xfId="8682"/>
    <cellStyle name="40% - Accent1 2 4 10" xfId="8683"/>
    <cellStyle name="40% - Accent1 2 4 2" xfId="8684"/>
    <cellStyle name="40% - Accent1 2 4 2 2" xfId="8685"/>
    <cellStyle name="40% - Accent1 2 4 2 2 2" xfId="8686"/>
    <cellStyle name="40% - Accent1 2 4 2 2 2 2" xfId="8687"/>
    <cellStyle name="40% - Accent1 2 4 2 2 2 2 2" xfId="8688"/>
    <cellStyle name="40% - Accent1 2 4 2 2 2 3" xfId="8689"/>
    <cellStyle name="40% - Accent1 2 4 2 2 2 4" xfId="8690"/>
    <cellStyle name="40% - Accent1 2 4 2 2 3" xfId="8691"/>
    <cellStyle name="40% - Accent1 2 4 2 2 3 2" xfId="8692"/>
    <cellStyle name="40% - Accent1 2 4 2 2 4" xfId="8693"/>
    <cellStyle name="40% - Accent1 2 4 2 2 5" xfId="8694"/>
    <cellStyle name="40% - Accent1 2 4 2 3" xfId="8695"/>
    <cellStyle name="40% - Accent1 2 4 2 3 2" xfId="8696"/>
    <cellStyle name="40% - Accent1 2 4 2 3 2 2" xfId="8697"/>
    <cellStyle name="40% - Accent1 2 4 2 3 2 2 2" xfId="8698"/>
    <cellStyle name="40% - Accent1 2 4 2 3 2 3" xfId="8699"/>
    <cellStyle name="40% - Accent1 2 4 2 3 2 4" xfId="8700"/>
    <cellStyle name="40% - Accent1 2 4 2 3 3" xfId="8701"/>
    <cellStyle name="40% - Accent1 2 4 2 3 3 2" xfId="8702"/>
    <cellStyle name="40% - Accent1 2 4 2 3 4" xfId="8703"/>
    <cellStyle name="40% - Accent1 2 4 2 3 5" xfId="8704"/>
    <cellStyle name="40% - Accent1 2 4 2 4" xfId="8705"/>
    <cellStyle name="40% - Accent1 2 4 2 4 2" xfId="8706"/>
    <cellStyle name="40% - Accent1 2 4 2 4 2 2" xfId="8707"/>
    <cellStyle name="40% - Accent1 2 4 2 4 3" xfId="8708"/>
    <cellStyle name="40% - Accent1 2 4 2 4 4" xfId="8709"/>
    <cellStyle name="40% - Accent1 2 4 2 5" xfId="8710"/>
    <cellStyle name="40% - Accent1 2 4 2 5 2" xfId="8711"/>
    <cellStyle name="40% - Accent1 2 4 2 5 2 2" xfId="8712"/>
    <cellStyle name="40% - Accent1 2 4 2 5 3" xfId="8713"/>
    <cellStyle name="40% - Accent1 2 4 2 5 4" xfId="8714"/>
    <cellStyle name="40% - Accent1 2 4 2 6" xfId="8715"/>
    <cellStyle name="40% - Accent1 2 4 2 6 2" xfId="8716"/>
    <cellStyle name="40% - Accent1 2 4 2 6 2 2" xfId="8717"/>
    <cellStyle name="40% - Accent1 2 4 2 6 3" xfId="8718"/>
    <cellStyle name="40% - Accent1 2 4 2 6 4" xfId="8719"/>
    <cellStyle name="40% - Accent1 2 4 2 7" xfId="8720"/>
    <cellStyle name="40% - Accent1 2 4 2 7 2" xfId="8721"/>
    <cellStyle name="40% - Accent1 2 4 2 8" xfId="8722"/>
    <cellStyle name="40% - Accent1 2 4 2 9" xfId="8723"/>
    <cellStyle name="40% - Accent1 2 4 3" xfId="8724"/>
    <cellStyle name="40% - Accent1 2 4 3 2" xfId="8725"/>
    <cellStyle name="40% - Accent1 2 4 3 2 2" xfId="8726"/>
    <cellStyle name="40% - Accent1 2 4 3 2 2 2" xfId="8727"/>
    <cellStyle name="40% - Accent1 2 4 3 2 3" xfId="8728"/>
    <cellStyle name="40% - Accent1 2 4 3 2 4" xfId="8729"/>
    <cellStyle name="40% - Accent1 2 4 3 3" xfId="8730"/>
    <cellStyle name="40% - Accent1 2 4 3 3 2" xfId="8731"/>
    <cellStyle name="40% - Accent1 2 4 3 4" xfId="8732"/>
    <cellStyle name="40% - Accent1 2 4 3 5" xfId="8733"/>
    <cellStyle name="40% - Accent1 2 4 4" xfId="8734"/>
    <cellStyle name="40% - Accent1 2 4 4 2" xfId="8735"/>
    <cellStyle name="40% - Accent1 2 4 4 2 2" xfId="8736"/>
    <cellStyle name="40% - Accent1 2 4 4 2 2 2" xfId="8737"/>
    <cellStyle name="40% - Accent1 2 4 4 2 3" xfId="8738"/>
    <cellStyle name="40% - Accent1 2 4 4 2 4" xfId="8739"/>
    <cellStyle name="40% - Accent1 2 4 4 3" xfId="8740"/>
    <cellStyle name="40% - Accent1 2 4 4 3 2" xfId="8741"/>
    <cellStyle name="40% - Accent1 2 4 4 4" xfId="8742"/>
    <cellStyle name="40% - Accent1 2 4 4 5" xfId="8743"/>
    <cellStyle name="40% - Accent1 2 4 5" xfId="8744"/>
    <cellStyle name="40% - Accent1 2 4 5 2" xfId="8745"/>
    <cellStyle name="40% - Accent1 2 4 5 2 2" xfId="8746"/>
    <cellStyle name="40% - Accent1 2 4 5 3" xfId="8747"/>
    <cellStyle name="40% - Accent1 2 4 5 4" xfId="8748"/>
    <cellStyle name="40% - Accent1 2 4 6" xfId="8749"/>
    <cellStyle name="40% - Accent1 2 4 6 2" xfId="8750"/>
    <cellStyle name="40% - Accent1 2 4 6 2 2" xfId="8751"/>
    <cellStyle name="40% - Accent1 2 4 6 3" xfId="8752"/>
    <cellStyle name="40% - Accent1 2 4 6 4" xfId="8753"/>
    <cellStyle name="40% - Accent1 2 4 7" xfId="8754"/>
    <cellStyle name="40% - Accent1 2 4 7 2" xfId="8755"/>
    <cellStyle name="40% - Accent1 2 4 7 2 2" xfId="8756"/>
    <cellStyle name="40% - Accent1 2 4 7 3" xfId="8757"/>
    <cellStyle name="40% - Accent1 2 4 7 4" xfId="8758"/>
    <cellStyle name="40% - Accent1 2 4 8" xfId="8759"/>
    <cellStyle name="40% - Accent1 2 4 8 2" xfId="8760"/>
    <cellStyle name="40% - Accent1 2 4 9" xfId="8761"/>
    <cellStyle name="40% - Accent1 2 5" xfId="8762"/>
    <cellStyle name="40% - Accent1 2 5 2" xfId="8763"/>
    <cellStyle name="40% - Accent1 2 5 2 2" xfId="8764"/>
    <cellStyle name="40% - Accent1 2 5 2 2 2" xfId="8765"/>
    <cellStyle name="40% - Accent1 2 5 2 2 2 2" xfId="8766"/>
    <cellStyle name="40% - Accent1 2 5 2 2 3" xfId="8767"/>
    <cellStyle name="40% - Accent1 2 5 2 2 4" xfId="8768"/>
    <cellStyle name="40% - Accent1 2 5 2 3" xfId="8769"/>
    <cellStyle name="40% - Accent1 2 5 2 3 2" xfId="8770"/>
    <cellStyle name="40% - Accent1 2 5 2 4" xfId="8771"/>
    <cellStyle name="40% - Accent1 2 5 2 5" xfId="8772"/>
    <cellStyle name="40% - Accent1 2 5 3" xfId="8773"/>
    <cellStyle name="40% - Accent1 2 5 3 2" xfId="8774"/>
    <cellStyle name="40% - Accent1 2 5 3 2 2" xfId="8775"/>
    <cellStyle name="40% - Accent1 2 5 3 2 2 2" xfId="8776"/>
    <cellStyle name="40% - Accent1 2 5 3 2 3" xfId="8777"/>
    <cellStyle name="40% - Accent1 2 5 3 2 4" xfId="8778"/>
    <cellStyle name="40% - Accent1 2 5 3 3" xfId="8779"/>
    <cellStyle name="40% - Accent1 2 5 3 3 2" xfId="8780"/>
    <cellStyle name="40% - Accent1 2 5 3 4" xfId="8781"/>
    <cellStyle name="40% - Accent1 2 5 3 5" xfId="8782"/>
    <cellStyle name="40% - Accent1 2 5 4" xfId="8783"/>
    <cellStyle name="40% - Accent1 2 5 4 2" xfId="8784"/>
    <cellStyle name="40% - Accent1 2 5 4 2 2" xfId="8785"/>
    <cellStyle name="40% - Accent1 2 5 4 3" xfId="8786"/>
    <cellStyle name="40% - Accent1 2 5 4 4" xfId="8787"/>
    <cellStyle name="40% - Accent1 2 5 5" xfId="8788"/>
    <cellStyle name="40% - Accent1 2 5 5 2" xfId="8789"/>
    <cellStyle name="40% - Accent1 2 5 5 2 2" xfId="8790"/>
    <cellStyle name="40% - Accent1 2 5 5 3" xfId="8791"/>
    <cellStyle name="40% - Accent1 2 5 5 4" xfId="8792"/>
    <cellStyle name="40% - Accent1 2 5 6" xfId="8793"/>
    <cellStyle name="40% - Accent1 2 5 6 2" xfId="8794"/>
    <cellStyle name="40% - Accent1 2 5 6 2 2" xfId="8795"/>
    <cellStyle name="40% - Accent1 2 5 6 3" xfId="8796"/>
    <cellStyle name="40% - Accent1 2 5 6 4" xfId="8797"/>
    <cellStyle name="40% - Accent1 2 5 7" xfId="8798"/>
    <cellStyle name="40% - Accent1 2 5 7 2" xfId="8799"/>
    <cellStyle name="40% - Accent1 2 5 8" xfId="8800"/>
    <cellStyle name="40% - Accent1 2 5 9" xfId="8801"/>
    <cellStyle name="40% - Accent1 2 6" xfId="8802"/>
    <cellStyle name="40% - Accent1 2 7" xfId="8803"/>
    <cellStyle name="40% - Accent1 2 8" xfId="8804"/>
    <cellStyle name="40% - Accent1 2 8 2" xfId="8805"/>
    <cellStyle name="40% - Accent1 2 9" xfId="8806"/>
    <cellStyle name="40% - Accent1 2 9 2" xfId="8807"/>
    <cellStyle name="40% - Accent1 2 9 2 2" xfId="8808"/>
    <cellStyle name="40% - Accent1 2 9 2 2 2" xfId="8809"/>
    <cellStyle name="40% - Accent1 2 9 2 3" xfId="8810"/>
    <cellStyle name="40% - Accent1 2 9 2 4" xfId="8811"/>
    <cellStyle name="40% - Accent1 2 9 3" xfId="8812"/>
    <cellStyle name="40% - Accent1 2 9 4" xfId="8813"/>
    <cellStyle name="40% - Accent1 2 9 4 2" xfId="8814"/>
    <cellStyle name="40% - Accent1 2 9 5" xfId="8815"/>
    <cellStyle name="40% - Accent1 2 9 6" xfId="8816"/>
    <cellStyle name="40% - Accent1 3" xfId="107"/>
    <cellStyle name="40% - Accent1 3 2" xfId="8818"/>
    <cellStyle name="40% - Accent1 3 2 10" xfId="8819"/>
    <cellStyle name="40% - Accent1 3 2 10 2" xfId="8820"/>
    <cellStyle name="40% - Accent1 3 2 11" xfId="8821"/>
    <cellStyle name="40% - Accent1 3 2 12" xfId="8822"/>
    <cellStyle name="40% - Accent1 3 2 2" xfId="8823"/>
    <cellStyle name="40% - Accent1 3 2 2 10" xfId="8824"/>
    <cellStyle name="40% - Accent1 3 2 2 11" xfId="8825"/>
    <cellStyle name="40% - Accent1 3 2 2 2" xfId="8826"/>
    <cellStyle name="40% - Accent1 3 2 2 2 10" xfId="8827"/>
    <cellStyle name="40% - Accent1 3 2 2 2 2" xfId="8828"/>
    <cellStyle name="40% - Accent1 3 2 2 2 2 2" xfId="8829"/>
    <cellStyle name="40% - Accent1 3 2 2 2 2 2 2" xfId="8830"/>
    <cellStyle name="40% - Accent1 3 2 2 2 2 2 2 2" xfId="8831"/>
    <cellStyle name="40% - Accent1 3 2 2 2 2 2 2 2 2" xfId="8832"/>
    <cellStyle name="40% - Accent1 3 2 2 2 2 2 2 3" xfId="8833"/>
    <cellStyle name="40% - Accent1 3 2 2 2 2 2 2 4" xfId="8834"/>
    <cellStyle name="40% - Accent1 3 2 2 2 2 2 3" xfId="8835"/>
    <cellStyle name="40% - Accent1 3 2 2 2 2 2 3 2" xfId="8836"/>
    <cellStyle name="40% - Accent1 3 2 2 2 2 2 4" xfId="8837"/>
    <cellStyle name="40% - Accent1 3 2 2 2 2 2 5" xfId="8838"/>
    <cellStyle name="40% - Accent1 3 2 2 2 2 3" xfId="8839"/>
    <cellStyle name="40% - Accent1 3 2 2 2 2 3 2" xfId="8840"/>
    <cellStyle name="40% - Accent1 3 2 2 2 2 3 2 2" xfId="8841"/>
    <cellStyle name="40% - Accent1 3 2 2 2 2 3 2 2 2" xfId="8842"/>
    <cellStyle name="40% - Accent1 3 2 2 2 2 3 2 3" xfId="8843"/>
    <cellStyle name="40% - Accent1 3 2 2 2 2 3 2 4" xfId="8844"/>
    <cellStyle name="40% - Accent1 3 2 2 2 2 3 3" xfId="8845"/>
    <cellStyle name="40% - Accent1 3 2 2 2 2 3 3 2" xfId="8846"/>
    <cellStyle name="40% - Accent1 3 2 2 2 2 3 4" xfId="8847"/>
    <cellStyle name="40% - Accent1 3 2 2 2 2 3 5" xfId="8848"/>
    <cellStyle name="40% - Accent1 3 2 2 2 2 4" xfId="8849"/>
    <cellStyle name="40% - Accent1 3 2 2 2 2 4 2" xfId="8850"/>
    <cellStyle name="40% - Accent1 3 2 2 2 2 4 2 2" xfId="8851"/>
    <cellStyle name="40% - Accent1 3 2 2 2 2 4 3" xfId="8852"/>
    <cellStyle name="40% - Accent1 3 2 2 2 2 4 4" xfId="8853"/>
    <cellStyle name="40% - Accent1 3 2 2 2 2 5" xfId="8854"/>
    <cellStyle name="40% - Accent1 3 2 2 2 2 5 2" xfId="8855"/>
    <cellStyle name="40% - Accent1 3 2 2 2 2 5 2 2" xfId="8856"/>
    <cellStyle name="40% - Accent1 3 2 2 2 2 5 3" xfId="8857"/>
    <cellStyle name="40% - Accent1 3 2 2 2 2 5 4" xfId="8858"/>
    <cellStyle name="40% - Accent1 3 2 2 2 2 6" xfId="8859"/>
    <cellStyle name="40% - Accent1 3 2 2 2 2 6 2" xfId="8860"/>
    <cellStyle name="40% - Accent1 3 2 2 2 2 6 2 2" xfId="8861"/>
    <cellStyle name="40% - Accent1 3 2 2 2 2 6 3" xfId="8862"/>
    <cellStyle name="40% - Accent1 3 2 2 2 2 6 4" xfId="8863"/>
    <cellStyle name="40% - Accent1 3 2 2 2 2 7" xfId="8864"/>
    <cellStyle name="40% - Accent1 3 2 2 2 2 7 2" xfId="8865"/>
    <cellStyle name="40% - Accent1 3 2 2 2 2 8" xfId="8866"/>
    <cellStyle name="40% - Accent1 3 2 2 2 2 9" xfId="8867"/>
    <cellStyle name="40% - Accent1 3 2 2 2 3" xfId="8868"/>
    <cellStyle name="40% - Accent1 3 2 2 2 3 2" xfId="8869"/>
    <cellStyle name="40% - Accent1 3 2 2 2 3 2 2" xfId="8870"/>
    <cellStyle name="40% - Accent1 3 2 2 2 3 2 2 2" xfId="8871"/>
    <cellStyle name="40% - Accent1 3 2 2 2 3 2 3" xfId="8872"/>
    <cellStyle name="40% - Accent1 3 2 2 2 3 2 4" xfId="8873"/>
    <cellStyle name="40% - Accent1 3 2 2 2 3 3" xfId="8874"/>
    <cellStyle name="40% - Accent1 3 2 2 2 3 3 2" xfId="8875"/>
    <cellStyle name="40% - Accent1 3 2 2 2 3 4" xfId="8876"/>
    <cellStyle name="40% - Accent1 3 2 2 2 3 5" xfId="8877"/>
    <cellStyle name="40% - Accent1 3 2 2 2 4" xfId="8878"/>
    <cellStyle name="40% - Accent1 3 2 2 2 4 2" xfId="8879"/>
    <cellStyle name="40% - Accent1 3 2 2 2 4 2 2" xfId="8880"/>
    <cellStyle name="40% - Accent1 3 2 2 2 4 2 2 2" xfId="8881"/>
    <cellStyle name="40% - Accent1 3 2 2 2 4 2 3" xfId="8882"/>
    <cellStyle name="40% - Accent1 3 2 2 2 4 2 4" xfId="8883"/>
    <cellStyle name="40% - Accent1 3 2 2 2 4 3" xfId="8884"/>
    <cellStyle name="40% - Accent1 3 2 2 2 4 3 2" xfId="8885"/>
    <cellStyle name="40% - Accent1 3 2 2 2 4 4" xfId="8886"/>
    <cellStyle name="40% - Accent1 3 2 2 2 4 5" xfId="8887"/>
    <cellStyle name="40% - Accent1 3 2 2 2 5" xfId="8888"/>
    <cellStyle name="40% - Accent1 3 2 2 2 5 2" xfId="8889"/>
    <cellStyle name="40% - Accent1 3 2 2 2 5 2 2" xfId="8890"/>
    <cellStyle name="40% - Accent1 3 2 2 2 5 3" xfId="8891"/>
    <cellStyle name="40% - Accent1 3 2 2 2 5 4" xfId="8892"/>
    <cellStyle name="40% - Accent1 3 2 2 2 6" xfId="8893"/>
    <cellStyle name="40% - Accent1 3 2 2 2 6 2" xfId="8894"/>
    <cellStyle name="40% - Accent1 3 2 2 2 6 2 2" xfId="8895"/>
    <cellStyle name="40% - Accent1 3 2 2 2 6 3" xfId="8896"/>
    <cellStyle name="40% - Accent1 3 2 2 2 6 4" xfId="8897"/>
    <cellStyle name="40% - Accent1 3 2 2 2 7" xfId="8898"/>
    <cellStyle name="40% - Accent1 3 2 2 2 7 2" xfId="8899"/>
    <cellStyle name="40% - Accent1 3 2 2 2 7 2 2" xfId="8900"/>
    <cellStyle name="40% - Accent1 3 2 2 2 7 3" xfId="8901"/>
    <cellStyle name="40% - Accent1 3 2 2 2 7 4" xfId="8902"/>
    <cellStyle name="40% - Accent1 3 2 2 2 8" xfId="8903"/>
    <cellStyle name="40% - Accent1 3 2 2 2 8 2" xfId="8904"/>
    <cellStyle name="40% - Accent1 3 2 2 2 9" xfId="8905"/>
    <cellStyle name="40% - Accent1 3 2 2 3" xfId="8906"/>
    <cellStyle name="40% - Accent1 3 2 2 3 2" xfId="8907"/>
    <cellStyle name="40% - Accent1 3 2 2 3 2 2" xfId="8908"/>
    <cellStyle name="40% - Accent1 3 2 2 3 2 2 2" xfId="8909"/>
    <cellStyle name="40% - Accent1 3 2 2 3 2 2 2 2" xfId="8910"/>
    <cellStyle name="40% - Accent1 3 2 2 3 2 2 3" xfId="8911"/>
    <cellStyle name="40% - Accent1 3 2 2 3 2 2 4" xfId="8912"/>
    <cellStyle name="40% - Accent1 3 2 2 3 2 3" xfId="8913"/>
    <cellStyle name="40% - Accent1 3 2 2 3 2 3 2" xfId="8914"/>
    <cellStyle name="40% - Accent1 3 2 2 3 2 4" xfId="8915"/>
    <cellStyle name="40% - Accent1 3 2 2 3 2 5" xfId="8916"/>
    <cellStyle name="40% - Accent1 3 2 2 3 3" xfId="8917"/>
    <cellStyle name="40% - Accent1 3 2 2 3 3 2" xfId="8918"/>
    <cellStyle name="40% - Accent1 3 2 2 3 3 2 2" xfId="8919"/>
    <cellStyle name="40% - Accent1 3 2 2 3 3 2 2 2" xfId="8920"/>
    <cellStyle name="40% - Accent1 3 2 2 3 3 2 3" xfId="8921"/>
    <cellStyle name="40% - Accent1 3 2 2 3 3 2 4" xfId="8922"/>
    <cellStyle name="40% - Accent1 3 2 2 3 3 3" xfId="8923"/>
    <cellStyle name="40% - Accent1 3 2 2 3 3 3 2" xfId="8924"/>
    <cellStyle name="40% - Accent1 3 2 2 3 3 4" xfId="8925"/>
    <cellStyle name="40% - Accent1 3 2 2 3 3 5" xfId="8926"/>
    <cellStyle name="40% - Accent1 3 2 2 3 4" xfId="8927"/>
    <cellStyle name="40% - Accent1 3 2 2 3 4 2" xfId="8928"/>
    <cellStyle name="40% - Accent1 3 2 2 3 4 2 2" xfId="8929"/>
    <cellStyle name="40% - Accent1 3 2 2 3 4 3" xfId="8930"/>
    <cellStyle name="40% - Accent1 3 2 2 3 4 4" xfId="8931"/>
    <cellStyle name="40% - Accent1 3 2 2 3 5" xfId="8932"/>
    <cellStyle name="40% - Accent1 3 2 2 3 5 2" xfId="8933"/>
    <cellStyle name="40% - Accent1 3 2 2 3 5 2 2" xfId="8934"/>
    <cellStyle name="40% - Accent1 3 2 2 3 5 3" xfId="8935"/>
    <cellStyle name="40% - Accent1 3 2 2 3 5 4" xfId="8936"/>
    <cellStyle name="40% - Accent1 3 2 2 3 6" xfId="8937"/>
    <cellStyle name="40% - Accent1 3 2 2 3 6 2" xfId="8938"/>
    <cellStyle name="40% - Accent1 3 2 2 3 6 2 2" xfId="8939"/>
    <cellStyle name="40% - Accent1 3 2 2 3 6 3" xfId="8940"/>
    <cellStyle name="40% - Accent1 3 2 2 3 6 4" xfId="8941"/>
    <cellStyle name="40% - Accent1 3 2 2 3 7" xfId="8942"/>
    <cellStyle name="40% - Accent1 3 2 2 3 7 2" xfId="8943"/>
    <cellStyle name="40% - Accent1 3 2 2 3 8" xfId="8944"/>
    <cellStyle name="40% - Accent1 3 2 2 3 9" xfId="8945"/>
    <cellStyle name="40% - Accent1 3 2 2 4" xfId="8946"/>
    <cellStyle name="40% - Accent1 3 2 2 4 2" xfId="8947"/>
    <cellStyle name="40% - Accent1 3 2 2 4 2 2" xfId="8948"/>
    <cellStyle name="40% - Accent1 3 2 2 4 2 2 2" xfId="8949"/>
    <cellStyle name="40% - Accent1 3 2 2 4 2 3" xfId="8950"/>
    <cellStyle name="40% - Accent1 3 2 2 4 2 4" xfId="8951"/>
    <cellStyle name="40% - Accent1 3 2 2 4 3" xfId="8952"/>
    <cellStyle name="40% - Accent1 3 2 2 4 3 2" xfId="8953"/>
    <cellStyle name="40% - Accent1 3 2 2 4 4" xfId="8954"/>
    <cellStyle name="40% - Accent1 3 2 2 4 5" xfId="8955"/>
    <cellStyle name="40% - Accent1 3 2 2 5" xfId="8956"/>
    <cellStyle name="40% - Accent1 3 2 2 5 2" xfId="8957"/>
    <cellStyle name="40% - Accent1 3 2 2 5 2 2" xfId="8958"/>
    <cellStyle name="40% - Accent1 3 2 2 5 2 2 2" xfId="8959"/>
    <cellStyle name="40% - Accent1 3 2 2 5 2 3" xfId="8960"/>
    <cellStyle name="40% - Accent1 3 2 2 5 2 4" xfId="8961"/>
    <cellStyle name="40% - Accent1 3 2 2 5 3" xfId="8962"/>
    <cellStyle name="40% - Accent1 3 2 2 5 3 2" xfId="8963"/>
    <cellStyle name="40% - Accent1 3 2 2 5 4" xfId="8964"/>
    <cellStyle name="40% - Accent1 3 2 2 5 5" xfId="8965"/>
    <cellStyle name="40% - Accent1 3 2 2 6" xfId="8966"/>
    <cellStyle name="40% - Accent1 3 2 2 6 2" xfId="8967"/>
    <cellStyle name="40% - Accent1 3 2 2 6 2 2" xfId="8968"/>
    <cellStyle name="40% - Accent1 3 2 2 6 3" xfId="8969"/>
    <cellStyle name="40% - Accent1 3 2 2 6 4" xfId="8970"/>
    <cellStyle name="40% - Accent1 3 2 2 7" xfId="8971"/>
    <cellStyle name="40% - Accent1 3 2 2 7 2" xfId="8972"/>
    <cellStyle name="40% - Accent1 3 2 2 7 2 2" xfId="8973"/>
    <cellStyle name="40% - Accent1 3 2 2 7 3" xfId="8974"/>
    <cellStyle name="40% - Accent1 3 2 2 7 4" xfId="8975"/>
    <cellStyle name="40% - Accent1 3 2 2 8" xfId="8976"/>
    <cellStyle name="40% - Accent1 3 2 2 8 2" xfId="8977"/>
    <cellStyle name="40% - Accent1 3 2 2 8 2 2" xfId="8978"/>
    <cellStyle name="40% - Accent1 3 2 2 8 3" xfId="8979"/>
    <cellStyle name="40% - Accent1 3 2 2 8 4" xfId="8980"/>
    <cellStyle name="40% - Accent1 3 2 2 9" xfId="8981"/>
    <cellStyle name="40% - Accent1 3 2 2 9 2" xfId="8982"/>
    <cellStyle name="40% - Accent1 3 2 3" xfId="8983"/>
    <cellStyle name="40% - Accent1 3 2 3 10" xfId="8984"/>
    <cellStyle name="40% - Accent1 3 2 3 2" xfId="8985"/>
    <cellStyle name="40% - Accent1 3 2 3 2 2" xfId="8986"/>
    <cellStyle name="40% - Accent1 3 2 3 2 2 2" xfId="8987"/>
    <cellStyle name="40% - Accent1 3 2 3 2 2 2 2" xfId="8988"/>
    <cellStyle name="40% - Accent1 3 2 3 2 2 2 2 2" xfId="8989"/>
    <cellStyle name="40% - Accent1 3 2 3 2 2 2 3" xfId="8990"/>
    <cellStyle name="40% - Accent1 3 2 3 2 2 2 4" xfId="8991"/>
    <cellStyle name="40% - Accent1 3 2 3 2 2 3" xfId="8992"/>
    <cellStyle name="40% - Accent1 3 2 3 2 2 3 2" xfId="8993"/>
    <cellStyle name="40% - Accent1 3 2 3 2 2 4" xfId="8994"/>
    <cellStyle name="40% - Accent1 3 2 3 2 2 5" xfId="8995"/>
    <cellStyle name="40% - Accent1 3 2 3 2 3" xfId="8996"/>
    <cellStyle name="40% - Accent1 3 2 3 2 3 2" xfId="8997"/>
    <cellStyle name="40% - Accent1 3 2 3 2 3 2 2" xfId="8998"/>
    <cellStyle name="40% - Accent1 3 2 3 2 3 2 2 2" xfId="8999"/>
    <cellStyle name="40% - Accent1 3 2 3 2 3 2 3" xfId="9000"/>
    <cellStyle name="40% - Accent1 3 2 3 2 3 2 4" xfId="9001"/>
    <cellStyle name="40% - Accent1 3 2 3 2 3 3" xfId="9002"/>
    <cellStyle name="40% - Accent1 3 2 3 2 3 3 2" xfId="9003"/>
    <cellStyle name="40% - Accent1 3 2 3 2 3 4" xfId="9004"/>
    <cellStyle name="40% - Accent1 3 2 3 2 3 5" xfId="9005"/>
    <cellStyle name="40% - Accent1 3 2 3 2 4" xfId="9006"/>
    <cellStyle name="40% - Accent1 3 2 3 2 4 2" xfId="9007"/>
    <cellStyle name="40% - Accent1 3 2 3 2 4 2 2" xfId="9008"/>
    <cellStyle name="40% - Accent1 3 2 3 2 4 3" xfId="9009"/>
    <cellStyle name="40% - Accent1 3 2 3 2 4 4" xfId="9010"/>
    <cellStyle name="40% - Accent1 3 2 3 2 5" xfId="9011"/>
    <cellStyle name="40% - Accent1 3 2 3 2 5 2" xfId="9012"/>
    <cellStyle name="40% - Accent1 3 2 3 2 5 2 2" xfId="9013"/>
    <cellStyle name="40% - Accent1 3 2 3 2 5 3" xfId="9014"/>
    <cellStyle name="40% - Accent1 3 2 3 2 5 4" xfId="9015"/>
    <cellStyle name="40% - Accent1 3 2 3 2 6" xfId="9016"/>
    <cellStyle name="40% - Accent1 3 2 3 2 6 2" xfId="9017"/>
    <cellStyle name="40% - Accent1 3 2 3 2 6 2 2" xfId="9018"/>
    <cellStyle name="40% - Accent1 3 2 3 2 6 3" xfId="9019"/>
    <cellStyle name="40% - Accent1 3 2 3 2 6 4" xfId="9020"/>
    <cellStyle name="40% - Accent1 3 2 3 2 7" xfId="9021"/>
    <cellStyle name="40% - Accent1 3 2 3 2 7 2" xfId="9022"/>
    <cellStyle name="40% - Accent1 3 2 3 2 8" xfId="9023"/>
    <cellStyle name="40% - Accent1 3 2 3 2 9" xfId="9024"/>
    <cellStyle name="40% - Accent1 3 2 3 3" xfId="9025"/>
    <cellStyle name="40% - Accent1 3 2 3 3 2" xfId="9026"/>
    <cellStyle name="40% - Accent1 3 2 3 3 2 2" xfId="9027"/>
    <cellStyle name="40% - Accent1 3 2 3 3 2 2 2" xfId="9028"/>
    <cellStyle name="40% - Accent1 3 2 3 3 2 3" xfId="9029"/>
    <cellStyle name="40% - Accent1 3 2 3 3 2 4" xfId="9030"/>
    <cellStyle name="40% - Accent1 3 2 3 3 3" xfId="9031"/>
    <cellStyle name="40% - Accent1 3 2 3 3 3 2" xfId="9032"/>
    <cellStyle name="40% - Accent1 3 2 3 3 4" xfId="9033"/>
    <cellStyle name="40% - Accent1 3 2 3 3 5" xfId="9034"/>
    <cellStyle name="40% - Accent1 3 2 3 4" xfId="9035"/>
    <cellStyle name="40% - Accent1 3 2 3 4 2" xfId="9036"/>
    <cellStyle name="40% - Accent1 3 2 3 4 2 2" xfId="9037"/>
    <cellStyle name="40% - Accent1 3 2 3 4 2 2 2" xfId="9038"/>
    <cellStyle name="40% - Accent1 3 2 3 4 2 3" xfId="9039"/>
    <cellStyle name="40% - Accent1 3 2 3 4 2 4" xfId="9040"/>
    <cellStyle name="40% - Accent1 3 2 3 4 3" xfId="9041"/>
    <cellStyle name="40% - Accent1 3 2 3 4 3 2" xfId="9042"/>
    <cellStyle name="40% - Accent1 3 2 3 4 4" xfId="9043"/>
    <cellStyle name="40% - Accent1 3 2 3 4 5" xfId="9044"/>
    <cellStyle name="40% - Accent1 3 2 3 5" xfId="9045"/>
    <cellStyle name="40% - Accent1 3 2 3 5 2" xfId="9046"/>
    <cellStyle name="40% - Accent1 3 2 3 5 2 2" xfId="9047"/>
    <cellStyle name="40% - Accent1 3 2 3 5 3" xfId="9048"/>
    <cellStyle name="40% - Accent1 3 2 3 5 4" xfId="9049"/>
    <cellStyle name="40% - Accent1 3 2 3 6" xfId="9050"/>
    <cellStyle name="40% - Accent1 3 2 3 6 2" xfId="9051"/>
    <cellStyle name="40% - Accent1 3 2 3 6 2 2" xfId="9052"/>
    <cellStyle name="40% - Accent1 3 2 3 6 3" xfId="9053"/>
    <cellStyle name="40% - Accent1 3 2 3 6 4" xfId="9054"/>
    <cellStyle name="40% - Accent1 3 2 3 7" xfId="9055"/>
    <cellStyle name="40% - Accent1 3 2 3 7 2" xfId="9056"/>
    <cellStyle name="40% - Accent1 3 2 3 7 2 2" xfId="9057"/>
    <cellStyle name="40% - Accent1 3 2 3 7 3" xfId="9058"/>
    <cellStyle name="40% - Accent1 3 2 3 7 4" xfId="9059"/>
    <cellStyle name="40% - Accent1 3 2 3 8" xfId="9060"/>
    <cellStyle name="40% - Accent1 3 2 3 8 2" xfId="9061"/>
    <cellStyle name="40% - Accent1 3 2 3 9" xfId="9062"/>
    <cellStyle name="40% - Accent1 3 2 4" xfId="9063"/>
    <cellStyle name="40% - Accent1 3 2 4 2" xfId="9064"/>
    <cellStyle name="40% - Accent1 3 2 4 2 2" xfId="9065"/>
    <cellStyle name="40% - Accent1 3 2 4 2 2 2" xfId="9066"/>
    <cellStyle name="40% - Accent1 3 2 4 2 2 2 2" xfId="9067"/>
    <cellStyle name="40% - Accent1 3 2 4 2 2 3" xfId="9068"/>
    <cellStyle name="40% - Accent1 3 2 4 2 2 4" xfId="9069"/>
    <cellStyle name="40% - Accent1 3 2 4 2 3" xfId="9070"/>
    <cellStyle name="40% - Accent1 3 2 4 2 3 2" xfId="9071"/>
    <cellStyle name="40% - Accent1 3 2 4 2 4" xfId="9072"/>
    <cellStyle name="40% - Accent1 3 2 4 2 5" xfId="9073"/>
    <cellStyle name="40% - Accent1 3 2 4 3" xfId="9074"/>
    <cellStyle name="40% - Accent1 3 2 4 3 2" xfId="9075"/>
    <cellStyle name="40% - Accent1 3 2 4 3 2 2" xfId="9076"/>
    <cellStyle name="40% - Accent1 3 2 4 3 2 2 2" xfId="9077"/>
    <cellStyle name="40% - Accent1 3 2 4 3 2 3" xfId="9078"/>
    <cellStyle name="40% - Accent1 3 2 4 3 2 4" xfId="9079"/>
    <cellStyle name="40% - Accent1 3 2 4 3 3" xfId="9080"/>
    <cellStyle name="40% - Accent1 3 2 4 3 3 2" xfId="9081"/>
    <cellStyle name="40% - Accent1 3 2 4 3 4" xfId="9082"/>
    <cellStyle name="40% - Accent1 3 2 4 3 5" xfId="9083"/>
    <cellStyle name="40% - Accent1 3 2 4 4" xfId="9084"/>
    <cellStyle name="40% - Accent1 3 2 4 4 2" xfId="9085"/>
    <cellStyle name="40% - Accent1 3 2 4 4 2 2" xfId="9086"/>
    <cellStyle name="40% - Accent1 3 2 4 4 3" xfId="9087"/>
    <cellStyle name="40% - Accent1 3 2 4 4 4" xfId="9088"/>
    <cellStyle name="40% - Accent1 3 2 4 5" xfId="9089"/>
    <cellStyle name="40% - Accent1 3 2 4 5 2" xfId="9090"/>
    <cellStyle name="40% - Accent1 3 2 4 5 2 2" xfId="9091"/>
    <cellStyle name="40% - Accent1 3 2 4 5 3" xfId="9092"/>
    <cellStyle name="40% - Accent1 3 2 4 5 4" xfId="9093"/>
    <cellStyle name="40% - Accent1 3 2 4 6" xfId="9094"/>
    <cellStyle name="40% - Accent1 3 2 4 6 2" xfId="9095"/>
    <cellStyle name="40% - Accent1 3 2 4 6 2 2" xfId="9096"/>
    <cellStyle name="40% - Accent1 3 2 4 6 3" xfId="9097"/>
    <cellStyle name="40% - Accent1 3 2 4 6 4" xfId="9098"/>
    <cellStyle name="40% - Accent1 3 2 4 7" xfId="9099"/>
    <cellStyle name="40% - Accent1 3 2 4 7 2" xfId="9100"/>
    <cellStyle name="40% - Accent1 3 2 4 8" xfId="9101"/>
    <cellStyle name="40% - Accent1 3 2 4 9" xfId="9102"/>
    <cellStyle name="40% - Accent1 3 2 5" xfId="9103"/>
    <cellStyle name="40% - Accent1 3 2 5 2" xfId="9104"/>
    <cellStyle name="40% - Accent1 3 2 5 2 2" xfId="9105"/>
    <cellStyle name="40% - Accent1 3 2 5 2 2 2" xfId="9106"/>
    <cellStyle name="40% - Accent1 3 2 5 2 3" xfId="9107"/>
    <cellStyle name="40% - Accent1 3 2 5 2 4" xfId="9108"/>
    <cellStyle name="40% - Accent1 3 2 5 3" xfId="9109"/>
    <cellStyle name="40% - Accent1 3 2 5 3 2" xfId="9110"/>
    <cellStyle name="40% - Accent1 3 2 5 4" xfId="9111"/>
    <cellStyle name="40% - Accent1 3 2 5 5" xfId="9112"/>
    <cellStyle name="40% - Accent1 3 2 6" xfId="9113"/>
    <cellStyle name="40% - Accent1 3 2 6 2" xfId="9114"/>
    <cellStyle name="40% - Accent1 3 2 6 2 2" xfId="9115"/>
    <cellStyle name="40% - Accent1 3 2 6 2 2 2" xfId="9116"/>
    <cellStyle name="40% - Accent1 3 2 6 2 3" xfId="9117"/>
    <cellStyle name="40% - Accent1 3 2 6 2 4" xfId="9118"/>
    <cellStyle name="40% - Accent1 3 2 6 3" xfId="9119"/>
    <cellStyle name="40% - Accent1 3 2 6 3 2" xfId="9120"/>
    <cellStyle name="40% - Accent1 3 2 6 4" xfId="9121"/>
    <cellStyle name="40% - Accent1 3 2 6 5" xfId="9122"/>
    <cellStyle name="40% - Accent1 3 2 7" xfId="9123"/>
    <cellStyle name="40% - Accent1 3 2 7 2" xfId="9124"/>
    <cellStyle name="40% - Accent1 3 2 7 2 2" xfId="9125"/>
    <cellStyle name="40% - Accent1 3 2 7 3" xfId="9126"/>
    <cellStyle name="40% - Accent1 3 2 7 4" xfId="9127"/>
    <cellStyle name="40% - Accent1 3 2 8" xfId="9128"/>
    <cellStyle name="40% - Accent1 3 2 8 2" xfId="9129"/>
    <cellStyle name="40% - Accent1 3 2 8 2 2" xfId="9130"/>
    <cellStyle name="40% - Accent1 3 2 8 3" xfId="9131"/>
    <cellStyle name="40% - Accent1 3 2 8 4" xfId="9132"/>
    <cellStyle name="40% - Accent1 3 2 9" xfId="9133"/>
    <cellStyle name="40% - Accent1 3 2 9 2" xfId="9134"/>
    <cellStyle name="40% - Accent1 3 2 9 2 2" xfId="9135"/>
    <cellStyle name="40% - Accent1 3 2 9 3" xfId="9136"/>
    <cellStyle name="40% - Accent1 3 2 9 4" xfId="9137"/>
    <cellStyle name="40% - Accent1 3 3" xfId="9138"/>
    <cellStyle name="40% - Accent1 3 4" xfId="9139"/>
    <cellStyle name="40% - Accent1 3 5" xfId="9140"/>
    <cellStyle name="40% - Accent1 3 6" xfId="35505"/>
    <cellStyle name="40% - Accent1 3 7" xfId="8817"/>
    <cellStyle name="40% - Accent1 3 8" xfId="35932"/>
    <cellStyle name="40% - Accent1 4" xfId="108"/>
    <cellStyle name="40% - Accent1 4 10" xfId="9141"/>
    <cellStyle name="40% - Accent1 4 10 2" xfId="9142"/>
    <cellStyle name="40% - Accent1 4 11" xfId="9143"/>
    <cellStyle name="40% - Accent1 4 12" xfId="9144"/>
    <cellStyle name="40% - Accent1 4 2" xfId="109"/>
    <cellStyle name="40% - Accent1 4 2 10" xfId="9145"/>
    <cellStyle name="40% - Accent1 4 2 11" xfId="9146"/>
    <cellStyle name="40% - Accent1 4 2 2" xfId="214"/>
    <cellStyle name="40% - Accent1 4 2 2 10" xfId="9147"/>
    <cellStyle name="40% - Accent1 4 2 2 2" xfId="378"/>
    <cellStyle name="40% - Accent1 4 2 2 2 2" xfId="9148"/>
    <cellStyle name="40% - Accent1 4 2 2 2 2 2" xfId="9149"/>
    <cellStyle name="40% - Accent1 4 2 2 2 2 2 2" xfId="9150"/>
    <cellStyle name="40% - Accent1 4 2 2 2 2 2 2 2" xfId="9151"/>
    <cellStyle name="40% - Accent1 4 2 2 2 2 2 3" xfId="9152"/>
    <cellStyle name="40% - Accent1 4 2 2 2 2 2 4" xfId="9153"/>
    <cellStyle name="40% - Accent1 4 2 2 2 2 3" xfId="9154"/>
    <cellStyle name="40% - Accent1 4 2 2 2 2 3 2" xfId="9155"/>
    <cellStyle name="40% - Accent1 4 2 2 2 2 4" xfId="9156"/>
    <cellStyle name="40% - Accent1 4 2 2 2 2 5" xfId="9157"/>
    <cellStyle name="40% - Accent1 4 2 2 2 3" xfId="9158"/>
    <cellStyle name="40% - Accent1 4 2 2 2 3 2" xfId="9159"/>
    <cellStyle name="40% - Accent1 4 2 2 2 3 2 2" xfId="9160"/>
    <cellStyle name="40% - Accent1 4 2 2 2 3 2 2 2" xfId="9161"/>
    <cellStyle name="40% - Accent1 4 2 2 2 3 2 3" xfId="9162"/>
    <cellStyle name="40% - Accent1 4 2 2 2 3 2 4" xfId="9163"/>
    <cellStyle name="40% - Accent1 4 2 2 2 3 3" xfId="9164"/>
    <cellStyle name="40% - Accent1 4 2 2 2 3 3 2" xfId="9165"/>
    <cellStyle name="40% - Accent1 4 2 2 2 3 4" xfId="9166"/>
    <cellStyle name="40% - Accent1 4 2 2 2 3 5" xfId="9167"/>
    <cellStyle name="40% - Accent1 4 2 2 2 4" xfId="9168"/>
    <cellStyle name="40% - Accent1 4 2 2 2 4 2" xfId="9169"/>
    <cellStyle name="40% - Accent1 4 2 2 2 4 2 2" xfId="9170"/>
    <cellStyle name="40% - Accent1 4 2 2 2 4 3" xfId="9171"/>
    <cellStyle name="40% - Accent1 4 2 2 2 4 4" xfId="9172"/>
    <cellStyle name="40% - Accent1 4 2 2 2 5" xfId="9173"/>
    <cellStyle name="40% - Accent1 4 2 2 2 5 2" xfId="9174"/>
    <cellStyle name="40% - Accent1 4 2 2 2 5 2 2" xfId="9175"/>
    <cellStyle name="40% - Accent1 4 2 2 2 5 3" xfId="9176"/>
    <cellStyle name="40% - Accent1 4 2 2 2 5 4" xfId="9177"/>
    <cellStyle name="40% - Accent1 4 2 2 2 6" xfId="9178"/>
    <cellStyle name="40% - Accent1 4 2 2 2 6 2" xfId="9179"/>
    <cellStyle name="40% - Accent1 4 2 2 2 6 2 2" xfId="9180"/>
    <cellStyle name="40% - Accent1 4 2 2 2 6 3" xfId="9181"/>
    <cellStyle name="40% - Accent1 4 2 2 2 6 4" xfId="9182"/>
    <cellStyle name="40% - Accent1 4 2 2 2 7" xfId="9183"/>
    <cellStyle name="40% - Accent1 4 2 2 2 7 2" xfId="9184"/>
    <cellStyle name="40% - Accent1 4 2 2 2 8" xfId="9185"/>
    <cellStyle name="40% - Accent1 4 2 2 2 9" xfId="9186"/>
    <cellStyle name="40% - Accent1 4 2 2 3" xfId="9187"/>
    <cellStyle name="40% - Accent1 4 2 2 3 2" xfId="9188"/>
    <cellStyle name="40% - Accent1 4 2 2 3 2 2" xfId="9189"/>
    <cellStyle name="40% - Accent1 4 2 2 3 2 2 2" xfId="9190"/>
    <cellStyle name="40% - Accent1 4 2 2 3 2 3" xfId="9191"/>
    <cellStyle name="40% - Accent1 4 2 2 3 2 4" xfId="9192"/>
    <cellStyle name="40% - Accent1 4 2 2 3 3" xfId="9193"/>
    <cellStyle name="40% - Accent1 4 2 2 3 3 2" xfId="9194"/>
    <cellStyle name="40% - Accent1 4 2 2 3 4" xfId="9195"/>
    <cellStyle name="40% - Accent1 4 2 2 3 5" xfId="9196"/>
    <cellStyle name="40% - Accent1 4 2 2 4" xfId="9197"/>
    <cellStyle name="40% - Accent1 4 2 2 4 2" xfId="9198"/>
    <cellStyle name="40% - Accent1 4 2 2 4 2 2" xfId="9199"/>
    <cellStyle name="40% - Accent1 4 2 2 4 2 2 2" xfId="9200"/>
    <cellStyle name="40% - Accent1 4 2 2 4 2 3" xfId="9201"/>
    <cellStyle name="40% - Accent1 4 2 2 4 2 4" xfId="9202"/>
    <cellStyle name="40% - Accent1 4 2 2 4 3" xfId="9203"/>
    <cellStyle name="40% - Accent1 4 2 2 4 3 2" xfId="9204"/>
    <cellStyle name="40% - Accent1 4 2 2 4 4" xfId="9205"/>
    <cellStyle name="40% - Accent1 4 2 2 4 5" xfId="9206"/>
    <cellStyle name="40% - Accent1 4 2 2 5" xfId="9207"/>
    <cellStyle name="40% - Accent1 4 2 2 5 2" xfId="9208"/>
    <cellStyle name="40% - Accent1 4 2 2 5 2 2" xfId="9209"/>
    <cellStyle name="40% - Accent1 4 2 2 5 3" xfId="9210"/>
    <cellStyle name="40% - Accent1 4 2 2 5 4" xfId="9211"/>
    <cellStyle name="40% - Accent1 4 2 2 6" xfId="9212"/>
    <cellStyle name="40% - Accent1 4 2 2 6 2" xfId="9213"/>
    <cellStyle name="40% - Accent1 4 2 2 6 2 2" xfId="9214"/>
    <cellStyle name="40% - Accent1 4 2 2 6 3" xfId="9215"/>
    <cellStyle name="40% - Accent1 4 2 2 6 4" xfId="9216"/>
    <cellStyle name="40% - Accent1 4 2 2 7" xfId="9217"/>
    <cellStyle name="40% - Accent1 4 2 2 7 2" xfId="9218"/>
    <cellStyle name="40% - Accent1 4 2 2 7 2 2" xfId="9219"/>
    <cellStyle name="40% - Accent1 4 2 2 7 3" xfId="9220"/>
    <cellStyle name="40% - Accent1 4 2 2 7 4" xfId="9221"/>
    <cellStyle name="40% - Accent1 4 2 2 8" xfId="9222"/>
    <cellStyle name="40% - Accent1 4 2 2 8 2" xfId="9223"/>
    <cellStyle name="40% - Accent1 4 2 2 9" xfId="9224"/>
    <cellStyle name="40% - Accent1 4 2 3" xfId="334"/>
    <cellStyle name="40% - Accent1 4 2 3 2" xfId="415"/>
    <cellStyle name="40% - Accent1 4 2 3 2 2" xfId="9225"/>
    <cellStyle name="40% - Accent1 4 2 3 2 2 2" xfId="9226"/>
    <cellStyle name="40% - Accent1 4 2 3 2 2 2 2" xfId="9227"/>
    <cellStyle name="40% - Accent1 4 2 3 2 2 3" xfId="9228"/>
    <cellStyle name="40% - Accent1 4 2 3 2 2 4" xfId="9229"/>
    <cellStyle name="40% - Accent1 4 2 3 2 3" xfId="9230"/>
    <cellStyle name="40% - Accent1 4 2 3 2 3 2" xfId="9231"/>
    <cellStyle name="40% - Accent1 4 2 3 2 4" xfId="9232"/>
    <cellStyle name="40% - Accent1 4 2 3 2 5" xfId="9233"/>
    <cellStyle name="40% - Accent1 4 2 3 3" xfId="9234"/>
    <cellStyle name="40% - Accent1 4 2 3 3 2" xfId="9235"/>
    <cellStyle name="40% - Accent1 4 2 3 3 2 2" xfId="9236"/>
    <cellStyle name="40% - Accent1 4 2 3 3 2 2 2" xfId="9237"/>
    <cellStyle name="40% - Accent1 4 2 3 3 2 3" xfId="9238"/>
    <cellStyle name="40% - Accent1 4 2 3 3 2 4" xfId="9239"/>
    <cellStyle name="40% - Accent1 4 2 3 3 3" xfId="9240"/>
    <cellStyle name="40% - Accent1 4 2 3 3 3 2" xfId="9241"/>
    <cellStyle name="40% - Accent1 4 2 3 3 4" xfId="9242"/>
    <cellStyle name="40% - Accent1 4 2 3 3 5" xfId="9243"/>
    <cellStyle name="40% - Accent1 4 2 3 4" xfId="9244"/>
    <cellStyle name="40% - Accent1 4 2 3 4 2" xfId="9245"/>
    <cellStyle name="40% - Accent1 4 2 3 4 2 2" xfId="9246"/>
    <cellStyle name="40% - Accent1 4 2 3 4 3" xfId="9247"/>
    <cellStyle name="40% - Accent1 4 2 3 4 4" xfId="9248"/>
    <cellStyle name="40% - Accent1 4 2 3 5" xfId="9249"/>
    <cellStyle name="40% - Accent1 4 2 3 5 2" xfId="9250"/>
    <cellStyle name="40% - Accent1 4 2 3 5 2 2" xfId="9251"/>
    <cellStyle name="40% - Accent1 4 2 3 5 3" xfId="9252"/>
    <cellStyle name="40% - Accent1 4 2 3 5 4" xfId="9253"/>
    <cellStyle name="40% - Accent1 4 2 3 6" xfId="9254"/>
    <cellStyle name="40% - Accent1 4 2 3 6 2" xfId="9255"/>
    <cellStyle name="40% - Accent1 4 2 3 6 2 2" xfId="9256"/>
    <cellStyle name="40% - Accent1 4 2 3 6 3" xfId="9257"/>
    <cellStyle name="40% - Accent1 4 2 3 6 4" xfId="9258"/>
    <cellStyle name="40% - Accent1 4 2 3 7" xfId="9259"/>
    <cellStyle name="40% - Accent1 4 2 3 7 2" xfId="9260"/>
    <cellStyle name="40% - Accent1 4 2 3 8" xfId="9261"/>
    <cellStyle name="40% - Accent1 4 2 3 9" xfId="9262"/>
    <cellStyle name="40% - Accent1 4 2 4" xfId="357"/>
    <cellStyle name="40% - Accent1 4 2 4 2" xfId="9263"/>
    <cellStyle name="40% - Accent1 4 2 4 2 2" xfId="9264"/>
    <cellStyle name="40% - Accent1 4 2 4 2 2 2" xfId="9265"/>
    <cellStyle name="40% - Accent1 4 2 4 2 3" xfId="9266"/>
    <cellStyle name="40% - Accent1 4 2 4 2 4" xfId="9267"/>
    <cellStyle name="40% - Accent1 4 2 4 3" xfId="9268"/>
    <cellStyle name="40% - Accent1 4 2 4 3 2" xfId="9269"/>
    <cellStyle name="40% - Accent1 4 2 4 4" xfId="9270"/>
    <cellStyle name="40% - Accent1 4 2 4 5" xfId="9271"/>
    <cellStyle name="40% - Accent1 4 2 5" xfId="9272"/>
    <cellStyle name="40% - Accent1 4 2 5 2" xfId="9273"/>
    <cellStyle name="40% - Accent1 4 2 5 2 2" xfId="9274"/>
    <cellStyle name="40% - Accent1 4 2 5 2 2 2" xfId="9275"/>
    <cellStyle name="40% - Accent1 4 2 5 2 3" xfId="9276"/>
    <cellStyle name="40% - Accent1 4 2 5 2 4" xfId="9277"/>
    <cellStyle name="40% - Accent1 4 2 5 3" xfId="9278"/>
    <cellStyle name="40% - Accent1 4 2 5 3 2" xfId="9279"/>
    <cellStyle name="40% - Accent1 4 2 5 4" xfId="9280"/>
    <cellStyle name="40% - Accent1 4 2 5 5" xfId="9281"/>
    <cellStyle name="40% - Accent1 4 2 6" xfId="9282"/>
    <cellStyle name="40% - Accent1 4 2 6 2" xfId="9283"/>
    <cellStyle name="40% - Accent1 4 2 6 2 2" xfId="9284"/>
    <cellStyle name="40% - Accent1 4 2 6 3" xfId="9285"/>
    <cellStyle name="40% - Accent1 4 2 6 4" xfId="9286"/>
    <cellStyle name="40% - Accent1 4 2 7" xfId="9287"/>
    <cellStyle name="40% - Accent1 4 2 7 2" xfId="9288"/>
    <cellStyle name="40% - Accent1 4 2 7 2 2" xfId="9289"/>
    <cellStyle name="40% - Accent1 4 2 7 3" xfId="9290"/>
    <cellStyle name="40% - Accent1 4 2 7 4" xfId="9291"/>
    <cellStyle name="40% - Accent1 4 2 8" xfId="9292"/>
    <cellStyle name="40% - Accent1 4 2 8 2" xfId="9293"/>
    <cellStyle name="40% - Accent1 4 2 8 2 2" xfId="9294"/>
    <cellStyle name="40% - Accent1 4 2 8 3" xfId="9295"/>
    <cellStyle name="40% - Accent1 4 2 8 4" xfId="9296"/>
    <cellStyle name="40% - Accent1 4 2 9" xfId="9297"/>
    <cellStyle name="40% - Accent1 4 2 9 2" xfId="9298"/>
    <cellStyle name="40% - Accent1 4 3" xfId="215"/>
    <cellStyle name="40% - Accent1 4 3 10" xfId="9299"/>
    <cellStyle name="40% - Accent1 4 3 2" xfId="379"/>
    <cellStyle name="40% - Accent1 4 3 2 2" xfId="9300"/>
    <cellStyle name="40% - Accent1 4 3 2 2 2" xfId="9301"/>
    <cellStyle name="40% - Accent1 4 3 2 2 2 2" xfId="9302"/>
    <cellStyle name="40% - Accent1 4 3 2 2 2 2 2" xfId="9303"/>
    <cellStyle name="40% - Accent1 4 3 2 2 2 3" xfId="9304"/>
    <cellStyle name="40% - Accent1 4 3 2 2 2 4" xfId="9305"/>
    <cellStyle name="40% - Accent1 4 3 2 2 3" xfId="9306"/>
    <cellStyle name="40% - Accent1 4 3 2 2 3 2" xfId="9307"/>
    <cellStyle name="40% - Accent1 4 3 2 2 4" xfId="9308"/>
    <cellStyle name="40% - Accent1 4 3 2 2 5" xfId="9309"/>
    <cellStyle name="40% - Accent1 4 3 2 3" xfId="9310"/>
    <cellStyle name="40% - Accent1 4 3 2 3 2" xfId="9311"/>
    <cellStyle name="40% - Accent1 4 3 2 3 2 2" xfId="9312"/>
    <cellStyle name="40% - Accent1 4 3 2 3 2 2 2" xfId="9313"/>
    <cellStyle name="40% - Accent1 4 3 2 3 2 3" xfId="9314"/>
    <cellStyle name="40% - Accent1 4 3 2 3 2 4" xfId="9315"/>
    <cellStyle name="40% - Accent1 4 3 2 3 3" xfId="9316"/>
    <cellStyle name="40% - Accent1 4 3 2 3 3 2" xfId="9317"/>
    <cellStyle name="40% - Accent1 4 3 2 3 4" xfId="9318"/>
    <cellStyle name="40% - Accent1 4 3 2 3 5" xfId="9319"/>
    <cellStyle name="40% - Accent1 4 3 2 4" xfId="9320"/>
    <cellStyle name="40% - Accent1 4 3 2 4 2" xfId="9321"/>
    <cellStyle name="40% - Accent1 4 3 2 4 2 2" xfId="9322"/>
    <cellStyle name="40% - Accent1 4 3 2 4 3" xfId="9323"/>
    <cellStyle name="40% - Accent1 4 3 2 4 4" xfId="9324"/>
    <cellStyle name="40% - Accent1 4 3 2 5" xfId="9325"/>
    <cellStyle name="40% - Accent1 4 3 2 5 2" xfId="9326"/>
    <cellStyle name="40% - Accent1 4 3 2 5 2 2" xfId="9327"/>
    <cellStyle name="40% - Accent1 4 3 2 5 3" xfId="9328"/>
    <cellStyle name="40% - Accent1 4 3 2 5 4" xfId="9329"/>
    <cellStyle name="40% - Accent1 4 3 2 6" xfId="9330"/>
    <cellStyle name="40% - Accent1 4 3 2 6 2" xfId="9331"/>
    <cellStyle name="40% - Accent1 4 3 2 6 2 2" xfId="9332"/>
    <cellStyle name="40% - Accent1 4 3 2 6 3" xfId="9333"/>
    <cellStyle name="40% - Accent1 4 3 2 6 4" xfId="9334"/>
    <cellStyle name="40% - Accent1 4 3 2 7" xfId="9335"/>
    <cellStyle name="40% - Accent1 4 3 2 7 2" xfId="9336"/>
    <cellStyle name="40% - Accent1 4 3 2 8" xfId="9337"/>
    <cellStyle name="40% - Accent1 4 3 2 9" xfId="9338"/>
    <cellStyle name="40% - Accent1 4 3 3" xfId="9339"/>
    <cellStyle name="40% - Accent1 4 3 3 2" xfId="9340"/>
    <cellStyle name="40% - Accent1 4 3 3 2 2" xfId="9341"/>
    <cellStyle name="40% - Accent1 4 3 3 2 2 2" xfId="9342"/>
    <cellStyle name="40% - Accent1 4 3 3 2 3" xfId="9343"/>
    <cellStyle name="40% - Accent1 4 3 3 2 4" xfId="9344"/>
    <cellStyle name="40% - Accent1 4 3 3 3" xfId="9345"/>
    <cellStyle name="40% - Accent1 4 3 3 3 2" xfId="9346"/>
    <cellStyle name="40% - Accent1 4 3 3 4" xfId="9347"/>
    <cellStyle name="40% - Accent1 4 3 3 5" xfId="9348"/>
    <cellStyle name="40% - Accent1 4 3 4" xfId="9349"/>
    <cellStyle name="40% - Accent1 4 3 4 2" xfId="9350"/>
    <cellStyle name="40% - Accent1 4 3 4 2 2" xfId="9351"/>
    <cellStyle name="40% - Accent1 4 3 4 2 2 2" xfId="9352"/>
    <cellStyle name="40% - Accent1 4 3 4 2 3" xfId="9353"/>
    <cellStyle name="40% - Accent1 4 3 4 2 4" xfId="9354"/>
    <cellStyle name="40% - Accent1 4 3 4 3" xfId="9355"/>
    <cellStyle name="40% - Accent1 4 3 4 3 2" xfId="9356"/>
    <cellStyle name="40% - Accent1 4 3 4 4" xfId="9357"/>
    <cellStyle name="40% - Accent1 4 3 4 5" xfId="9358"/>
    <cellStyle name="40% - Accent1 4 3 5" xfId="9359"/>
    <cellStyle name="40% - Accent1 4 3 5 2" xfId="9360"/>
    <cellStyle name="40% - Accent1 4 3 5 2 2" xfId="9361"/>
    <cellStyle name="40% - Accent1 4 3 5 3" xfId="9362"/>
    <cellStyle name="40% - Accent1 4 3 5 4" xfId="9363"/>
    <cellStyle name="40% - Accent1 4 3 6" xfId="9364"/>
    <cellStyle name="40% - Accent1 4 3 6 2" xfId="9365"/>
    <cellStyle name="40% - Accent1 4 3 6 2 2" xfId="9366"/>
    <cellStyle name="40% - Accent1 4 3 6 3" xfId="9367"/>
    <cellStyle name="40% - Accent1 4 3 6 4" xfId="9368"/>
    <cellStyle name="40% - Accent1 4 3 7" xfId="9369"/>
    <cellStyle name="40% - Accent1 4 3 7 2" xfId="9370"/>
    <cellStyle name="40% - Accent1 4 3 7 2 2" xfId="9371"/>
    <cellStyle name="40% - Accent1 4 3 7 3" xfId="9372"/>
    <cellStyle name="40% - Accent1 4 3 7 4" xfId="9373"/>
    <cellStyle name="40% - Accent1 4 3 8" xfId="9374"/>
    <cellStyle name="40% - Accent1 4 3 8 2" xfId="9375"/>
    <cellStyle name="40% - Accent1 4 3 9" xfId="9376"/>
    <cellStyle name="40% - Accent1 4 4" xfId="216"/>
    <cellStyle name="40% - Accent1 4 4 2" xfId="380"/>
    <cellStyle name="40% - Accent1 4 4 2 2" xfId="9377"/>
    <cellStyle name="40% - Accent1 4 4 2 2 2" xfId="9378"/>
    <cellStyle name="40% - Accent1 4 4 2 2 2 2" xfId="9379"/>
    <cellStyle name="40% - Accent1 4 4 2 2 3" xfId="9380"/>
    <cellStyle name="40% - Accent1 4 4 2 2 4" xfId="9381"/>
    <cellStyle name="40% - Accent1 4 4 2 3" xfId="9382"/>
    <cellStyle name="40% - Accent1 4 4 2 3 2" xfId="9383"/>
    <cellStyle name="40% - Accent1 4 4 2 4" xfId="9384"/>
    <cellStyle name="40% - Accent1 4 4 2 5" xfId="9385"/>
    <cellStyle name="40% - Accent1 4 4 3" xfId="9386"/>
    <cellStyle name="40% - Accent1 4 4 3 2" xfId="9387"/>
    <cellStyle name="40% - Accent1 4 4 3 2 2" xfId="9388"/>
    <cellStyle name="40% - Accent1 4 4 3 2 2 2" xfId="9389"/>
    <cellStyle name="40% - Accent1 4 4 3 2 3" xfId="9390"/>
    <cellStyle name="40% - Accent1 4 4 3 2 4" xfId="9391"/>
    <cellStyle name="40% - Accent1 4 4 3 3" xfId="9392"/>
    <cellStyle name="40% - Accent1 4 4 3 3 2" xfId="9393"/>
    <cellStyle name="40% - Accent1 4 4 3 4" xfId="9394"/>
    <cellStyle name="40% - Accent1 4 4 3 5" xfId="9395"/>
    <cellStyle name="40% - Accent1 4 4 4" xfId="9396"/>
    <cellStyle name="40% - Accent1 4 4 4 2" xfId="9397"/>
    <cellStyle name="40% - Accent1 4 4 4 2 2" xfId="9398"/>
    <cellStyle name="40% - Accent1 4 4 4 3" xfId="9399"/>
    <cellStyle name="40% - Accent1 4 4 4 4" xfId="9400"/>
    <cellStyle name="40% - Accent1 4 4 5" xfId="9401"/>
    <cellStyle name="40% - Accent1 4 4 5 2" xfId="9402"/>
    <cellStyle name="40% - Accent1 4 4 5 2 2" xfId="9403"/>
    <cellStyle name="40% - Accent1 4 4 5 3" xfId="9404"/>
    <cellStyle name="40% - Accent1 4 4 5 4" xfId="9405"/>
    <cellStyle name="40% - Accent1 4 4 6" xfId="9406"/>
    <cellStyle name="40% - Accent1 4 4 6 2" xfId="9407"/>
    <cellStyle name="40% - Accent1 4 4 6 2 2" xfId="9408"/>
    <cellStyle name="40% - Accent1 4 4 6 3" xfId="9409"/>
    <cellStyle name="40% - Accent1 4 4 6 4" xfId="9410"/>
    <cellStyle name="40% - Accent1 4 4 7" xfId="9411"/>
    <cellStyle name="40% - Accent1 4 4 7 2" xfId="9412"/>
    <cellStyle name="40% - Accent1 4 4 8" xfId="9413"/>
    <cellStyle name="40% - Accent1 4 4 9" xfId="9414"/>
    <cellStyle name="40% - Accent1 4 5" xfId="333"/>
    <cellStyle name="40% - Accent1 4 5 2" xfId="414"/>
    <cellStyle name="40% - Accent1 4 5 2 2" xfId="9416"/>
    <cellStyle name="40% - Accent1 4 5 2 2 2" xfId="9417"/>
    <cellStyle name="40% - Accent1 4 5 2 3" xfId="9418"/>
    <cellStyle name="40% - Accent1 4 5 2 4" xfId="9419"/>
    <cellStyle name="40% - Accent1 4 5 3" xfId="9420"/>
    <cellStyle name="40% - Accent1 4 5 4" xfId="9421"/>
    <cellStyle name="40% - Accent1 4 5 4 2" xfId="9422"/>
    <cellStyle name="40% - Accent1 4 5 5" xfId="9423"/>
    <cellStyle name="40% - Accent1 4 5 6" xfId="9424"/>
    <cellStyle name="40% - Accent1 4 5 7" xfId="9415"/>
    <cellStyle name="40% - Accent1 4 6" xfId="356"/>
    <cellStyle name="40% - Accent1 4 6 2" xfId="9426"/>
    <cellStyle name="40% - Accent1 4 6 2 2" xfId="9427"/>
    <cellStyle name="40% - Accent1 4 6 2 2 2" xfId="9428"/>
    <cellStyle name="40% - Accent1 4 6 2 3" xfId="9429"/>
    <cellStyle name="40% - Accent1 4 6 2 4" xfId="9430"/>
    <cellStyle name="40% - Accent1 4 6 3" xfId="9431"/>
    <cellStyle name="40% - Accent1 4 6 3 2" xfId="9432"/>
    <cellStyle name="40% - Accent1 4 6 3 2 2" xfId="9433"/>
    <cellStyle name="40% - Accent1 4 6 3 3" xfId="9434"/>
    <cellStyle name="40% - Accent1 4 6 3 4" xfId="9435"/>
    <cellStyle name="40% - Accent1 4 6 4" xfId="9436"/>
    <cellStyle name="40% - Accent1 4 6 4 2" xfId="9437"/>
    <cellStyle name="40% - Accent1 4 6 5" xfId="9438"/>
    <cellStyle name="40% - Accent1 4 6 6" xfId="9439"/>
    <cellStyle name="40% - Accent1 4 6 7" xfId="9425"/>
    <cellStyle name="40% - Accent1 4 7" xfId="9440"/>
    <cellStyle name="40% - Accent1 4 7 2" xfId="9441"/>
    <cellStyle name="40% - Accent1 4 7 2 2" xfId="9442"/>
    <cellStyle name="40% - Accent1 4 7 3" xfId="9443"/>
    <cellStyle name="40% - Accent1 4 7 4" xfId="9444"/>
    <cellStyle name="40% - Accent1 4 8" xfId="9445"/>
    <cellStyle name="40% - Accent1 4 8 2" xfId="9446"/>
    <cellStyle name="40% - Accent1 4 8 2 2" xfId="9447"/>
    <cellStyle name="40% - Accent1 4 8 3" xfId="9448"/>
    <cellStyle name="40% - Accent1 4 8 4" xfId="9449"/>
    <cellStyle name="40% - Accent1 4 9" xfId="9450"/>
    <cellStyle name="40% - Accent1 4 9 2" xfId="9451"/>
    <cellStyle name="40% - Accent1 4 9 2 2" xfId="9452"/>
    <cellStyle name="40% - Accent1 4 9 3" xfId="9453"/>
    <cellStyle name="40% - Accent1 4 9 4" xfId="9454"/>
    <cellStyle name="40% - Accent1 5" xfId="217"/>
    <cellStyle name="40% - Accent1 5 10" xfId="9456"/>
    <cellStyle name="40% - Accent1 5 10 2" xfId="9457"/>
    <cellStyle name="40% - Accent1 5 11" xfId="9458"/>
    <cellStyle name="40% - Accent1 5 12" xfId="9459"/>
    <cellStyle name="40% - Accent1 5 13" xfId="35506"/>
    <cellStyle name="40% - Accent1 5 14" xfId="9455"/>
    <cellStyle name="40% - Accent1 5 2" xfId="9460"/>
    <cellStyle name="40% - Accent1 5 2 10" xfId="9461"/>
    <cellStyle name="40% - Accent1 5 2 11" xfId="9462"/>
    <cellStyle name="40% - Accent1 5 2 2" xfId="9463"/>
    <cellStyle name="40% - Accent1 5 2 2 10" xfId="9464"/>
    <cellStyle name="40% - Accent1 5 2 2 2" xfId="9465"/>
    <cellStyle name="40% - Accent1 5 2 2 2 2" xfId="9466"/>
    <cellStyle name="40% - Accent1 5 2 2 2 2 2" xfId="9467"/>
    <cellStyle name="40% - Accent1 5 2 2 2 2 2 2" xfId="9468"/>
    <cellStyle name="40% - Accent1 5 2 2 2 2 2 2 2" xfId="9469"/>
    <cellStyle name="40% - Accent1 5 2 2 2 2 2 3" xfId="9470"/>
    <cellStyle name="40% - Accent1 5 2 2 2 2 2 4" xfId="9471"/>
    <cellStyle name="40% - Accent1 5 2 2 2 2 3" xfId="9472"/>
    <cellStyle name="40% - Accent1 5 2 2 2 2 3 2" xfId="9473"/>
    <cellStyle name="40% - Accent1 5 2 2 2 2 4" xfId="9474"/>
    <cellStyle name="40% - Accent1 5 2 2 2 2 5" xfId="9475"/>
    <cellStyle name="40% - Accent1 5 2 2 2 3" xfId="9476"/>
    <cellStyle name="40% - Accent1 5 2 2 2 3 2" xfId="9477"/>
    <cellStyle name="40% - Accent1 5 2 2 2 3 2 2" xfId="9478"/>
    <cellStyle name="40% - Accent1 5 2 2 2 3 2 2 2" xfId="9479"/>
    <cellStyle name="40% - Accent1 5 2 2 2 3 2 3" xfId="9480"/>
    <cellStyle name="40% - Accent1 5 2 2 2 3 2 4" xfId="9481"/>
    <cellStyle name="40% - Accent1 5 2 2 2 3 3" xfId="9482"/>
    <cellStyle name="40% - Accent1 5 2 2 2 3 3 2" xfId="9483"/>
    <cellStyle name="40% - Accent1 5 2 2 2 3 4" xfId="9484"/>
    <cellStyle name="40% - Accent1 5 2 2 2 3 5" xfId="9485"/>
    <cellStyle name="40% - Accent1 5 2 2 2 4" xfId="9486"/>
    <cellStyle name="40% - Accent1 5 2 2 2 4 2" xfId="9487"/>
    <cellStyle name="40% - Accent1 5 2 2 2 4 2 2" xfId="9488"/>
    <cellStyle name="40% - Accent1 5 2 2 2 4 3" xfId="9489"/>
    <cellStyle name="40% - Accent1 5 2 2 2 4 4" xfId="9490"/>
    <cellStyle name="40% - Accent1 5 2 2 2 5" xfId="9491"/>
    <cellStyle name="40% - Accent1 5 2 2 2 5 2" xfId="9492"/>
    <cellStyle name="40% - Accent1 5 2 2 2 5 2 2" xfId="9493"/>
    <cellStyle name="40% - Accent1 5 2 2 2 5 3" xfId="9494"/>
    <cellStyle name="40% - Accent1 5 2 2 2 5 4" xfId="9495"/>
    <cellStyle name="40% - Accent1 5 2 2 2 6" xfId="9496"/>
    <cellStyle name="40% - Accent1 5 2 2 2 6 2" xfId="9497"/>
    <cellStyle name="40% - Accent1 5 2 2 2 6 2 2" xfId="9498"/>
    <cellStyle name="40% - Accent1 5 2 2 2 6 3" xfId="9499"/>
    <cellStyle name="40% - Accent1 5 2 2 2 6 4" xfId="9500"/>
    <cellStyle name="40% - Accent1 5 2 2 2 7" xfId="9501"/>
    <cellStyle name="40% - Accent1 5 2 2 2 7 2" xfId="9502"/>
    <cellStyle name="40% - Accent1 5 2 2 2 8" xfId="9503"/>
    <cellStyle name="40% - Accent1 5 2 2 2 9" xfId="9504"/>
    <cellStyle name="40% - Accent1 5 2 2 3" xfId="9505"/>
    <cellStyle name="40% - Accent1 5 2 2 3 2" xfId="9506"/>
    <cellStyle name="40% - Accent1 5 2 2 3 2 2" xfId="9507"/>
    <cellStyle name="40% - Accent1 5 2 2 3 2 2 2" xfId="9508"/>
    <cellStyle name="40% - Accent1 5 2 2 3 2 3" xfId="9509"/>
    <cellStyle name="40% - Accent1 5 2 2 3 2 4" xfId="9510"/>
    <cellStyle name="40% - Accent1 5 2 2 3 3" xfId="9511"/>
    <cellStyle name="40% - Accent1 5 2 2 3 3 2" xfId="9512"/>
    <cellStyle name="40% - Accent1 5 2 2 3 4" xfId="9513"/>
    <cellStyle name="40% - Accent1 5 2 2 3 5" xfId="9514"/>
    <cellStyle name="40% - Accent1 5 2 2 4" xfId="9515"/>
    <cellStyle name="40% - Accent1 5 2 2 4 2" xfId="9516"/>
    <cellStyle name="40% - Accent1 5 2 2 4 2 2" xfId="9517"/>
    <cellStyle name="40% - Accent1 5 2 2 4 2 2 2" xfId="9518"/>
    <cellStyle name="40% - Accent1 5 2 2 4 2 3" xfId="9519"/>
    <cellStyle name="40% - Accent1 5 2 2 4 2 4" xfId="9520"/>
    <cellStyle name="40% - Accent1 5 2 2 4 3" xfId="9521"/>
    <cellStyle name="40% - Accent1 5 2 2 4 3 2" xfId="9522"/>
    <cellStyle name="40% - Accent1 5 2 2 4 4" xfId="9523"/>
    <cellStyle name="40% - Accent1 5 2 2 4 5" xfId="9524"/>
    <cellStyle name="40% - Accent1 5 2 2 5" xfId="9525"/>
    <cellStyle name="40% - Accent1 5 2 2 5 2" xfId="9526"/>
    <cellStyle name="40% - Accent1 5 2 2 5 2 2" xfId="9527"/>
    <cellStyle name="40% - Accent1 5 2 2 5 3" xfId="9528"/>
    <cellStyle name="40% - Accent1 5 2 2 5 4" xfId="9529"/>
    <cellStyle name="40% - Accent1 5 2 2 6" xfId="9530"/>
    <cellStyle name="40% - Accent1 5 2 2 6 2" xfId="9531"/>
    <cellStyle name="40% - Accent1 5 2 2 6 2 2" xfId="9532"/>
    <cellStyle name="40% - Accent1 5 2 2 6 3" xfId="9533"/>
    <cellStyle name="40% - Accent1 5 2 2 6 4" xfId="9534"/>
    <cellStyle name="40% - Accent1 5 2 2 7" xfId="9535"/>
    <cellStyle name="40% - Accent1 5 2 2 7 2" xfId="9536"/>
    <cellStyle name="40% - Accent1 5 2 2 7 2 2" xfId="9537"/>
    <cellStyle name="40% - Accent1 5 2 2 7 3" xfId="9538"/>
    <cellStyle name="40% - Accent1 5 2 2 7 4" xfId="9539"/>
    <cellStyle name="40% - Accent1 5 2 2 8" xfId="9540"/>
    <cellStyle name="40% - Accent1 5 2 2 8 2" xfId="9541"/>
    <cellStyle name="40% - Accent1 5 2 2 9" xfId="9542"/>
    <cellStyle name="40% - Accent1 5 2 3" xfId="9543"/>
    <cellStyle name="40% - Accent1 5 2 3 2" xfId="9544"/>
    <cellStyle name="40% - Accent1 5 2 3 2 2" xfId="9545"/>
    <cellStyle name="40% - Accent1 5 2 3 2 2 2" xfId="9546"/>
    <cellStyle name="40% - Accent1 5 2 3 2 2 2 2" xfId="9547"/>
    <cellStyle name="40% - Accent1 5 2 3 2 2 3" xfId="9548"/>
    <cellStyle name="40% - Accent1 5 2 3 2 2 4" xfId="9549"/>
    <cellStyle name="40% - Accent1 5 2 3 2 3" xfId="9550"/>
    <cellStyle name="40% - Accent1 5 2 3 2 3 2" xfId="9551"/>
    <cellStyle name="40% - Accent1 5 2 3 2 4" xfId="9552"/>
    <cellStyle name="40% - Accent1 5 2 3 2 5" xfId="9553"/>
    <cellStyle name="40% - Accent1 5 2 3 3" xfId="9554"/>
    <cellStyle name="40% - Accent1 5 2 3 3 2" xfId="9555"/>
    <cellStyle name="40% - Accent1 5 2 3 3 2 2" xfId="9556"/>
    <cellStyle name="40% - Accent1 5 2 3 3 2 2 2" xfId="9557"/>
    <cellStyle name="40% - Accent1 5 2 3 3 2 3" xfId="9558"/>
    <cellStyle name="40% - Accent1 5 2 3 3 2 4" xfId="9559"/>
    <cellStyle name="40% - Accent1 5 2 3 3 3" xfId="9560"/>
    <cellStyle name="40% - Accent1 5 2 3 3 3 2" xfId="9561"/>
    <cellStyle name="40% - Accent1 5 2 3 3 4" xfId="9562"/>
    <cellStyle name="40% - Accent1 5 2 3 3 5" xfId="9563"/>
    <cellStyle name="40% - Accent1 5 2 3 4" xfId="9564"/>
    <cellStyle name="40% - Accent1 5 2 3 4 2" xfId="9565"/>
    <cellStyle name="40% - Accent1 5 2 3 4 2 2" xfId="9566"/>
    <cellStyle name="40% - Accent1 5 2 3 4 3" xfId="9567"/>
    <cellStyle name="40% - Accent1 5 2 3 4 4" xfId="9568"/>
    <cellStyle name="40% - Accent1 5 2 3 5" xfId="9569"/>
    <cellStyle name="40% - Accent1 5 2 3 5 2" xfId="9570"/>
    <cellStyle name="40% - Accent1 5 2 3 5 2 2" xfId="9571"/>
    <cellStyle name="40% - Accent1 5 2 3 5 3" xfId="9572"/>
    <cellStyle name="40% - Accent1 5 2 3 5 4" xfId="9573"/>
    <cellStyle name="40% - Accent1 5 2 3 6" xfId="9574"/>
    <cellStyle name="40% - Accent1 5 2 3 6 2" xfId="9575"/>
    <cellStyle name="40% - Accent1 5 2 3 6 2 2" xfId="9576"/>
    <cellStyle name="40% - Accent1 5 2 3 6 3" xfId="9577"/>
    <cellStyle name="40% - Accent1 5 2 3 6 4" xfId="9578"/>
    <cellStyle name="40% - Accent1 5 2 3 7" xfId="9579"/>
    <cellStyle name="40% - Accent1 5 2 3 7 2" xfId="9580"/>
    <cellStyle name="40% - Accent1 5 2 3 8" xfId="9581"/>
    <cellStyle name="40% - Accent1 5 2 3 9" xfId="9582"/>
    <cellStyle name="40% - Accent1 5 2 4" xfId="9583"/>
    <cellStyle name="40% - Accent1 5 2 4 2" xfId="9584"/>
    <cellStyle name="40% - Accent1 5 2 4 2 2" xfId="9585"/>
    <cellStyle name="40% - Accent1 5 2 4 2 2 2" xfId="9586"/>
    <cellStyle name="40% - Accent1 5 2 4 2 3" xfId="9587"/>
    <cellStyle name="40% - Accent1 5 2 4 2 4" xfId="9588"/>
    <cellStyle name="40% - Accent1 5 2 4 3" xfId="9589"/>
    <cellStyle name="40% - Accent1 5 2 4 3 2" xfId="9590"/>
    <cellStyle name="40% - Accent1 5 2 4 4" xfId="9591"/>
    <cellStyle name="40% - Accent1 5 2 4 5" xfId="9592"/>
    <cellStyle name="40% - Accent1 5 2 5" xfId="9593"/>
    <cellStyle name="40% - Accent1 5 2 5 2" xfId="9594"/>
    <cellStyle name="40% - Accent1 5 2 5 2 2" xfId="9595"/>
    <cellStyle name="40% - Accent1 5 2 5 2 2 2" xfId="9596"/>
    <cellStyle name="40% - Accent1 5 2 5 2 3" xfId="9597"/>
    <cellStyle name="40% - Accent1 5 2 5 2 4" xfId="9598"/>
    <cellStyle name="40% - Accent1 5 2 5 3" xfId="9599"/>
    <cellStyle name="40% - Accent1 5 2 5 3 2" xfId="9600"/>
    <cellStyle name="40% - Accent1 5 2 5 4" xfId="9601"/>
    <cellStyle name="40% - Accent1 5 2 5 5" xfId="9602"/>
    <cellStyle name="40% - Accent1 5 2 6" xfId="9603"/>
    <cellStyle name="40% - Accent1 5 2 6 2" xfId="9604"/>
    <cellStyle name="40% - Accent1 5 2 6 2 2" xfId="9605"/>
    <cellStyle name="40% - Accent1 5 2 6 3" xfId="9606"/>
    <cellStyle name="40% - Accent1 5 2 6 4" xfId="9607"/>
    <cellStyle name="40% - Accent1 5 2 7" xfId="9608"/>
    <cellStyle name="40% - Accent1 5 2 7 2" xfId="9609"/>
    <cellStyle name="40% - Accent1 5 2 7 2 2" xfId="9610"/>
    <cellStyle name="40% - Accent1 5 2 7 3" xfId="9611"/>
    <cellStyle name="40% - Accent1 5 2 7 4" xfId="9612"/>
    <cellStyle name="40% - Accent1 5 2 8" xfId="9613"/>
    <cellStyle name="40% - Accent1 5 2 8 2" xfId="9614"/>
    <cellStyle name="40% - Accent1 5 2 8 2 2" xfId="9615"/>
    <cellStyle name="40% - Accent1 5 2 8 3" xfId="9616"/>
    <cellStyle name="40% - Accent1 5 2 8 4" xfId="9617"/>
    <cellStyle name="40% - Accent1 5 2 9" xfId="9618"/>
    <cellStyle name="40% - Accent1 5 2 9 2" xfId="9619"/>
    <cellStyle name="40% - Accent1 5 3" xfId="9620"/>
    <cellStyle name="40% - Accent1 5 3 10" xfId="9621"/>
    <cellStyle name="40% - Accent1 5 3 2" xfId="9622"/>
    <cellStyle name="40% - Accent1 5 3 2 2" xfId="9623"/>
    <cellStyle name="40% - Accent1 5 3 2 2 2" xfId="9624"/>
    <cellStyle name="40% - Accent1 5 3 2 2 2 2" xfId="9625"/>
    <cellStyle name="40% - Accent1 5 3 2 2 2 2 2" xfId="9626"/>
    <cellStyle name="40% - Accent1 5 3 2 2 2 3" xfId="9627"/>
    <cellStyle name="40% - Accent1 5 3 2 2 2 4" xfId="9628"/>
    <cellStyle name="40% - Accent1 5 3 2 2 3" xfId="9629"/>
    <cellStyle name="40% - Accent1 5 3 2 2 3 2" xfId="9630"/>
    <cellStyle name="40% - Accent1 5 3 2 2 4" xfId="9631"/>
    <cellStyle name="40% - Accent1 5 3 2 2 5" xfId="9632"/>
    <cellStyle name="40% - Accent1 5 3 2 3" xfId="9633"/>
    <cellStyle name="40% - Accent1 5 3 2 3 2" xfId="9634"/>
    <cellStyle name="40% - Accent1 5 3 2 3 2 2" xfId="9635"/>
    <cellStyle name="40% - Accent1 5 3 2 3 2 2 2" xfId="9636"/>
    <cellStyle name="40% - Accent1 5 3 2 3 2 3" xfId="9637"/>
    <cellStyle name="40% - Accent1 5 3 2 3 2 4" xfId="9638"/>
    <cellStyle name="40% - Accent1 5 3 2 3 3" xfId="9639"/>
    <cellStyle name="40% - Accent1 5 3 2 3 3 2" xfId="9640"/>
    <cellStyle name="40% - Accent1 5 3 2 3 4" xfId="9641"/>
    <cellStyle name="40% - Accent1 5 3 2 3 5" xfId="9642"/>
    <cellStyle name="40% - Accent1 5 3 2 4" xfId="9643"/>
    <cellStyle name="40% - Accent1 5 3 2 4 2" xfId="9644"/>
    <cellStyle name="40% - Accent1 5 3 2 4 2 2" xfId="9645"/>
    <cellStyle name="40% - Accent1 5 3 2 4 3" xfId="9646"/>
    <cellStyle name="40% - Accent1 5 3 2 4 4" xfId="9647"/>
    <cellStyle name="40% - Accent1 5 3 2 5" xfId="9648"/>
    <cellStyle name="40% - Accent1 5 3 2 5 2" xfId="9649"/>
    <cellStyle name="40% - Accent1 5 3 2 5 2 2" xfId="9650"/>
    <cellStyle name="40% - Accent1 5 3 2 5 3" xfId="9651"/>
    <cellStyle name="40% - Accent1 5 3 2 5 4" xfId="9652"/>
    <cellStyle name="40% - Accent1 5 3 2 6" xfId="9653"/>
    <cellStyle name="40% - Accent1 5 3 2 6 2" xfId="9654"/>
    <cellStyle name="40% - Accent1 5 3 2 6 2 2" xfId="9655"/>
    <cellStyle name="40% - Accent1 5 3 2 6 3" xfId="9656"/>
    <cellStyle name="40% - Accent1 5 3 2 6 4" xfId="9657"/>
    <cellStyle name="40% - Accent1 5 3 2 7" xfId="9658"/>
    <cellStyle name="40% - Accent1 5 3 2 7 2" xfId="9659"/>
    <cellStyle name="40% - Accent1 5 3 2 8" xfId="9660"/>
    <cellStyle name="40% - Accent1 5 3 2 9" xfId="9661"/>
    <cellStyle name="40% - Accent1 5 3 3" xfId="9662"/>
    <cellStyle name="40% - Accent1 5 3 3 2" xfId="9663"/>
    <cellStyle name="40% - Accent1 5 3 3 2 2" xfId="9664"/>
    <cellStyle name="40% - Accent1 5 3 3 2 2 2" xfId="9665"/>
    <cellStyle name="40% - Accent1 5 3 3 2 3" xfId="9666"/>
    <cellStyle name="40% - Accent1 5 3 3 2 4" xfId="9667"/>
    <cellStyle name="40% - Accent1 5 3 3 3" xfId="9668"/>
    <cellStyle name="40% - Accent1 5 3 3 3 2" xfId="9669"/>
    <cellStyle name="40% - Accent1 5 3 3 4" xfId="9670"/>
    <cellStyle name="40% - Accent1 5 3 3 5" xfId="9671"/>
    <cellStyle name="40% - Accent1 5 3 4" xfId="9672"/>
    <cellStyle name="40% - Accent1 5 3 4 2" xfId="9673"/>
    <cellStyle name="40% - Accent1 5 3 4 2 2" xfId="9674"/>
    <cellStyle name="40% - Accent1 5 3 4 2 2 2" xfId="9675"/>
    <cellStyle name="40% - Accent1 5 3 4 2 3" xfId="9676"/>
    <cellStyle name="40% - Accent1 5 3 4 2 4" xfId="9677"/>
    <cellStyle name="40% - Accent1 5 3 4 3" xfId="9678"/>
    <cellStyle name="40% - Accent1 5 3 4 3 2" xfId="9679"/>
    <cellStyle name="40% - Accent1 5 3 4 4" xfId="9680"/>
    <cellStyle name="40% - Accent1 5 3 4 5" xfId="9681"/>
    <cellStyle name="40% - Accent1 5 3 5" xfId="9682"/>
    <cellStyle name="40% - Accent1 5 3 5 2" xfId="9683"/>
    <cellStyle name="40% - Accent1 5 3 5 2 2" xfId="9684"/>
    <cellStyle name="40% - Accent1 5 3 5 3" xfId="9685"/>
    <cellStyle name="40% - Accent1 5 3 5 4" xfId="9686"/>
    <cellStyle name="40% - Accent1 5 3 6" xfId="9687"/>
    <cellStyle name="40% - Accent1 5 3 6 2" xfId="9688"/>
    <cellStyle name="40% - Accent1 5 3 6 2 2" xfId="9689"/>
    <cellStyle name="40% - Accent1 5 3 6 3" xfId="9690"/>
    <cellStyle name="40% - Accent1 5 3 6 4" xfId="9691"/>
    <cellStyle name="40% - Accent1 5 3 7" xfId="9692"/>
    <cellStyle name="40% - Accent1 5 3 7 2" xfId="9693"/>
    <cellStyle name="40% - Accent1 5 3 7 2 2" xfId="9694"/>
    <cellStyle name="40% - Accent1 5 3 7 3" xfId="9695"/>
    <cellStyle name="40% - Accent1 5 3 7 4" xfId="9696"/>
    <cellStyle name="40% - Accent1 5 3 8" xfId="9697"/>
    <cellStyle name="40% - Accent1 5 3 8 2" xfId="9698"/>
    <cellStyle name="40% - Accent1 5 3 9" xfId="9699"/>
    <cellStyle name="40% - Accent1 5 4" xfId="9700"/>
    <cellStyle name="40% - Accent1 5 4 2" xfId="9701"/>
    <cellStyle name="40% - Accent1 5 4 2 2" xfId="9702"/>
    <cellStyle name="40% - Accent1 5 4 2 2 2" xfId="9703"/>
    <cellStyle name="40% - Accent1 5 4 2 2 2 2" xfId="9704"/>
    <cellStyle name="40% - Accent1 5 4 2 2 3" xfId="9705"/>
    <cellStyle name="40% - Accent1 5 4 2 2 4" xfId="9706"/>
    <cellStyle name="40% - Accent1 5 4 2 3" xfId="9707"/>
    <cellStyle name="40% - Accent1 5 4 2 3 2" xfId="9708"/>
    <cellStyle name="40% - Accent1 5 4 2 4" xfId="9709"/>
    <cellStyle name="40% - Accent1 5 4 2 5" xfId="9710"/>
    <cellStyle name="40% - Accent1 5 4 3" xfId="9711"/>
    <cellStyle name="40% - Accent1 5 4 3 2" xfId="9712"/>
    <cellStyle name="40% - Accent1 5 4 3 2 2" xfId="9713"/>
    <cellStyle name="40% - Accent1 5 4 3 2 2 2" xfId="9714"/>
    <cellStyle name="40% - Accent1 5 4 3 2 3" xfId="9715"/>
    <cellStyle name="40% - Accent1 5 4 3 2 4" xfId="9716"/>
    <cellStyle name="40% - Accent1 5 4 3 3" xfId="9717"/>
    <cellStyle name="40% - Accent1 5 4 3 3 2" xfId="9718"/>
    <cellStyle name="40% - Accent1 5 4 3 4" xfId="9719"/>
    <cellStyle name="40% - Accent1 5 4 3 5" xfId="9720"/>
    <cellStyle name="40% - Accent1 5 4 4" xfId="9721"/>
    <cellStyle name="40% - Accent1 5 4 4 2" xfId="9722"/>
    <cellStyle name="40% - Accent1 5 4 4 2 2" xfId="9723"/>
    <cellStyle name="40% - Accent1 5 4 4 3" xfId="9724"/>
    <cellStyle name="40% - Accent1 5 4 4 4" xfId="9725"/>
    <cellStyle name="40% - Accent1 5 4 5" xfId="9726"/>
    <cellStyle name="40% - Accent1 5 4 5 2" xfId="9727"/>
    <cellStyle name="40% - Accent1 5 4 5 2 2" xfId="9728"/>
    <cellStyle name="40% - Accent1 5 4 5 3" xfId="9729"/>
    <cellStyle name="40% - Accent1 5 4 5 4" xfId="9730"/>
    <cellStyle name="40% - Accent1 5 4 6" xfId="9731"/>
    <cellStyle name="40% - Accent1 5 4 6 2" xfId="9732"/>
    <cellStyle name="40% - Accent1 5 4 6 2 2" xfId="9733"/>
    <cellStyle name="40% - Accent1 5 4 6 3" xfId="9734"/>
    <cellStyle name="40% - Accent1 5 4 6 4" xfId="9735"/>
    <cellStyle name="40% - Accent1 5 4 7" xfId="9736"/>
    <cellStyle name="40% - Accent1 5 4 7 2" xfId="9737"/>
    <cellStyle name="40% - Accent1 5 4 8" xfId="9738"/>
    <cellStyle name="40% - Accent1 5 4 9" xfId="9739"/>
    <cellStyle name="40% - Accent1 5 5" xfId="9740"/>
    <cellStyle name="40% - Accent1 5 5 2" xfId="9741"/>
    <cellStyle name="40% - Accent1 5 5 2 2" xfId="9742"/>
    <cellStyle name="40% - Accent1 5 5 2 2 2" xfId="9743"/>
    <cellStyle name="40% - Accent1 5 5 2 3" xfId="9744"/>
    <cellStyle name="40% - Accent1 5 5 2 4" xfId="9745"/>
    <cellStyle name="40% - Accent1 5 5 3" xfId="9746"/>
    <cellStyle name="40% - Accent1 5 5 3 2" xfId="9747"/>
    <cellStyle name="40% - Accent1 5 5 3 2 2" xfId="9748"/>
    <cellStyle name="40% - Accent1 5 5 3 3" xfId="9749"/>
    <cellStyle name="40% - Accent1 5 5 3 4" xfId="9750"/>
    <cellStyle name="40% - Accent1 5 5 4" xfId="9751"/>
    <cellStyle name="40% - Accent1 5 5 4 2" xfId="9752"/>
    <cellStyle name="40% - Accent1 5 5 5" xfId="9753"/>
    <cellStyle name="40% - Accent1 5 5 6" xfId="9754"/>
    <cellStyle name="40% - Accent1 5 6" xfId="9755"/>
    <cellStyle name="40% - Accent1 5 6 2" xfId="9756"/>
    <cellStyle name="40% - Accent1 5 6 2 2" xfId="9757"/>
    <cellStyle name="40% - Accent1 5 6 2 2 2" xfId="9758"/>
    <cellStyle name="40% - Accent1 5 6 2 3" xfId="9759"/>
    <cellStyle name="40% - Accent1 5 6 2 4" xfId="9760"/>
    <cellStyle name="40% - Accent1 5 6 3" xfId="9761"/>
    <cellStyle name="40% - Accent1 5 6 3 2" xfId="9762"/>
    <cellStyle name="40% - Accent1 5 6 4" xfId="9763"/>
    <cellStyle name="40% - Accent1 5 6 5" xfId="9764"/>
    <cellStyle name="40% - Accent1 5 7" xfId="9765"/>
    <cellStyle name="40% - Accent1 5 7 2" xfId="9766"/>
    <cellStyle name="40% - Accent1 5 7 2 2" xfId="9767"/>
    <cellStyle name="40% - Accent1 5 7 3" xfId="9768"/>
    <cellStyle name="40% - Accent1 5 7 4" xfId="9769"/>
    <cellStyle name="40% - Accent1 5 8" xfId="9770"/>
    <cellStyle name="40% - Accent1 5 8 2" xfId="9771"/>
    <cellStyle name="40% - Accent1 5 8 2 2" xfId="9772"/>
    <cellStyle name="40% - Accent1 5 8 3" xfId="9773"/>
    <cellStyle name="40% - Accent1 5 8 4" xfId="9774"/>
    <cellStyle name="40% - Accent1 5 9" xfId="9775"/>
    <cellStyle name="40% - Accent1 5 9 2" xfId="9776"/>
    <cellStyle name="40% - Accent1 5 9 2 2" xfId="9777"/>
    <cellStyle name="40% - Accent1 5 9 3" xfId="9778"/>
    <cellStyle name="40% - Accent1 5 9 4" xfId="9779"/>
    <cellStyle name="40% - Accent1 6" xfId="9780"/>
    <cellStyle name="40% - Accent1 7" xfId="9781"/>
    <cellStyle name="40% - Accent1 8" xfId="9782"/>
    <cellStyle name="40% - Accent1 9" xfId="9783"/>
    <cellStyle name="40% - Accent1 9 2" xfId="9784"/>
    <cellStyle name="40% - Accent1 9 2 2" xfId="9785"/>
    <cellStyle name="40% - Accent1 9 3" xfId="9786"/>
    <cellStyle name="40% - Accent1 9 4" xfId="9787"/>
    <cellStyle name="40% - Accent2" xfId="35689" builtinId="35" customBuiltin="1"/>
    <cellStyle name="40% - Accent2 2" xfId="40"/>
    <cellStyle name="40% - Accent2 2 10" xfId="9788"/>
    <cellStyle name="40% - Accent2 2 11" xfId="9789"/>
    <cellStyle name="40% - Accent2 2 12" xfId="35507"/>
    <cellStyle name="40% - Accent2 2 2" xfId="9790"/>
    <cellStyle name="40% - Accent2 2 2 2" xfId="9791"/>
    <cellStyle name="40% - Accent2 2 3" xfId="9792"/>
    <cellStyle name="40% - Accent2 2 3 10" xfId="9793"/>
    <cellStyle name="40% - Accent2 2 3 11" xfId="9794"/>
    <cellStyle name="40% - Accent2 2 3 2" xfId="9795"/>
    <cellStyle name="40% - Accent2 2 3 2 10" xfId="9796"/>
    <cellStyle name="40% - Accent2 2 3 2 2" xfId="9797"/>
    <cellStyle name="40% - Accent2 2 3 2 2 2" xfId="9798"/>
    <cellStyle name="40% - Accent2 2 3 2 2 2 2" xfId="9799"/>
    <cellStyle name="40% - Accent2 2 3 2 2 2 2 2" xfId="9800"/>
    <cellStyle name="40% - Accent2 2 3 2 2 2 2 2 2" xfId="9801"/>
    <cellStyle name="40% - Accent2 2 3 2 2 2 2 3" xfId="9802"/>
    <cellStyle name="40% - Accent2 2 3 2 2 2 2 4" xfId="9803"/>
    <cellStyle name="40% - Accent2 2 3 2 2 2 3" xfId="9804"/>
    <cellStyle name="40% - Accent2 2 3 2 2 2 3 2" xfId="9805"/>
    <cellStyle name="40% - Accent2 2 3 2 2 2 4" xfId="9806"/>
    <cellStyle name="40% - Accent2 2 3 2 2 2 5" xfId="9807"/>
    <cellStyle name="40% - Accent2 2 3 2 2 3" xfId="9808"/>
    <cellStyle name="40% - Accent2 2 3 2 2 3 2" xfId="9809"/>
    <cellStyle name="40% - Accent2 2 3 2 2 3 2 2" xfId="9810"/>
    <cellStyle name="40% - Accent2 2 3 2 2 3 2 2 2" xfId="9811"/>
    <cellStyle name="40% - Accent2 2 3 2 2 3 2 3" xfId="9812"/>
    <cellStyle name="40% - Accent2 2 3 2 2 3 2 4" xfId="9813"/>
    <cellStyle name="40% - Accent2 2 3 2 2 3 3" xfId="9814"/>
    <cellStyle name="40% - Accent2 2 3 2 2 3 3 2" xfId="9815"/>
    <cellStyle name="40% - Accent2 2 3 2 2 3 4" xfId="9816"/>
    <cellStyle name="40% - Accent2 2 3 2 2 3 5" xfId="9817"/>
    <cellStyle name="40% - Accent2 2 3 2 2 4" xfId="9818"/>
    <cellStyle name="40% - Accent2 2 3 2 2 4 2" xfId="9819"/>
    <cellStyle name="40% - Accent2 2 3 2 2 4 2 2" xfId="9820"/>
    <cellStyle name="40% - Accent2 2 3 2 2 4 3" xfId="9821"/>
    <cellStyle name="40% - Accent2 2 3 2 2 4 4" xfId="9822"/>
    <cellStyle name="40% - Accent2 2 3 2 2 5" xfId="9823"/>
    <cellStyle name="40% - Accent2 2 3 2 2 5 2" xfId="9824"/>
    <cellStyle name="40% - Accent2 2 3 2 2 5 2 2" xfId="9825"/>
    <cellStyle name="40% - Accent2 2 3 2 2 5 3" xfId="9826"/>
    <cellStyle name="40% - Accent2 2 3 2 2 5 4" xfId="9827"/>
    <cellStyle name="40% - Accent2 2 3 2 2 6" xfId="9828"/>
    <cellStyle name="40% - Accent2 2 3 2 2 6 2" xfId="9829"/>
    <cellStyle name="40% - Accent2 2 3 2 2 6 2 2" xfId="9830"/>
    <cellStyle name="40% - Accent2 2 3 2 2 6 3" xfId="9831"/>
    <cellStyle name="40% - Accent2 2 3 2 2 6 4" xfId="9832"/>
    <cellStyle name="40% - Accent2 2 3 2 2 7" xfId="9833"/>
    <cellStyle name="40% - Accent2 2 3 2 2 7 2" xfId="9834"/>
    <cellStyle name="40% - Accent2 2 3 2 2 8" xfId="9835"/>
    <cellStyle name="40% - Accent2 2 3 2 2 9" xfId="9836"/>
    <cellStyle name="40% - Accent2 2 3 2 3" xfId="9837"/>
    <cellStyle name="40% - Accent2 2 3 2 3 2" xfId="9838"/>
    <cellStyle name="40% - Accent2 2 3 2 3 2 2" xfId="9839"/>
    <cellStyle name="40% - Accent2 2 3 2 3 2 2 2" xfId="9840"/>
    <cellStyle name="40% - Accent2 2 3 2 3 2 3" xfId="9841"/>
    <cellStyle name="40% - Accent2 2 3 2 3 2 4" xfId="9842"/>
    <cellStyle name="40% - Accent2 2 3 2 3 3" xfId="9843"/>
    <cellStyle name="40% - Accent2 2 3 2 3 3 2" xfId="9844"/>
    <cellStyle name="40% - Accent2 2 3 2 3 4" xfId="9845"/>
    <cellStyle name="40% - Accent2 2 3 2 3 5" xfId="9846"/>
    <cellStyle name="40% - Accent2 2 3 2 4" xfId="9847"/>
    <cellStyle name="40% - Accent2 2 3 2 4 2" xfId="9848"/>
    <cellStyle name="40% - Accent2 2 3 2 4 2 2" xfId="9849"/>
    <cellStyle name="40% - Accent2 2 3 2 4 2 2 2" xfId="9850"/>
    <cellStyle name="40% - Accent2 2 3 2 4 2 3" xfId="9851"/>
    <cellStyle name="40% - Accent2 2 3 2 4 2 4" xfId="9852"/>
    <cellStyle name="40% - Accent2 2 3 2 4 3" xfId="9853"/>
    <cellStyle name="40% - Accent2 2 3 2 4 3 2" xfId="9854"/>
    <cellStyle name="40% - Accent2 2 3 2 4 4" xfId="9855"/>
    <cellStyle name="40% - Accent2 2 3 2 4 5" xfId="9856"/>
    <cellStyle name="40% - Accent2 2 3 2 5" xfId="9857"/>
    <cellStyle name="40% - Accent2 2 3 2 5 2" xfId="9858"/>
    <cellStyle name="40% - Accent2 2 3 2 5 2 2" xfId="9859"/>
    <cellStyle name="40% - Accent2 2 3 2 5 3" xfId="9860"/>
    <cellStyle name="40% - Accent2 2 3 2 5 4" xfId="9861"/>
    <cellStyle name="40% - Accent2 2 3 2 6" xfId="9862"/>
    <cellStyle name="40% - Accent2 2 3 2 6 2" xfId="9863"/>
    <cellStyle name="40% - Accent2 2 3 2 6 2 2" xfId="9864"/>
    <cellStyle name="40% - Accent2 2 3 2 6 3" xfId="9865"/>
    <cellStyle name="40% - Accent2 2 3 2 6 4" xfId="9866"/>
    <cellStyle name="40% - Accent2 2 3 2 7" xfId="9867"/>
    <cellStyle name="40% - Accent2 2 3 2 7 2" xfId="9868"/>
    <cellStyle name="40% - Accent2 2 3 2 7 2 2" xfId="9869"/>
    <cellStyle name="40% - Accent2 2 3 2 7 3" xfId="9870"/>
    <cellStyle name="40% - Accent2 2 3 2 7 4" xfId="9871"/>
    <cellStyle name="40% - Accent2 2 3 2 8" xfId="9872"/>
    <cellStyle name="40% - Accent2 2 3 2 8 2" xfId="9873"/>
    <cellStyle name="40% - Accent2 2 3 2 9" xfId="9874"/>
    <cellStyle name="40% - Accent2 2 3 3" xfId="9875"/>
    <cellStyle name="40% - Accent2 2 3 3 2" xfId="9876"/>
    <cellStyle name="40% - Accent2 2 3 3 2 2" xfId="9877"/>
    <cellStyle name="40% - Accent2 2 3 3 2 2 2" xfId="9878"/>
    <cellStyle name="40% - Accent2 2 3 3 2 2 2 2" xfId="9879"/>
    <cellStyle name="40% - Accent2 2 3 3 2 2 3" xfId="9880"/>
    <cellStyle name="40% - Accent2 2 3 3 2 2 4" xfId="9881"/>
    <cellStyle name="40% - Accent2 2 3 3 2 3" xfId="9882"/>
    <cellStyle name="40% - Accent2 2 3 3 2 3 2" xfId="9883"/>
    <cellStyle name="40% - Accent2 2 3 3 2 4" xfId="9884"/>
    <cellStyle name="40% - Accent2 2 3 3 2 5" xfId="9885"/>
    <cellStyle name="40% - Accent2 2 3 3 3" xfId="9886"/>
    <cellStyle name="40% - Accent2 2 3 3 3 2" xfId="9887"/>
    <cellStyle name="40% - Accent2 2 3 3 3 2 2" xfId="9888"/>
    <cellStyle name="40% - Accent2 2 3 3 3 2 2 2" xfId="9889"/>
    <cellStyle name="40% - Accent2 2 3 3 3 2 3" xfId="9890"/>
    <cellStyle name="40% - Accent2 2 3 3 3 2 4" xfId="9891"/>
    <cellStyle name="40% - Accent2 2 3 3 3 3" xfId="9892"/>
    <cellStyle name="40% - Accent2 2 3 3 3 3 2" xfId="9893"/>
    <cellStyle name="40% - Accent2 2 3 3 3 4" xfId="9894"/>
    <cellStyle name="40% - Accent2 2 3 3 3 5" xfId="9895"/>
    <cellStyle name="40% - Accent2 2 3 3 4" xfId="9896"/>
    <cellStyle name="40% - Accent2 2 3 3 4 2" xfId="9897"/>
    <cellStyle name="40% - Accent2 2 3 3 4 2 2" xfId="9898"/>
    <cellStyle name="40% - Accent2 2 3 3 4 3" xfId="9899"/>
    <cellStyle name="40% - Accent2 2 3 3 4 4" xfId="9900"/>
    <cellStyle name="40% - Accent2 2 3 3 5" xfId="9901"/>
    <cellStyle name="40% - Accent2 2 3 3 5 2" xfId="9902"/>
    <cellStyle name="40% - Accent2 2 3 3 5 2 2" xfId="9903"/>
    <cellStyle name="40% - Accent2 2 3 3 5 3" xfId="9904"/>
    <cellStyle name="40% - Accent2 2 3 3 5 4" xfId="9905"/>
    <cellStyle name="40% - Accent2 2 3 3 6" xfId="9906"/>
    <cellStyle name="40% - Accent2 2 3 3 6 2" xfId="9907"/>
    <cellStyle name="40% - Accent2 2 3 3 6 2 2" xfId="9908"/>
    <cellStyle name="40% - Accent2 2 3 3 6 3" xfId="9909"/>
    <cellStyle name="40% - Accent2 2 3 3 6 4" xfId="9910"/>
    <cellStyle name="40% - Accent2 2 3 3 7" xfId="9911"/>
    <cellStyle name="40% - Accent2 2 3 3 7 2" xfId="9912"/>
    <cellStyle name="40% - Accent2 2 3 3 8" xfId="9913"/>
    <cellStyle name="40% - Accent2 2 3 3 9" xfId="9914"/>
    <cellStyle name="40% - Accent2 2 3 4" xfId="9915"/>
    <cellStyle name="40% - Accent2 2 3 4 2" xfId="9916"/>
    <cellStyle name="40% - Accent2 2 3 4 2 2" xfId="9917"/>
    <cellStyle name="40% - Accent2 2 3 4 2 2 2" xfId="9918"/>
    <cellStyle name="40% - Accent2 2 3 4 2 3" xfId="9919"/>
    <cellStyle name="40% - Accent2 2 3 4 2 4" xfId="9920"/>
    <cellStyle name="40% - Accent2 2 3 4 3" xfId="9921"/>
    <cellStyle name="40% - Accent2 2 3 4 4" xfId="9922"/>
    <cellStyle name="40% - Accent2 2 3 4 4 2" xfId="9923"/>
    <cellStyle name="40% - Accent2 2 3 4 5" xfId="9924"/>
    <cellStyle name="40% - Accent2 2 3 4 6" xfId="9925"/>
    <cellStyle name="40% - Accent2 2 3 5" xfId="9926"/>
    <cellStyle name="40% - Accent2 2 3 5 2" xfId="9927"/>
    <cellStyle name="40% - Accent2 2 3 5 2 2" xfId="9928"/>
    <cellStyle name="40% - Accent2 2 3 5 2 2 2" xfId="9929"/>
    <cellStyle name="40% - Accent2 2 3 5 2 3" xfId="9930"/>
    <cellStyle name="40% - Accent2 2 3 5 2 4" xfId="9931"/>
    <cellStyle name="40% - Accent2 2 3 5 3" xfId="9932"/>
    <cellStyle name="40% - Accent2 2 3 5 3 2" xfId="9933"/>
    <cellStyle name="40% - Accent2 2 3 5 4" xfId="9934"/>
    <cellStyle name="40% - Accent2 2 3 5 5" xfId="9935"/>
    <cellStyle name="40% - Accent2 2 3 6" xfId="9936"/>
    <cellStyle name="40% - Accent2 2 3 6 2" xfId="9937"/>
    <cellStyle name="40% - Accent2 2 3 6 2 2" xfId="9938"/>
    <cellStyle name="40% - Accent2 2 3 6 3" xfId="9939"/>
    <cellStyle name="40% - Accent2 2 3 6 4" xfId="9940"/>
    <cellStyle name="40% - Accent2 2 3 7" xfId="9941"/>
    <cellStyle name="40% - Accent2 2 3 7 2" xfId="9942"/>
    <cellStyle name="40% - Accent2 2 3 7 2 2" xfId="9943"/>
    <cellStyle name="40% - Accent2 2 3 7 3" xfId="9944"/>
    <cellStyle name="40% - Accent2 2 3 7 4" xfId="9945"/>
    <cellStyle name="40% - Accent2 2 3 8" xfId="9946"/>
    <cellStyle name="40% - Accent2 2 3 8 2" xfId="9947"/>
    <cellStyle name="40% - Accent2 2 3 8 2 2" xfId="9948"/>
    <cellStyle name="40% - Accent2 2 3 8 3" xfId="9949"/>
    <cellStyle name="40% - Accent2 2 3 8 4" xfId="9950"/>
    <cellStyle name="40% - Accent2 2 3 9" xfId="9951"/>
    <cellStyle name="40% - Accent2 2 3 9 2" xfId="9952"/>
    <cellStyle name="40% - Accent2 2 4" xfId="9953"/>
    <cellStyle name="40% - Accent2 2 4 10" xfId="9954"/>
    <cellStyle name="40% - Accent2 2 4 2" xfId="9955"/>
    <cellStyle name="40% - Accent2 2 4 2 2" xfId="9956"/>
    <cellStyle name="40% - Accent2 2 4 2 2 2" xfId="9957"/>
    <cellStyle name="40% - Accent2 2 4 2 2 2 2" xfId="9958"/>
    <cellStyle name="40% - Accent2 2 4 2 2 2 2 2" xfId="9959"/>
    <cellStyle name="40% - Accent2 2 4 2 2 2 3" xfId="9960"/>
    <cellStyle name="40% - Accent2 2 4 2 2 2 4" xfId="9961"/>
    <cellStyle name="40% - Accent2 2 4 2 2 3" xfId="9962"/>
    <cellStyle name="40% - Accent2 2 4 2 2 3 2" xfId="9963"/>
    <cellStyle name="40% - Accent2 2 4 2 2 4" xfId="9964"/>
    <cellStyle name="40% - Accent2 2 4 2 2 5" xfId="9965"/>
    <cellStyle name="40% - Accent2 2 4 2 3" xfId="9966"/>
    <cellStyle name="40% - Accent2 2 4 2 3 2" xfId="9967"/>
    <cellStyle name="40% - Accent2 2 4 2 3 2 2" xfId="9968"/>
    <cellStyle name="40% - Accent2 2 4 2 3 2 2 2" xfId="9969"/>
    <cellStyle name="40% - Accent2 2 4 2 3 2 3" xfId="9970"/>
    <cellStyle name="40% - Accent2 2 4 2 3 2 4" xfId="9971"/>
    <cellStyle name="40% - Accent2 2 4 2 3 3" xfId="9972"/>
    <cellStyle name="40% - Accent2 2 4 2 3 3 2" xfId="9973"/>
    <cellStyle name="40% - Accent2 2 4 2 3 4" xfId="9974"/>
    <cellStyle name="40% - Accent2 2 4 2 3 5" xfId="9975"/>
    <cellStyle name="40% - Accent2 2 4 2 4" xfId="9976"/>
    <cellStyle name="40% - Accent2 2 4 2 4 2" xfId="9977"/>
    <cellStyle name="40% - Accent2 2 4 2 4 2 2" xfId="9978"/>
    <cellStyle name="40% - Accent2 2 4 2 4 3" xfId="9979"/>
    <cellStyle name="40% - Accent2 2 4 2 4 4" xfId="9980"/>
    <cellStyle name="40% - Accent2 2 4 2 5" xfId="9981"/>
    <cellStyle name="40% - Accent2 2 4 2 5 2" xfId="9982"/>
    <cellStyle name="40% - Accent2 2 4 2 5 2 2" xfId="9983"/>
    <cellStyle name="40% - Accent2 2 4 2 5 3" xfId="9984"/>
    <cellStyle name="40% - Accent2 2 4 2 5 4" xfId="9985"/>
    <cellStyle name="40% - Accent2 2 4 2 6" xfId="9986"/>
    <cellStyle name="40% - Accent2 2 4 2 6 2" xfId="9987"/>
    <cellStyle name="40% - Accent2 2 4 2 6 2 2" xfId="9988"/>
    <cellStyle name="40% - Accent2 2 4 2 6 3" xfId="9989"/>
    <cellStyle name="40% - Accent2 2 4 2 6 4" xfId="9990"/>
    <cellStyle name="40% - Accent2 2 4 2 7" xfId="9991"/>
    <cellStyle name="40% - Accent2 2 4 2 7 2" xfId="9992"/>
    <cellStyle name="40% - Accent2 2 4 2 8" xfId="9993"/>
    <cellStyle name="40% - Accent2 2 4 2 9" xfId="9994"/>
    <cellStyle name="40% - Accent2 2 4 3" xfId="9995"/>
    <cellStyle name="40% - Accent2 2 4 3 2" xfId="9996"/>
    <cellStyle name="40% - Accent2 2 4 3 2 2" xfId="9997"/>
    <cellStyle name="40% - Accent2 2 4 3 2 2 2" xfId="9998"/>
    <cellStyle name="40% - Accent2 2 4 3 2 3" xfId="9999"/>
    <cellStyle name="40% - Accent2 2 4 3 2 4" xfId="10000"/>
    <cellStyle name="40% - Accent2 2 4 3 3" xfId="10001"/>
    <cellStyle name="40% - Accent2 2 4 3 3 2" xfId="10002"/>
    <cellStyle name="40% - Accent2 2 4 3 4" xfId="10003"/>
    <cellStyle name="40% - Accent2 2 4 3 5" xfId="10004"/>
    <cellStyle name="40% - Accent2 2 4 4" xfId="10005"/>
    <cellStyle name="40% - Accent2 2 4 4 2" xfId="10006"/>
    <cellStyle name="40% - Accent2 2 4 4 2 2" xfId="10007"/>
    <cellStyle name="40% - Accent2 2 4 4 2 2 2" xfId="10008"/>
    <cellStyle name="40% - Accent2 2 4 4 2 3" xfId="10009"/>
    <cellStyle name="40% - Accent2 2 4 4 2 4" xfId="10010"/>
    <cellStyle name="40% - Accent2 2 4 4 3" xfId="10011"/>
    <cellStyle name="40% - Accent2 2 4 4 3 2" xfId="10012"/>
    <cellStyle name="40% - Accent2 2 4 4 4" xfId="10013"/>
    <cellStyle name="40% - Accent2 2 4 4 5" xfId="10014"/>
    <cellStyle name="40% - Accent2 2 4 5" xfId="10015"/>
    <cellStyle name="40% - Accent2 2 4 5 2" xfId="10016"/>
    <cellStyle name="40% - Accent2 2 4 5 2 2" xfId="10017"/>
    <cellStyle name="40% - Accent2 2 4 5 3" xfId="10018"/>
    <cellStyle name="40% - Accent2 2 4 5 4" xfId="10019"/>
    <cellStyle name="40% - Accent2 2 4 6" xfId="10020"/>
    <cellStyle name="40% - Accent2 2 4 6 2" xfId="10021"/>
    <cellStyle name="40% - Accent2 2 4 6 2 2" xfId="10022"/>
    <cellStyle name="40% - Accent2 2 4 6 3" xfId="10023"/>
    <cellStyle name="40% - Accent2 2 4 6 4" xfId="10024"/>
    <cellStyle name="40% - Accent2 2 4 7" xfId="10025"/>
    <cellStyle name="40% - Accent2 2 4 7 2" xfId="10026"/>
    <cellStyle name="40% - Accent2 2 4 7 2 2" xfId="10027"/>
    <cellStyle name="40% - Accent2 2 4 7 3" xfId="10028"/>
    <cellStyle name="40% - Accent2 2 4 7 4" xfId="10029"/>
    <cellStyle name="40% - Accent2 2 4 8" xfId="10030"/>
    <cellStyle name="40% - Accent2 2 4 8 2" xfId="10031"/>
    <cellStyle name="40% - Accent2 2 4 9" xfId="10032"/>
    <cellStyle name="40% - Accent2 2 5" xfId="10033"/>
    <cellStyle name="40% - Accent2 2 5 2" xfId="10034"/>
    <cellStyle name="40% - Accent2 2 5 2 2" xfId="10035"/>
    <cellStyle name="40% - Accent2 2 5 2 2 2" xfId="10036"/>
    <cellStyle name="40% - Accent2 2 5 2 2 2 2" xfId="10037"/>
    <cellStyle name="40% - Accent2 2 5 2 2 3" xfId="10038"/>
    <cellStyle name="40% - Accent2 2 5 2 2 4" xfId="10039"/>
    <cellStyle name="40% - Accent2 2 5 2 3" xfId="10040"/>
    <cellStyle name="40% - Accent2 2 5 2 3 2" xfId="10041"/>
    <cellStyle name="40% - Accent2 2 5 2 4" xfId="10042"/>
    <cellStyle name="40% - Accent2 2 5 2 5" xfId="10043"/>
    <cellStyle name="40% - Accent2 2 5 3" xfId="10044"/>
    <cellStyle name="40% - Accent2 2 5 3 2" xfId="10045"/>
    <cellStyle name="40% - Accent2 2 5 3 2 2" xfId="10046"/>
    <cellStyle name="40% - Accent2 2 5 3 2 2 2" xfId="10047"/>
    <cellStyle name="40% - Accent2 2 5 3 2 3" xfId="10048"/>
    <cellStyle name="40% - Accent2 2 5 3 2 4" xfId="10049"/>
    <cellStyle name="40% - Accent2 2 5 3 3" xfId="10050"/>
    <cellStyle name="40% - Accent2 2 5 3 3 2" xfId="10051"/>
    <cellStyle name="40% - Accent2 2 5 3 4" xfId="10052"/>
    <cellStyle name="40% - Accent2 2 5 3 5" xfId="10053"/>
    <cellStyle name="40% - Accent2 2 5 4" xfId="10054"/>
    <cellStyle name="40% - Accent2 2 5 4 2" xfId="10055"/>
    <cellStyle name="40% - Accent2 2 5 4 2 2" xfId="10056"/>
    <cellStyle name="40% - Accent2 2 5 4 3" xfId="10057"/>
    <cellStyle name="40% - Accent2 2 5 4 4" xfId="10058"/>
    <cellStyle name="40% - Accent2 2 5 5" xfId="10059"/>
    <cellStyle name="40% - Accent2 2 5 5 2" xfId="10060"/>
    <cellStyle name="40% - Accent2 2 5 5 2 2" xfId="10061"/>
    <cellStyle name="40% - Accent2 2 5 5 3" xfId="10062"/>
    <cellStyle name="40% - Accent2 2 5 5 4" xfId="10063"/>
    <cellStyle name="40% - Accent2 2 5 6" xfId="10064"/>
    <cellStyle name="40% - Accent2 2 5 6 2" xfId="10065"/>
    <cellStyle name="40% - Accent2 2 5 6 2 2" xfId="10066"/>
    <cellStyle name="40% - Accent2 2 5 6 3" xfId="10067"/>
    <cellStyle name="40% - Accent2 2 5 6 4" xfId="10068"/>
    <cellStyle name="40% - Accent2 2 5 7" xfId="10069"/>
    <cellStyle name="40% - Accent2 2 5 7 2" xfId="10070"/>
    <cellStyle name="40% - Accent2 2 5 8" xfId="10071"/>
    <cellStyle name="40% - Accent2 2 5 9" xfId="10072"/>
    <cellStyle name="40% - Accent2 2 6" xfId="10073"/>
    <cellStyle name="40% - Accent2 2 6 2" xfId="10074"/>
    <cellStyle name="40% - Accent2 2 7" xfId="10075"/>
    <cellStyle name="40% - Accent2 2 7 2" xfId="10076"/>
    <cellStyle name="40% - Accent2 2 7 2 2" xfId="10077"/>
    <cellStyle name="40% - Accent2 2 7 2 2 2" xfId="10078"/>
    <cellStyle name="40% - Accent2 2 7 2 3" xfId="10079"/>
    <cellStyle name="40% - Accent2 2 7 2 4" xfId="10080"/>
    <cellStyle name="40% - Accent2 2 7 3" xfId="10081"/>
    <cellStyle name="40% - Accent2 2 7 4" xfId="10082"/>
    <cellStyle name="40% - Accent2 2 7 4 2" xfId="10083"/>
    <cellStyle name="40% - Accent2 2 7 5" xfId="10084"/>
    <cellStyle name="40% - Accent2 2 7 6" xfId="10085"/>
    <cellStyle name="40% - Accent2 2 8" xfId="10086"/>
    <cellStyle name="40% - Accent2 2 8 2" xfId="10087"/>
    <cellStyle name="40% - Accent2 2 8 2 2" xfId="10088"/>
    <cellStyle name="40% - Accent2 2 8 3" xfId="10089"/>
    <cellStyle name="40% - Accent2 2 8 4" xfId="10090"/>
    <cellStyle name="40% - Accent2 2 9" xfId="10091"/>
    <cellStyle name="40% - Accent2 2 9 2" xfId="10092"/>
    <cellStyle name="40% - Accent2 3" xfId="110"/>
    <cellStyle name="40% - Accent2 3 10" xfId="10094"/>
    <cellStyle name="40% - Accent2 3 11" xfId="10095"/>
    <cellStyle name="40% - Accent2 3 11 2" xfId="10096"/>
    <cellStyle name="40% - Accent2 3 12" xfId="10097"/>
    <cellStyle name="40% - Accent2 3 13" xfId="10098"/>
    <cellStyle name="40% - Accent2 3 14" xfId="35508"/>
    <cellStyle name="40% - Accent2 3 15" xfId="10093"/>
    <cellStyle name="40% - Accent2 3 2" xfId="10099"/>
    <cellStyle name="40% - Accent2 3 2 10" xfId="10100"/>
    <cellStyle name="40% - Accent2 3 2 10 2" xfId="10101"/>
    <cellStyle name="40% - Accent2 3 2 11" xfId="10102"/>
    <cellStyle name="40% - Accent2 3 2 12" xfId="10103"/>
    <cellStyle name="40% - Accent2 3 2 2" xfId="10104"/>
    <cellStyle name="40% - Accent2 3 2 2 10" xfId="10105"/>
    <cellStyle name="40% - Accent2 3 2 2 11" xfId="10106"/>
    <cellStyle name="40% - Accent2 3 2 2 2" xfId="10107"/>
    <cellStyle name="40% - Accent2 3 2 2 2 10" xfId="10108"/>
    <cellStyle name="40% - Accent2 3 2 2 2 2" xfId="10109"/>
    <cellStyle name="40% - Accent2 3 2 2 2 2 2" xfId="10110"/>
    <cellStyle name="40% - Accent2 3 2 2 2 2 2 2" xfId="10111"/>
    <cellStyle name="40% - Accent2 3 2 2 2 2 2 2 2" xfId="10112"/>
    <cellStyle name="40% - Accent2 3 2 2 2 2 2 2 2 2" xfId="10113"/>
    <cellStyle name="40% - Accent2 3 2 2 2 2 2 2 3" xfId="10114"/>
    <cellStyle name="40% - Accent2 3 2 2 2 2 2 2 4" xfId="10115"/>
    <cellStyle name="40% - Accent2 3 2 2 2 2 2 3" xfId="10116"/>
    <cellStyle name="40% - Accent2 3 2 2 2 2 2 3 2" xfId="10117"/>
    <cellStyle name="40% - Accent2 3 2 2 2 2 2 4" xfId="10118"/>
    <cellStyle name="40% - Accent2 3 2 2 2 2 2 5" xfId="10119"/>
    <cellStyle name="40% - Accent2 3 2 2 2 2 3" xfId="10120"/>
    <cellStyle name="40% - Accent2 3 2 2 2 2 3 2" xfId="10121"/>
    <cellStyle name="40% - Accent2 3 2 2 2 2 3 2 2" xfId="10122"/>
    <cellStyle name="40% - Accent2 3 2 2 2 2 3 2 2 2" xfId="10123"/>
    <cellStyle name="40% - Accent2 3 2 2 2 2 3 2 3" xfId="10124"/>
    <cellStyle name="40% - Accent2 3 2 2 2 2 3 2 4" xfId="10125"/>
    <cellStyle name="40% - Accent2 3 2 2 2 2 3 3" xfId="10126"/>
    <cellStyle name="40% - Accent2 3 2 2 2 2 3 3 2" xfId="10127"/>
    <cellStyle name="40% - Accent2 3 2 2 2 2 3 4" xfId="10128"/>
    <cellStyle name="40% - Accent2 3 2 2 2 2 3 5" xfId="10129"/>
    <cellStyle name="40% - Accent2 3 2 2 2 2 4" xfId="10130"/>
    <cellStyle name="40% - Accent2 3 2 2 2 2 4 2" xfId="10131"/>
    <cellStyle name="40% - Accent2 3 2 2 2 2 4 2 2" xfId="10132"/>
    <cellStyle name="40% - Accent2 3 2 2 2 2 4 3" xfId="10133"/>
    <cellStyle name="40% - Accent2 3 2 2 2 2 4 4" xfId="10134"/>
    <cellStyle name="40% - Accent2 3 2 2 2 2 5" xfId="10135"/>
    <cellStyle name="40% - Accent2 3 2 2 2 2 5 2" xfId="10136"/>
    <cellStyle name="40% - Accent2 3 2 2 2 2 5 2 2" xfId="10137"/>
    <cellStyle name="40% - Accent2 3 2 2 2 2 5 3" xfId="10138"/>
    <cellStyle name="40% - Accent2 3 2 2 2 2 5 4" xfId="10139"/>
    <cellStyle name="40% - Accent2 3 2 2 2 2 6" xfId="10140"/>
    <cellStyle name="40% - Accent2 3 2 2 2 2 6 2" xfId="10141"/>
    <cellStyle name="40% - Accent2 3 2 2 2 2 6 2 2" xfId="10142"/>
    <cellStyle name="40% - Accent2 3 2 2 2 2 6 3" xfId="10143"/>
    <cellStyle name="40% - Accent2 3 2 2 2 2 6 4" xfId="10144"/>
    <cellStyle name="40% - Accent2 3 2 2 2 2 7" xfId="10145"/>
    <cellStyle name="40% - Accent2 3 2 2 2 2 7 2" xfId="10146"/>
    <cellStyle name="40% - Accent2 3 2 2 2 2 8" xfId="10147"/>
    <cellStyle name="40% - Accent2 3 2 2 2 2 9" xfId="10148"/>
    <cellStyle name="40% - Accent2 3 2 2 2 3" xfId="10149"/>
    <cellStyle name="40% - Accent2 3 2 2 2 3 2" xfId="10150"/>
    <cellStyle name="40% - Accent2 3 2 2 2 3 2 2" xfId="10151"/>
    <cellStyle name="40% - Accent2 3 2 2 2 3 2 2 2" xfId="10152"/>
    <cellStyle name="40% - Accent2 3 2 2 2 3 2 3" xfId="10153"/>
    <cellStyle name="40% - Accent2 3 2 2 2 3 2 4" xfId="10154"/>
    <cellStyle name="40% - Accent2 3 2 2 2 3 3" xfId="10155"/>
    <cellStyle name="40% - Accent2 3 2 2 2 3 3 2" xfId="10156"/>
    <cellStyle name="40% - Accent2 3 2 2 2 3 4" xfId="10157"/>
    <cellStyle name="40% - Accent2 3 2 2 2 3 5" xfId="10158"/>
    <cellStyle name="40% - Accent2 3 2 2 2 4" xfId="10159"/>
    <cellStyle name="40% - Accent2 3 2 2 2 4 2" xfId="10160"/>
    <cellStyle name="40% - Accent2 3 2 2 2 4 2 2" xfId="10161"/>
    <cellStyle name="40% - Accent2 3 2 2 2 4 2 2 2" xfId="10162"/>
    <cellStyle name="40% - Accent2 3 2 2 2 4 2 3" xfId="10163"/>
    <cellStyle name="40% - Accent2 3 2 2 2 4 2 4" xfId="10164"/>
    <cellStyle name="40% - Accent2 3 2 2 2 4 3" xfId="10165"/>
    <cellStyle name="40% - Accent2 3 2 2 2 4 3 2" xfId="10166"/>
    <cellStyle name="40% - Accent2 3 2 2 2 4 4" xfId="10167"/>
    <cellStyle name="40% - Accent2 3 2 2 2 4 5" xfId="10168"/>
    <cellStyle name="40% - Accent2 3 2 2 2 5" xfId="10169"/>
    <cellStyle name="40% - Accent2 3 2 2 2 5 2" xfId="10170"/>
    <cellStyle name="40% - Accent2 3 2 2 2 5 2 2" xfId="10171"/>
    <cellStyle name="40% - Accent2 3 2 2 2 5 3" xfId="10172"/>
    <cellStyle name="40% - Accent2 3 2 2 2 5 4" xfId="10173"/>
    <cellStyle name="40% - Accent2 3 2 2 2 6" xfId="10174"/>
    <cellStyle name="40% - Accent2 3 2 2 2 6 2" xfId="10175"/>
    <cellStyle name="40% - Accent2 3 2 2 2 6 2 2" xfId="10176"/>
    <cellStyle name="40% - Accent2 3 2 2 2 6 3" xfId="10177"/>
    <cellStyle name="40% - Accent2 3 2 2 2 6 4" xfId="10178"/>
    <cellStyle name="40% - Accent2 3 2 2 2 7" xfId="10179"/>
    <cellStyle name="40% - Accent2 3 2 2 2 7 2" xfId="10180"/>
    <cellStyle name="40% - Accent2 3 2 2 2 7 2 2" xfId="10181"/>
    <cellStyle name="40% - Accent2 3 2 2 2 7 3" xfId="10182"/>
    <cellStyle name="40% - Accent2 3 2 2 2 7 4" xfId="10183"/>
    <cellStyle name="40% - Accent2 3 2 2 2 8" xfId="10184"/>
    <cellStyle name="40% - Accent2 3 2 2 2 8 2" xfId="10185"/>
    <cellStyle name="40% - Accent2 3 2 2 2 9" xfId="10186"/>
    <cellStyle name="40% - Accent2 3 2 2 3" xfId="10187"/>
    <cellStyle name="40% - Accent2 3 2 2 3 2" xfId="10188"/>
    <cellStyle name="40% - Accent2 3 2 2 3 2 2" xfId="10189"/>
    <cellStyle name="40% - Accent2 3 2 2 3 2 2 2" xfId="10190"/>
    <cellStyle name="40% - Accent2 3 2 2 3 2 2 2 2" xfId="10191"/>
    <cellStyle name="40% - Accent2 3 2 2 3 2 2 3" xfId="10192"/>
    <cellStyle name="40% - Accent2 3 2 2 3 2 2 4" xfId="10193"/>
    <cellStyle name="40% - Accent2 3 2 2 3 2 3" xfId="10194"/>
    <cellStyle name="40% - Accent2 3 2 2 3 2 3 2" xfId="10195"/>
    <cellStyle name="40% - Accent2 3 2 2 3 2 4" xfId="10196"/>
    <cellStyle name="40% - Accent2 3 2 2 3 2 5" xfId="10197"/>
    <cellStyle name="40% - Accent2 3 2 2 3 3" xfId="10198"/>
    <cellStyle name="40% - Accent2 3 2 2 3 3 2" xfId="10199"/>
    <cellStyle name="40% - Accent2 3 2 2 3 3 2 2" xfId="10200"/>
    <cellStyle name="40% - Accent2 3 2 2 3 3 2 2 2" xfId="10201"/>
    <cellStyle name="40% - Accent2 3 2 2 3 3 2 3" xfId="10202"/>
    <cellStyle name="40% - Accent2 3 2 2 3 3 2 4" xfId="10203"/>
    <cellStyle name="40% - Accent2 3 2 2 3 3 3" xfId="10204"/>
    <cellStyle name="40% - Accent2 3 2 2 3 3 3 2" xfId="10205"/>
    <cellStyle name="40% - Accent2 3 2 2 3 3 4" xfId="10206"/>
    <cellStyle name="40% - Accent2 3 2 2 3 3 5" xfId="10207"/>
    <cellStyle name="40% - Accent2 3 2 2 3 4" xfId="10208"/>
    <cellStyle name="40% - Accent2 3 2 2 3 4 2" xfId="10209"/>
    <cellStyle name="40% - Accent2 3 2 2 3 4 2 2" xfId="10210"/>
    <cellStyle name="40% - Accent2 3 2 2 3 4 3" xfId="10211"/>
    <cellStyle name="40% - Accent2 3 2 2 3 4 4" xfId="10212"/>
    <cellStyle name="40% - Accent2 3 2 2 3 5" xfId="10213"/>
    <cellStyle name="40% - Accent2 3 2 2 3 5 2" xfId="10214"/>
    <cellStyle name="40% - Accent2 3 2 2 3 5 2 2" xfId="10215"/>
    <cellStyle name="40% - Accent2 3 2 2 3 5 3" xfId="10216"/>
    <cellStyle name="40% - Accent2 3 2 2 3 5 4" xfId="10217"/>
    <cellStyle name="40% - Accent2 3 2 2 3 6" xfId="10218"/>
    <cellStyle name="40% - Accent2 3 2 2 3 6 2" xfId="10219"/>
    <cellStyle name="40% - Accent2 3 2 2 3 6 2 2" xfId="10220"/>
    <cellStyle name="40% - Accent2 3 2 2 3 6 3" xfId="10221"/>
    <cellStyle name="40% - Accent2 3 2 2 3 6 4" xfId="10222"/>
    <cellStyle name="40% - Accent2 3 2 2 3 7" xfId="10223"/>
    <cellStyle name="40% - Accent2 3 2 2 3 7 2" xfId="10224"/>
    <cellStyle name="40% - Accent2 3 2 2 3 8" xfId="10225"/>
    <cellStyle name="40% - Accent2 3 2 2 3 9" xfId="10226"/>
    <cellStyle name="40% - Accent2 3 2 2 4" xfId="10227"/>
    <cellStyle name="40% - Accent2 3 2 2 4 2" xfId="10228"/>
    <cellStyle name="40% - Accent2 3 2 2 4 2 2" xfId="10229"/>
    <cellStyle name="40% - Accent2 3 2 2 4 2 2 2" xfId="10230"/>
    <cellStyle name="40% - Accent2 3 2 2 4 2 3" xfId="10231"/>
    <cellStyle name="40% - Accent2 3 2 2 4 2 4" xfId="10232"/>
    <cellStyle name="40% - Accent2 3 2 2 4 3" xfId="10233"/>
    <cellStyle name="40% - Accent2 3 2 2 4 3 2" xfId="10234"/>
    <cellStyle name="40% - Accent2 3 2 2 4 4" xfId="10235"/>
    <cellStyle name="40% - Accent2 3 2 2 4 5" xfId="10236"/>
    <cellStyle name="40% - Accent2 3 2 2 5" xfId="10237"/>
    <cellStyle name="40% - Accent2 3 2 2 5 2" xfId="10238"/>
    <cellStyle name="40% - Accent2 3 2 2 5 2 2" xfId="10239"/>
    <cellStyle name="40% - Accent2 3 2 2 5 2 2 2" xfId="10240"/>
    <cellStyle name="40% - Accent2 3 2 2 5 2 3" xfId="10241"/>
    <cellStyle name="40% - Accent2 3 2 2 5 2 4" xfId="10242"/>
    <cellStyle name="40% - Accent2 3 2 2 5 3" xfId="10243"/>
    <cellStyle name="40% - Accent2 3 2 2 5 3 2" xfId="10244"/>
    <cellStyle name="40% - Accent2 3 2 2 5 4" xfId="10245"/>
    <cellStyle name="40% - Accent2 3 2 2 5 5" xfId="10246"/>
    <cellStyle name="40% - Accent2 3 2 2 6" xfId="10247"/>
    <cellStyle name="40% - Accent2 3 2 2 6 2" xfId="10248"/>
    <cellStyle name="40% - Accent2 3 2 2 6 2 2" xfId="10249"/>
    <cellStyle name="40% - Accent2 3 2 2 6 3" xfId="10250"/>
    <cellStyle name="40% - Accent2 3 2 2 6 4" xfId="10251"/>
    <cellStyle name="40% - Accent2 3 2 2 7" xfId="10252"/>
    <cellStyle name="40% - Accent2 3 2 2 7 2" xfId="10253"/>
    <cellStyle name="40% - Accent2 3 2 2 7 2 2" xfId="10254"/>
    <cellStyle name="40% - Accent2 3 2 2 7 3" xfId="10255"/>
    <cellStyle name="40% - Accent2 3 2 2 7 4" xfId="10256"/>
    <cellStyle name="40% - Accent2 3 2 2 8" xfId="10257"/>
    <cellStyle name="40% - Accent2 3 2 2 8 2" xfId="10258"/>
    <cellStyle name="40% - Accent2 3 2 2 8 2 2" xfId="10259"/>
    <cellStyle name="40% - Accent2 3 2 2 8 3" xfId="10260"/>
    <cellStyle name="40% - Accent2 3 2 2 8 4" xfId="10261"/>
    <cellStyle name="40% - Accent2 3 2 2 9" xfId="10262"/>
    <cellStyle name="40% - Accent2 3 2 2 9 2" xfId="10263"/>
    <cellStyle name="40% - Accent2 3 2 3" xfId="10264"/>
    <cellStyle name="40% - Accent2 3 2 3 10" xfId="10265"/>
    <cellStyle name="40% - Accent2 3 2 3 2" xfId="10266"/>
    <cellStyle name="40% - Accent2 3 2 3 2 2" xfId="10267"/>
    <cellStyle name="40% - Accent2 3 2 3 2 2 2" xfId="10268"/>
    <cellStyle name="40% - Accent2 3 2 3 2 2 2 2" xfId="10269"/>
    <cellStyle name="40% - Accent2 3 2 3 2 2 2 2 2" xfId="10270"/>
    <cellStyle name="40% - Accent2 3 2 3 2 2 2 3" xfId="10271"/>
    <cellStyle name="40% - Accent2 3 2 3 2 2 2 4" xfId="10272"/>
    <cellStyle name="40% - Accent2 3 2 3 2 2 3" xfId="10273"/>
    <cellStyle name="40% - Accent2 3 2 3 2 2 3 2" xfId="10274"/>
    <cellStyle name="40% - Accent2 3 2 3 2 2 4" xfId="10275"/>
    <cellStyle name="40% - Accent2 3 2 3 2 2 5" xfId="10276"/>
    <cellStyle name="40% - Accent2 3 2 3 2 3" xfId="10277"/>
    <cellStyle name="40% - Accent2 3 2 3 2 3 2" xfId="10278"/>
    <cellStyle name="40% - Accent2 3 2 3 2 3 2 2" xfId="10279"/>
    <cellStyle name="40% - Accent2 3 2 3 2 3 2 2 2" xfId="10280"/>
    <cellStyle name="40% - Accent2 3 2 3 2 3 2 3" xfId="10281"/>
    <cellStyle name="40% - Accent2 3 2 3 2 3 2 4" xfId="10282"/>
    <cellStyle name="40% - Accent2 3 2 3 2 3 3" xfId="10283"/>
    <cellStyle name="40% - Accent2 3 2 3 2 3 3 2" xfId="10284"/>
    <cellStyle name="40% - Accent2 3 2 3 2 3 4" xfId="10285"/>
    <cellStyle name="40% - Accent2 3 2 3 2 3 5" xfId="10286"/>
    <cellStyle name="40% - Accent2 3 2 3 2 4" xfId="10287"/>
    <cellStyle name="40% - Accent2 3 2 3 2 4 2" xfId="10288"/>
    <cellStyle name="40% - Accent2 3 2 3 2 4 2 2" xfId="10289"/>
    <cellStyle name="40% - Accent2 3 2 3 2 4 3" xfId="10290"/>
    <cellStyle name="40% - Accent2 3 2 3 2 4 4" xfId="10291"/>
    <cellStyle name="40% - Accent2 3 2 3 2 5" xfId="10292"/>
    <cellStyle name="40% - Accent2 3 2 3 2 5 2" xfId="10293"/>
    <cellStyle name="40% - Accent2 3 2 3 2 5 2 2" xfId="10294"/>
    <cellStyle name="40% - Accent2 3 2 3 2 5 3" xfId="10295"/>
    <cellStyle name="40% - Accent2 3 2 3 2 5 4" xfId="10296"/>
    <cellStyle name="40% - Accent2 3 2 3 2 6" xfId="10297"/>
    <cellStyle name="40% - Accent2 3 2 3 2 6 2" xfId="10298"/>
    <cellStyle name="40% - Accent2 3 2 3 2 6 2 2" xfId="10299"/>
    <cellStyle name="40% - Accent2 3 2 3 2 6 3" xfId="10300"/>
    <cellStyle name="40% - Accent2 3 2 3 2 6 4" xfId="10301"/>
    <cellStyle name="40% - Accent2 3 2 3 2 7" xfId="10302"/>
    <cellStyle name="40% - Accent2 3 2 3 2 7 2" xfId="10303"/>
    <cellStyle name="40% - Accent2 3 2 3 2 8" xfId="10304"/>
    <cellStyle name="40% - Accent2 3 2 3 2 9" xfId="10305"/>
    <cellStyle name="40% - Accent2 3 2 3 3" xfId="10306"/>
    <cellStyle name="40% - Accent2 3 2 3 3 2" xfId="10307"/>
    <cellStyle name="40% - Accent2 3 2 3 3 2 2" xfId="10308"/>
    <cellStyle name="40% - Accent2 3 2 3 3 2 2 2" xfId="10309"/>
    <cellStyle name="40% - Accent2 3 2 3 3 2 3" xfId="10310"/>
    <cellStyle name="40% - Accent2 3 2 3 3 2 4" xfId="10311"/>
    <cellStyle name="40% - Accent2 3 2 3 3 3" xfId="10312"/>
    <cellStyle name="40% - Accent2 3 2 3 3 3 2" xfId="10313"/>
    <cellStyle name="40% - Accent2 3 2 3 3 4" xfId="10314"/>
    <cellStyle name="40% - Accent2 3 2 3 3 5" xfId="10315"/>
    <cellStyle name="40% - Accent2 3 2 3 4" xfId="10316"/>
    <cellStyle name="40% - Accent2 3 2 3 4 2" xfId="10317"/>
    <cellStyle name="40% - Accent2 3 2 3 4 2 2" xfId="10318"/>
    <cellStyle name="40% - Accent2 3 2 3 4 2 2 2" xfId="10319"/>
    <cellStyle name="40% - Accent2 3 2 3 4 2 3" xfId="10320"/>
    <cellStyle name="40% - Accent2 3 2 3 4 2 4" xfId="10321"/>
    <cellStyle name="40% - Accent2 3 2 3 4 3" xfId="10322"/>
    <cellStyle name="40% - Accent2 3 2 3 4 3 2" xfId="10323"/>
    <cellStyle name="40% - Accent2 3 2 3 4 4" xfId="10324"/>
    <cellStyle name="40% - Accent2 3 2 3 4 5" xfId="10325"/>
    <cellStyle name="40% - Accent2 3 2 3 5" xfId="10326"/>
    <cellStyle name="40% - Accent2 3 2 3 5 2" xfId="10327"/>
    <cellStyle name="40% - Accent2 3 2 3 5 2 2" xfId="10328"/>
    <cellStyle name="40% - Accent2 3 2 3 5 3" xfId="10329"/>
    <cellStyle name="40% - Accent2 3 2 3 5 4" xfId="10330"/>
    <cellStyle name="40% - Accent2 3 2 3 6" xfId="10331"/>
    <cellStyle name="40% - Accent2 3 2 3 6 2" xfId="10332"/>
    <cellStyle name="40% - Accent2 3 2 3 6 2 2" xfId="10333"/>
    <cellStyle name="40% - Accent2 3 2 3 6 3" xfId="10334"/>
    <cellStyle name="40% - Accent2 3 2 3 6 4" xfId="10335"/>
    <cellStyle name="40% - Accent2 3 2 3 7" xfId="10336"/>
    <cellStyle name="40% - Accent2 3 2 3 7 2" xfId="10337"/>
    <cellStyle name="40% - Accent2 3 2 3 7 2 2" xfId="10338"/>
    <cellStyle name="40% - Accent2 3 2 3 7 3" xfId="10339"/>
    <cellStyle name="40% - Accent2 3 2 3 7 4" xfId="10340"/>
    <cellStyle name="40% - Accent2 3 2 3 8" xfId="10341"/>
    <cellStyle name="40% - Accent2 3 2 3 8 2" xfId="10342"/>
    <cellStyle name="40% - Accent2 3 2 3 9" xfId="10343"/>
    <cellStyle name="40% - Accent2 3 2 4" xfId="10344"/>
    <cellStyle name="40% - Accent2 3 2 4 2" xfId="10345"/>
    <cellStyle name="40% - Accent2 3 2 4 2 2" xfId="10346"/>
    <cellStyle name="40% - Accent2 3 2 4 2 2 2" xfId="10347"/>
    <cellStyle name="40% - Accent2 3 2 4 2 2 2 2" xfId="10348"/>
    <cellStyle name="40% - Accent2 3 2 4 2 2 3" xfId="10349"/>
    <cellStyle name="40% - Accent2 3 2 4 2 2 4" xfId="10350"/>
    <cellStyle name="40% - Accent2 3 2 4 2 3" xfId="10351"/>
    <cellStyle name="40% - Accent2 3 2 4 2 3 2" xfId="10352"/>
    <cellStyle name="40% - Accent2 3 2 4 2 4" xfId="10353"/>
    <cellStyle name="40% - Accent2 3 2 4 2 5" xfId="10354"/>
    <cellStyle name="40% - Accent2 3 2 4 3" xfId="10355"/>
    <cellStyle name="40% - Accent2 3 2 4 3 2" xfId="10356"/>
    <cellStyle name="40% - Accent2 3 2 4 3 2 2" xfId="10357"/>
    <cellStyle name="40% - Accent2 3 2 4 3 2 2 2" xfId="10358"/>
    <cellStyle name="40% - Accent2 3 2 4 3 2 3" xfId="10359"/>
    <cellStyle name="40% - Accent2 3 2 4 3 2 4" xfId="10360"/>
    <cellStyle name="40% - Accent2 3 2 4 3 3" xfId="10361"/>
    <cellStyle name="40% - Accent2 3 2 4 3 3 2" xfId="10362"/>
    <cellStyle name="40% - Accent2 3 2 4 3 4" xfId="10363"/>
    <cellStyle name="40% - Accent2 3 2 4 3 5" xfId="10364"/>
    <cellStyle name="40% - Accent2 3 2 4 4" xfId="10365"/>
    <cellStyle name="40% - Accent2 3 2 4 4 2" xfId="10366"/>
    <cellStyle name="40% - Accent2 3 2 4 4 2 2" xfId="10367"/>
    <cellStyle name="40% - Accent2 3 2 4 4 3" xfId="10368"/>
    <cellStyle name="40% - Accent2 3 2 4 4 4" xfId="10369"/>
    <cellStyle name="40% - Accent2 3 2 4 5" xfId="10370"/>
    <cellStyle name="40% - Accent2 3 2 4 5 2" xfId="10371"/>
    <cellStyle name="40% - Accent2 3 2 4 5 2 2" xfId="10372"/>
    <cellStyle name="40% - Accent2 3 2 4 5 3" xfId="10373"/>
    <cellStyle name="40% - Accent2 3 2 4 5 4" xfId="10374"/>
    <cellStyle name="40% - Accent2 3 2 4 6" xfId="10375"/>
    <cellStyle name="40% - Accent2 3 2 4 6 2" xfId="10376"/>
    <cellStyle name="40% - Accent2 3 2 4 6 2 2" xfId="10377"/>
    <cellStyle name="40% - Accent2 3 2 4 6 3" xfId="10378"/>
    <cellStyle name="40% - Accent2 3 2 4 6 4" xfId="10379"/>
    <cellStyle name="40% - Accent2 3 2 4 7" xfId="10380"/>
    <cellStyle name="40% - Accent2 3 2 4 7 2" xfId="10381"/>
    <cellStyle name="40% - Accent2 3 2 4 8" xfId="10382"/>
    <cellStyle name="40% - Accent2 3 2 4 9" xfId="10383"/>
    <cellStyle name="40% - Accent2 3 2 5" xfId="10384"/>
    <cellStyle name="40% - Accent2 3 2 5 2" xfId="10385"/>
    <cellStyle name="40% - Accent2 3 2 5 2 2" xfId="10386"/>
    <cellStyle name="40% - Accent2 3 2 5 2 2 2" xfId="10387"/>
    <cellStyle name="40% - Accent2 3 2 5 2 3" xfId="10388"/>
    <cellStyle name="40% - Accent2 3 2 5 2 4" xfId="10389"/>
    <cellStyle name="40% - Accent2 3 2 5 3" xfId="10390"/>
    <cellStyle name="40% - Accent2 3 2 5 3 2" xfId="10391"/>
    <cellStyle name="40% - Accent2 3 2 5 4" xfId="10392"/>
    <cellStyle name="40% - Accent2 3 2 5 5" xfId="10393"/>
    <cellStyle name="40% - Accent2 3 2 6" xfId="10394"/>
    <cellStyle name="40% - Accent2 3 2 6 2" xfId="10395"/>
    <cellStyle name="40% - Accent2 3 2 6 2 2" xfId="10396"/>
    <cellStyle name="40% - Accent2 3 2 6 2 2 2" xfId="10397"/>
    <cellStyle name="40% - Accent2 3 2 6 2 3" xfId="10398"/>
    <cellStyle name="40% - Accent2 3 2 6 2 4" xfId="10399"/>
    <cellStyle name="40% - Accent2 3 2 6 3" xfId="10400"/>
    <cellStyle name="40% - Accent2 3 2 6 3 2" xfId="10401"/>
    <cellStyle name="40% - Accent2 3 2 6 4" xfId="10402"/>
    <cellStyle name="40% - Accent2 3 2 6 5" xfId="10403"/>
    <cellStyle name="40% - Accent2 3 2 7" xfId="10404"/>
    <cellStyle name="40% - Accent2 3 2 7 2" xfId="10405"/>
    <cellStyle name="40% - Accent2 3 2 7 2 2" xfId="10406"/>
    <cellStyle name="40% - Accent2 3 2 7 3" xfId="10407"/>
    <cellStyle name="40% - Accent2 3 2 7 4" xfId="10408"/>
    <cellStyle name="40% - Accent2 3 2 8" xfId="10409"/>
    <cellStyle name="40% - Accent2 3 2 8 2" xfId="10410"/>
    <cellStyle name="40% - Accent2 3 2 8 2 2" xfId="10411"/>
    <cellStyle name="40% - Accent2 3 2 8 3" xfId="10412"/>
    <cellStyle name="40% - Accent2 3 2 8 4" xfId="10413"/>
    <cellStyle name="40% - Accent2 3 2 9" xfId="10414"/>
    <cellStyle name="40% - Accent2 3 2 9 2" xfId="10415"/>
    <cellStyle name="40% - Accent2 3 2 9 2 2" xfId="10416"/>
    <cellStyle name="40% - Accent2 3 2 9 3" xfId="10417"/>
    <cellStyle name="40% - Accent2 3 2 9 4" xfId="10418"/>
    <cellStyle name="40% - Accent2 3 3" xfId="10419"/>
    <cellStyle name="40% - Accent2 3 3 10" xfId="10420"/>
    <cellStyle name="40% - Accent2 3 3 11" xfId="10421"/>
    <cellStyle name="40% - Accent2 3 3 2" xfId="10422"/>
    <cellStyle name="40% - Accent2 3 3 2 10" xfId="10423"/>
    <cellStyle name="40% - Accent2 3 3 2 2" xfId="10424"/>
    <cellStyle name="40% - Accent2 3 3 2 2 2" xfId="10425"/>
    <cellStyle name="40% - Accent2 3 3 2 2 2 2" xfId="10426"/>
    <cellStyle name="40% - Accent2 3 3 2 2 2 2 2" xfId="10427"/>
    <cellStyle name="40% - Accent2 3 3 2 2 2 2 2 2" xfId="10428"/>
    <cellStyle name="40% - Accent2 3 3 2 2 2 2 3" xfId="10429"/>
    <cellStyle name="40% - Accent2 3 3 2 2 2 2 4" xfId="10430"/>
    <cellStyle name="40% - Accent2 3 3 2 2 2 3" xfId="10431"/>
    <cellStyle name="40% - Accent2 3 3 2 2 2 3 2" xfId="10432"/>
    <cellStyle name="40% - Accent2 3 3 2 2 2 4" xfId="10433"/>
    <cellStyle name="40% - Accent2 3 3 2 2 2 5" xfId="10434"/>
    <cellStyle name="40% - Accent2 3 3 2 2 3" xfId="10435"/>
    <cellStyle name="40% - Accent2 3 3 2 2 3 2" xfId="10436"/>
    <cellStyle name="40% - Accent2 3 3 2 2 3 2 2" xfId="10437"/>
    <cellStyle name="40% - Accent2 3 3 2 2 3 2 2 2" xfId="10438"/>
    <cellStyle name="40% - Accent2 3 3 2 2 3 2 3" xfId="10439"/>
    <cellStyle name="40% - Accent2 3 3 2 2 3 2 4" xfId="10440"/>
    <cellStyle name="40% - Accent2 3 3 2 2 3 3" xfId="10441"/>
    <cellStyle name="40% - Accent2 3 3 2 2 3 3 2" xfId="10442"/>
    <cellStyle name="40% - Accent2 3 3 2 2 3 4" xfId="10443"/>
    <cellStyle name="40% - Accent2 3 3 2 2 3 5" xfId="10444"/>
    <cellStyle name="40% - Accent2 3 3 2 2 4" xfId="10445"/>
    <cellStyle name="40% - Accent2 3 3 2 2 4 2" xfId="10446"/>
    <cellStyle name="40% - Accent2 3 3 2 2 4 2 2" xfId="10447"/>
    <cellStyle name="40% - Accent2 3 3 2 2 4 3" xfId="10448"/>
    <cellStyle name="40% - Accent2 3 3 2 2 4 4" xfId="10449"/>
    <cellStyle name="40% - Accent2 3 3 2 2 5" xfId="10450"/>
    <cellStyle name="40% - Accent2 3 3 2 2 5 2" xfId="10451"/>
    <cellStyle name="40% - Accent2 3 3 2 2 5 2 2" xfId="10452"/>
    <cellStyle name="40% - Accent2 3 3 2 2 5 3" xfId="10453"/>
    <cellStyle name="40% - Accent2 3 3 2 2 5 4" xfId="10454"/>
    <cellStyle name="40% - Accent2 3 3 2 2 6" xfId="10455"/>
    <cellStyle name="40% - Accent2 3 3 2 2 6 2" xfId="10456"/>
    <cellStyle name="40% - Accent2 3 3 2 2 6 2 2" xfId="10457"/>
    <cellStyle name="40% - Accent2 3 3 2 2 6 3" xfId="10458"/>
    <cellStyle name="40% - Accent2 3 3 2 2 6 4" xfId="10459"/>
    <cellStyle name="40% - Accent2 3 3 2 2 7" xfId="10460"/>
    <cellStyle name="40% - Accent2 3 3 2 2 7 2" xfId="10461"/>
    <cellStyle name="40% - Accent2 3 3 2 2 8" xfId="10462"/>
    <cellStyle name="40% - Accent2 3 3 2 2 9" xfId="10463"/>
    <cellStyle name="40% - Accent2 3 3 2 3" xfId="10464"/>
    <cellStyle name="40% - Accent2 3 3 2 3 2" xfId="10465"/>
    <cellStyle name="40% - Accent2 3 3 2 3 2 2" xfId="10466"/>
    <cellStyle name="40% - Accent2 3 3 2 3 2 2 2" xfId="10467"/>
    <cellStyle name="40% - Accent2 3 3 2 3 2 3" xfId="10468"/>
    <cellStyle name="40% - Accent2 3 3 2 3 2 4" xfId="10469"/>
    <cellStyle name="40% - Accent2 3 3 2 3 3" xfId="10470"/>
    <cellStyle name="40% - Accent2 3 3 2 3 3 2" xfId="10471"/>
    <cellStyle name="40% - Accent2 3 3 2 3 4" xfId="10472"/>
    <cellStyle name="40% - Accent2 3 3 2 3 5" xfId="10473"/>
    <cellStyle name="40% - Accent2 3 3 2 4" xfId="10474"/>
    <cellStyle name="40% - Accent2 3 3 2 4 2" xfId="10475"/>
    <cellStyle name="40% - Accent2 3 3 2 4 2 2" xfId="10476"/>
    <cellStyle name="40% - Accent2 3 3 2 4 2 2 2" xfId="10477"/>
    <cellStyle name="40% - Accent2 3 3 2 4 2 3" xfId="10478"/>
    <cellStyle name="40% - Accent2 3 3 2 4 2 4" xfId="10479"/>
    <cellStyle name="40% - Accent2 3 3 2 4 3" xfId="10480"/>
    <cellStyle name="40% - Accent2 3 3 2 4 3 2" xfId="10481"/>
    <cellStyle name="40% - Accent2 3 3 2 4 4" xfId="10482"/>
    <cellStyle name="40% - Accent2 3 3 2 4 5" xfId="10483"/>
    <cellStyle name="40% - Accent2 3 3 2 5" xfId="10484"/>
    <cellStyle name="40% - Accent2 3 3 2 5 2" xfId="10485"/>
    <cellStyle name="40% - Accent2 3 3 2 5 2 2" xfId="10486"/>
    <cellStyle name="40% - Accent2 3 3 2 5 3" xfId="10487"/>
    <cellStyle name="40% - Accent2 3 3 2 5 4" xfId="10488"/>
    <cellStyle name="40% - Accent2 3 3 2 6" xfId="10489"/>
    <cellStyle name="40% - Accent2 3 3 2 6 2" xfId="10490"/>
    <cellStyle name="40% - Accent2 3 3 2 6 2 2" xfId="10491"/>
    <cellStyle name="40% - Accent2 3 3 2 6 3" xfId="10492"/>
    <cellStyle name="40% - Accent2 3 3 2 6 4" xfId="10493"/>
    <cellStyle name="40% - Accent2 3 3 2 7" xfId="10494"/>
    <cellStyle name="40% - Accent2 3 3 2 7 2" xfId="10495"/>
    <cellStyle name="40% - Accent2 3 3 2 7 2 2" xfId="10496"/>
    <cellStyle name="40% - Accent2 3 3 2 7 3" xfId="10497"/>
    <cellStyle name="40% - Accent2 3 3 2 7 4" xfId="10498"/>
    <cellStyle name="40% - Accent2 3 3 2 8" xfId="10499"/>
    <cellStyle name="40% - Accent2 3 3 2 8 2" xfId="10500"/>
    <cellStyle name="40% - Accent2 3 3 2 9" xfId="10501"/>
    <cellStyle name="40% - Accent2 3 3 3" xfId="10502"/>
    <cellStyle name="40% - Accent2 3 3 3 2" xfId="10503"/>
    <cellStyle name="40% - Accent2 3 3 3 2 2" xfId="10504"/>
    <cellStyle name="40% - Accent2 3 3 3 2 2 2" xfId="10505"/>
    <cellStyle name="40% - Accent2 3 3 3 2 2 2 2" xfId="10506"/>
    <cellStyle name="40% - Accent2 3 3 3 2 2 3" xfId="10507"/>
    <cellStyle name="40% - Accent2 3 3 3 2 2 4" xfId="10508"/>
    <cellStyle name="40% - Accent2 3 3 3 2 3" xfId="10509"/>
    <cellStyle name="40% - Accent2 3 3 3 2 3 2" xfId="10510"/>
    <cellStyle name="40% - Accent2 3 3 3 2 4" xfId="10511"/>
    <cellStyle name="40% - Accent2 3 3 3 2 5" xfId="10512"/>
    <cellStyle name="40% - Accent2 3 3 3 3" xfId="10513"/>
    <cellStyle name="40% - Accent2 3 3 3 3 2" xfId="10514"/>
    <cellStyle name="40% - Accent2 3 3 3 3 2 2" xfId="10515"/>
    <cellStyle name="40% - Accent2 3 3 3 3 2 2 2" xfId="10516"/>
    <cellStyle name="40% - Accent2 3 3 3 3 2 3" xfId="10517"/>
    <cellStyle name="40% - Accent2 3 3 3 3 2 4" xfId="10518"/>
    <cellStyle name="40% - Accent2 3 3 3 3 3" xfId="10519"/>
    <cellStyle name="40% - Accent2 3 3 3 3 3 2" xfId="10520"/>
    <cellStyle name="40% - Accent2 3 3 3 3 4" xfId="10521"/>
    <cellStyle name="40% - Accent2 3 3 3 3 5" xfId="10522"/>
    <cellStyle name="40% - Accent2 3 3 3 4" xfId="10523"/>
    <cellStyle name="40% - Accent2 3 3 3 4 2" xfId="10524"/>
    <cellStyle name="40% - Accent2 3 3 3 4 2 2" xfId="10525"/>
    <cellStyle name="40% - Accent2 3 3 3 4 3" xfId="10526"/>
    <cellStyle name="40% - Accent2 3 3 3 4 4" xfId="10527"/>
    <cellStyle name="40% - Accent2 3 3 3 5" xfId="10528"/>
    <cellStyle name="40% - Accent2 3 3 3 5 2" xfId="10529"/>
    <cellStyle name="40% - Accent2 3 3 3 5 2 2" xfId="10530"/>
    <cellStyle name="40% - Accent2 3 3 3 5 3" xfId="10531"/>
    <cellStyle name="40% - Accent2 3 3 3 5 4" xfId="10532"/>
    <cellStyle name="40% - Accent2 3 3 3 6" xfId="10533"/>
    <cellStyle name="40% - Accent2 3 3 3 6 2" xfId="10534"/>
    <cellStyle name="40% - Accent2 3 3 3 6 2 2" xfId="10535"/>
    <cellStyle name="40% - Accent2 3 3 3 6 3" xfId="10536"/>
    <cellStyle name="40% - Accent2 3 3 3 6 4" xfId="10537"/>
    <cellStyle name="40% - Accent2 3 3 3 7" xfId="10538"/>
    <cellStyle name="40% - Accent2 3 3 3 7 2" xfId="10539"/>
    <cellStyle name="40% - Accent2 3 3 3 8" xfId="10540"/>
    <cellStyle name="40% - Accent2 3 3 3 9" xfId="10541"/>
    <cellStyle name="40% - Accent2 3 3 4" xfId="10542"/>
    <cellStyle name="40% - Accent2 3 3 4 2" xfId="10543"/>
    <cellStyle name="40% - Accent2 3 3 4 2 2" xfId="10544"/>
    <cellStyle name="40% - Accent2 3 3 4 2 2 2" xfId="10545"/>
    <cellStyle name="40% - Accent2 3 3 4 2 3" xfId="10546"/>
    <cellStyle name="40% - Accent2 3 3 4 2 4" xfId="10547"/>
    <cellStyle name="40% - Accent2 3 3 4 3" xfId="10548"/>
    <cellStyle name="40% - Accent2 3 3 4 3 2" xfId="10549"/>
    <cellStyle name="40% - Accent2 3 3 4 4" xfId="10550"/>
    <cellStyle name="40% - Accent2 3 3 4 5" xfId="10551"/>
    <cellStyle name="40% - Accent2 3 3 5" xfId="10552"/>
    <cellStyle name="40% - Accent2 3 3 5 2" xfId="10553"/>
    <cellStyle name="40% - Accent2 3 3 5 2 2" xfId="10554"/>
    <cellStyle name="40% - Accent2 3 3 5 2 2 2" xfId="10555"/>
    <cellStyle name="40% - Accent2 3 3 5 2 3" xfId="10556"/>
    <cellStyle name="40% - Accent2 3 3 5 2 4" xfId="10557"/>
    <cellStyle name="40% - Accent2 3 3 5 3" xfId="10558"/>
    <cellStyle name="40% - Accent2 3 3 5 3 2" xfId="10559"/>
    <cellStyle name="40% - Accent2 3 3 5 4" xfId="10560"/>
    <cellStyle name="40% - Accent2 3 3 5 5" xfId="10561"/>
    <cellStyle name="40% - Accent2 3 3 6" xfId="10562"/>
    <cellStyle name="40% - Accent2 3 3 6 2" xfId="10563"/>
    <cellStyle name="40% - Accent2 3 3 6 2 2" xfId="10564"/>
    <cellStyle name="40% - Accent2 3 3 6 3" xfId="10565"/>
    <cellStyle name="40% - Accent2 3 3 6 4" xfId="10566"/>
    <cellStyle name="40% - Accent2 3 3 7" xfId="10567"/>
    <cellStyle name="40% - Accent2 3 3 7 2" xfId="10568"/>
    <cellStyle name="40% - Accent2 3 3 7 2 2" xfId="10569"/>
    <cellStyle name="40% - Accent2 3 3 7 3" xfId="10570"/>
    <cellStyle name="40% - Accent2 3 3 7 4" xfId="10571"/>
    <cellStyle name="40% - Accent2 3 3 8" xfId="10572"/>
    <cellStyle name="40% - Accent2 3 3 8 2" xfId="10573"/>
    <cellStyle name="40% - Accent2 3 3 8 2 2" xfId="10574"/>
    <cellStyle name="40% - Accent2 3 3 8 3" xfId="10575"/>
    <cellStyle name="40% - Accent2 3 3 8 4" xfId="10576"/>
    <cellStyle name="40% - Accent2 3 3 9" xfId="10577"/>
    <cellStyle name="40% - Accent2 3 3 9 2" xfId="10578"/>
    <cellStyle name="40% - Accent2 3 4" xfId="10579"/>
    <cellStyle name="40% - Accent2 3 4 10" xfId="10580"/>
    <cellStyle name="40% - Accent2 3 4 2" xfId="10581"/>
    <cellStyle name="40% - Accent2 3 4 2 2" xfId="10582"/>
    <cellStyle name="40% - Accent2 3 4 2 2 2" xfId="10583"/>
    <cellStyle name="40% - Accent2 3 4 2 2 2 2" xfId="10584"/>
    <cellStyle name="40% - Accent2 3 4 2 2 2 2 2" xfId="10585"/>
    <cellStyle name="40% - Accent2 3 4 2 2 2 3" xfId="10586"/>
    <cellStyle name="40% - Accent2 3 4 2 2 2 4" xfId="10587"/>
    <cellStyle name="40% - Accent2 3 4 2 2 3" xfId="10588"/>
    <cellStyle name="40% - Accent2 3 4 2 2 3 2" xfId="10589"/>
    <cellStyle name="40% - Accent2 3 4 2 2 4" xfId="10590"/>
    <cellStyle name="40% - Accent2 3 4 2 2 5" xfId="10591"/>
    <cellStyle name="40% - Accent2 3 4 2 3" xfId="10592"/>
    <cellStyle name="40% - Accent2 3 4 2 3 2" xfId="10593"/>
    <cellStyle name="40% - Accent2 3 4 2 3 2 2" xfId="10594"/>
    <cellStyle name="40% - Accent2 3 4 2 3 2 2 2" xfId="10595"/>
    <cellStyle name="40% - Accent2 3 4 2 3 2 3" xfId="10596"/>
    <cellStyle name="40% - Accent2 3 4 2 3 2 4" xfId="10597"/>
    <cellStyle name="40% - Accent2 3 4 2 3 3" xfId="10598"/>
    <cellStyle name="40% - Accent2 3 4 2 3 3 2" xfId="10599"/>
    <cellStyle name="40% - Accent2 3 4 2 3 4" xfId="10600"/>
    <cellStyle name="40% - Accent2 3 4 2 3 5" xfId="10601"/>
    <cellStyle name="40% - Accent2 3 4 2 4" xfId="10602"/>
    <cellStyle name="40% - Accent2 3 4 2 4 2" xfId="10603"/>
    <cellStyle name="40% - Accent2 3 4 2 4 2 2" xfId="10604"/>
    <cellStyle name="40% - Accent2 3 4 2 4 3" xfId="10605"/>
    <cellStyle name="40% - Accent2 3 4 2 4 4" xfId="10606"/>
    <cellStyle name="40% - Accent2 3 4 2 5" xfId="10607"/>
    <cellStyle name="40% - Accent2 3 4 2 5 2" xfId="10608"/>
    <cellStyle name="40% - Accent2 3 4 2 5 2 2" xfId="10609"/>
    <cellStyle name="40% - Accent2 3 4 2 5 3" xfId="10610"/>
    <cellStyle name="40% - Accent2 3 4 2 5 4" xfId="10611"/>
    <cellStyle name="40% - Accent2 3 4 2 6" xfId="10612"/>
    <cellStyle name="40% - Accent2 3 4 2 6 2" xfId="10613"/>
    <cellStyle name="40% - Accent2 3 4 2 6 2 2" xfId="10614"/>
    <cellStyle name="40% - Accent2 3 4 2 6 3" xfId="10615"/>
    <cellStyle name="40% - Accent2 3 4 2 6 4" xfId="10616"/>
    <cellStyle name="40% - Accent2 3 4 2 7" xfId="10617"/>
    <cellStyle name="40% - Accent2 3 4 2 7 2" xfId="10618"/>
    <cellStyle name="40% - Accent2 3 4 2 8" xfId="10619"/>
    <cellStyle name="40% - Accent2 3 4 2 9" xfId="10620"/>
    <cellStyle name="40% - Accent2 3 4 3" xfId="10621"/>
    <cellStyle name="40% - Accent2 3 4 3 2" xfId="10622"/>
    <cellStyle name="40% - Accent2 3 4 3 2 2" xfId="10623"/>
    <cellStyle name="40% - Accent2 3 4 3 2 2 2" xfId="10624"/>
    <cellStyle name="40% - Accent2 3 4 3 2 3" xfId="10625"/>
    <cellStyle name="40% - Accent2 3 4 3 2 4" xfId="10626"/>
    <cellStyle name="40% - Accent2 3 4 3 3" xfId="10627"/>
    <cellStyle name="40% - Accent2 3 4 3 3 2" xfId="10628"/>
    <cellStyle name="40% - Accent2 3 4 3 4" xfId="10629"/>
    <cellStyle name="40% - Accent2 3 4 3 5" xfId="10630"/>
    <cellStyle name="40% - Accent2 3 4 4" xfId="10631"/>
    <cellStyle name="40% - Accent2 3 4 4 2" xfId="10632"/>
    <cellStyle name="40% - Accent2 3 4 4 2 2" xfId="10633"/>
    <cellStyle name="40% - Accent2 3 4 4 2 2 2" xfId="10634"/>
    <cellStyle name="40% - Accent2 3 4 4 2 3" xfId="10635"/>
    <cellStyle name="40% - Accent2 3 4 4 2 4" xfId="10636"/>
    <cellStyle name="40% - Accent2 3 4 4 3" xfId="10637"/>
    <cellStyle name="40% - Accent2 3 4 4 3 2" xfId="10638"/>
    <cellStyle name="40% - Accent2 3 4 4 4" xfId="10639"/>
    <cellStyle name="40% - Accent2 3 4 4 5" xfId="10640"/>
    <cellStyle name="40% - Accent2 3 4 5" xfId="10641"/>
    <cellStyle name="40% - Accent2 3 4 5 2" xfId="10642"/>
    <cellStyle name="40% - Accent2 3 4 5 2 2" xfId="10643"/>
    <cellStyle name="40% - Accent2 3 4 5 3" xfId="10644"/>
    <cellStyle name="40% - Accent2 3 4 5 4" xfId="10645"/>
    <cellStyle name="40% - Accent2 3 4 6" xfId="10646"/>
    <cellStyle name="40% - Accent2 3 4 6 2" xfId="10647"/>
    <cellStyle name="40% - Accent2 3 4 6 2 2" xfId="10648"/>
    <cellStyle name="40% - Accent2 3 4 6 3" xfId="10649"/>
    <cellStyle name="40% - Accent2 3 4 6 4" xfId="10650"/>
    <cellStyle name="40% - Accent2 3 4 7" xfId="10651"/>
    <cellStyle name="40% - Accent2 3 4 7 2" xfId="10652"/>
    <cellStyle name="40% - Accent2 3 4 7 2 2" xfId="10653"/>
    <cellStyle name="40% - Accent2 3 4 7 3" xfId="10654"/>
    <cellStyle name="40% - Accent2 3 4 7 4" xfId="10655"/>
    <cellStyle name="40% - Accent2 3 4 8" xfId="10656"/>
    <cellStyle name="40% - Accent2 3 4 8 2" xfId="10657"/>
    <cellStyle name="40% - Accent2 3 4 9" xfId="10658"/>
    <cellStyle name="40% - Accent2 3 5" xfId="10659"/>
    <cellStyle name="40% - Accent2 3 5 2" xfId="10660"/>
    <cellStyle name="40% - Accent2 3 5 2 2" xfId="10661"/>
    <cellStyle name="40% - Accent2 3 5 2 2 2" xfId="10662"/>
    <cellStyle name="40% - Accent2 3 5 2 2 2 2" xfId="10663"/>
    <cellStyle name="40% - Accent2 3 5 2 2 3" xfId="10664"/>
    <cellStyle name="40% - Accent2 3 5 2 2 4" xfId="10665"/>
    <cellStyle name="40% - Accent2 3 5 2 3" xfId="10666"/>
    <cellStyle name="40% - Accent2 3 5 2 3 2" xfId="10667"/>
    <cellStyle name="40% - Accent2 3 5 2 4" xfId="10668"/>
    <cellStyle name="40% - Accent2 3 5 2 5" xfId="10669"/>
    <cellStyle name="40% - Accent2 3 5 3" xfId="10670"/>
    <cellStyle name="40% - Accent2 3 5 3 2" xfId="10671"/>
    <cellStyle name="40% - Accent2 3 5 3 2 2" xfId="10672"/>
    <cellStyle name="40% - Accent2 3 5 3 2 2 2" xfId="10673"/>
    <cellStyle name="40% - Accent2 3 5 3 2 3" xfId="10674"/>
    <cellStyle name="40% - Accent2 3 5 3 2 4" xfId="10675"/>
    <cellStyle name="40% - Accent2 3 5 3 3" xfId="10676"/>
    <cellStyle name="40% - Accent2 3 5 3 3 2" xfId="10677"/>
    <cellStyle name="40% - Accent2 3 5 3 4" xfId="10678"/>
    <cellStyle name="40% - Accent2 3 5 3 5" xfId="10679"/>
    <cellStyle name="40% - Accent2 3 5 4" xfId="10680"/>
    <cellStyle name="40% - Accent2 3 5 4 2" xfId="10681"/>
    <cellStyle name="40% - Accent2 3 5 4 2 2" xfId="10682"/>
    <cellStyle name="40% - Accent2 3 5 4 3" xfId="10683"/>
    <cellStyle name="40% - Accent2 3 5 4 4" xfId="10684"/>
    <cellStyle name="40% - Accent2 3 5 5" xfId="10685"/>
    <cellStyle name="40% - Accent2 3 5 5 2" xfId="10686"/>
    <cellStyle name="40% - Accent2 3 5 5 2 2" xfId="10687"/>
    <cellStyle name="40% - Accent2 3 5 5 3" xfId="10688"/>
    <cellStyle name="40% - Accent2 3 5 5 4" xfId="10689"/>
    <cellStyle name="40% - Accent2 3 5 6" xfId="10690"/>
    <cellStyle name="40% - Accent2 3 5 6 2" xfId="10691"/>
    <cellStyle name="40% - Accent2 3 5 6 2 2" xfId="10692"/>
    <cellStyle name="40% - Accent2 3 5 6 3" xfId="10693"/>
    <cellStyle name="40% - Accent2 3 5 6 4" xfId="10694"/>
    <cellStyle name="40% - Accent2 3 5 7" xfId="10695"/>
    <cellStyle name="40% - Accent2 3 5 7 2" xfId="10696"/>
    <cellStyle name="40% - Accent2 3 5 8" xfId="10697"/>
    <cellStyle name="40% - Accent2 3 5 9" xfId="10698"/>
    <cellStyle name="40% - Accent2 3 6" xfId="10699"/>
    <cellStyle name="40% - Accent2 3 6 2" xfId="10700"/>
    <cellStyle name="40% - Accent2 3 6 2 2" xfId="10701"/>
    <cellStyle name="40% - Accent2 3 6 2 2 2" xfId="10702"/>
    <cellStyle name="40% - Accent2 3 6 2 3" xfId="10703"/>
    <cellStyle name="40% - Accent2 3 6 2 4" xfId="10704"/>
    <cellStyle name="40% - Accent2 3 6 3" xfId="10705"/>
    <cellStyle name="40% - Accent2 3 6 3 2" xfId="10706"/>
    <cellStyle name="40% - Accent2 3 6 3 2 2" xfId="10707"/>
    <cellStyle name="40% - Accent2 3 6 3 3" xfId="10708"/>
    <cellStyle name="40% - Accent2 3 6 3 4" xfId="10709"/>
    <cellStyle name="40% - Accent2 3 6 4" xfId="10710"/>
    <cellStyle name="40% - Accent2 3 6 4 2" xfId="10711"/>
    <cellStyle name="40% - Accent2 3 6 5" xfId="10712"/>
    <cellStyle name="40% - Accent2 3 6 6" xfId="10713"/>
    <cellStyle name="40% - Accent2 3 7" xfId="10714"/>
    <cellStyle name="40% - Accent2 3 7 2" xfId="10715"/>
    <cellStyle name="40% - Accent2 3 7 2 2" xfId="10716"/>
    <cellStyle name="40% - Accent2 3 7 2 2 2" xfId="10717"/>
    <cellStyle name="40% - Accent2 3 7 2 3" xfId="10718"/>
    <cellStyle name="40% - Accent2 3 7 2 4" xfId="10719"/>
    <cellStyle name="40% - Accent2 3 7 3" xfId="10720"/>
    <cellStyle name="40% - Accent2 3 7 4" xfId="10721"/>
    <cellStyle name="40% - Accent2 3 7 4 2" xfId="10722"/>
    <cellStyle name="40% - Accent2 3 7 5" xfId="10723"/>
    <cellStyle name="40% - Accent2 3 7 6" xfId="10724"/>
    <cellStyle name="40% - Accent2 3 8" xfId="10725"/>
    <cellStyle name="40% - Accent2 3 8 2" xfId="10726"/>
    <cellStyle name="40% - Accent2 3 8 2 2" xfId="10727"/>
    <cellStyle name="40% - Accent2 3 8 3" xfId="10728"/>
    <cellStyle name="40% - Accent2 3 8 4" xfId="10729"/>
    <cellStyle name="40% - Accent2 3 9" xfId="10730"/>
    <cellStyle name="40% - Accent2 3 9 2" xfId="10731"/>
    <cellStyle name="40% - Accent2 3 9 2 2" xfId="10732"/>
    <cellStyle name="40% - Accent2 3 9 3" xfId="10733"/>
    <cellStyle name="40% - Accent2 3 9 4" xfId="10734"/>
    <cellStyle name="40% - Accent2 4" xfId="218"/>
    <cellStyle name="40% - Accent2 4 10" xfId="10736"/>
    <cellStyle name="40% - Accent2 4 10 2" xfId="10737"/>
    <cellStyle name="40% - Accent2 4 11" xfId="10738"/>
    <cellStyle name="40% - Accent2 4 12" xfId="10739"/>
    <cellStyle name="40% - Accent2 4 13" xfId="35509"/>
    <cellStyle name="40% - Accent2 4 14" xfId="10735"/>
    <cellStyle name="40% - Accent2 4 2" xfId="10740"/>
    <cellStyle name="40% - Accent2 4 2 10" xfId="10741"/>
    <cellStyle name="40% - Accent2 4 2 11" xfId="10742"/>
    <cellStyle name="40% - Accent2 4 2 2" xfId="10743"/>
    <cellStyle name="40% - Accent2 4 2 2 10" xfId="10744"/>
    <cellStyle name="40% - Accent2 4 2 2 2" xfId="10745"/>
    <cellStyle name="40% - Accent2 4 2 2 2 2" xfId="10746"/>
    <cellStyle name="40% - Accent2 4 2 2 2 2 2" xfId="10747"/>
    <cellStyle name="40% - Accent2 4 2 2 2 2 2 2" xfId="10748"/>
    <cellStyle name="40% - Accent2 4 2 2 2 2 2 2 2" xfId="10749"/>
    <cellStyle name="40% - Accent2 4 2 2 2 2 2 3" xfId="10750"/>
    <cellStyle name="40% - Accent2 4 2 2 2 2 2 4" xfId="10751"/>
    <cellStyle name="40% - Accent2 4 2 2 2 2 3" xfId="10752"/>
    <cellStyle name="40% - Accent2 4 2 2 2 2 3 2" xfId="10753"/>
    <cellStyle name="40% - Accent2 4 2 2 2 2 4" xfId="10754"/>
    <cellStyle name="40% - Accent2 4 2 2 2 2 5" xfId="10755"/>
    <cellStyle name="40% - Accent2 4 2 2 2 3" xfId="10756"/>
    <cellStyle name="40% - Accent2 4 2 2 2 3 2" xfId="10757"/>
    <cellStyle name="40% - Accent2 4 2 2 2 3 2 2" xfId="10758"/>
    <cellStyle name="40% - Accent2 4 2 2 2 3 2 2 2" xfId="10759"/>
    <cellStyle name="40% - Accent2 4 2 2 2 3 2 3" xfId="10760"/>
    <cellStyle name="40% - Accent2 4 2 2 2 3 2 4" xfId="10761"/>
    <cellStyle name="40% - Accent2 4 2 2 2 3 3" xfId="10762"/>
    <cellStyle name="40% - Accent2 4 2 2 2 3 3 2" xfId="10763"/>
    <cellStyle name="40% - Accent2 4 2 2 2 3 4" xfId="10764"/>
    <cellStyle name="40% - Accent2 4 2 2 2 3 5" xfId="10765"/>
    <cellStyle name="40% - Accent2 4 2 2 2 4" xfId="10766"/>
    <cellStyle name="40% - Accent2 4 2 2 2 4 2" xfId="10767"/>
    <cellStyle name="40% - Accent2 4 2 2 2 4 2 2" xfId="10768"/>
    <cellStyle name="40% - Accent2 4 2 2 2 4 3" xfId="10769"/>
    <cellStyle name="40% - Accent2 4 2 2 2 4 4" xfId="10770"/>
    <cellStyle name="40% - Accent2 4 2 2 2 5" xfId="10771"/>
    <cellStyle name="40% - Accent2 4 2 2 2 5 2" xfId="10772"/>
    <cellStyle name="40% - Accent2 4 2 2 2 5 2 2" xfId="10773"/>
    <cellStyle name="40% - Accent2 4 2 2 2 5 3" xfId="10774"/>
    <cellStyle name="40% - Accent2 4 2 2 2 5 4" xfId="10775"/>
    <cellStyle name="40% - Accent2 4 2 2 2 6" xfId="10776"/>
    <cellStyle name="40% - Accent2 4 2 2 2 6 2" xfId="10777"/>
    <cellStyle name="40% - Accent2 4 2 2 2 6 2 2" xfId="10778"/>
    <cellStyle name="40% - Accent2 4 2 2 2 6 3" xfId="10779"/>
    <cellStyle name="40% - Accent2 4 2 2 2 6 4" xfId="10780"/>
    <cellStyle name="40% - Accent2 4 2 2 2 7" xfId="10781"/>
    <cellStyle name="40% - Accent2 4 2 2 2 7 2" xfId="10782"/>
    <cellStyle name="40% - Accent2 4 2 2 2 8" xfId="10783"/>
    <cellStyle name="40% - Accent2 4 2 2 2 9" xfId="10784"/>
    <cellStyle name="40% - Accent2 4 2 2 3" xfId="10785"/>
    <cellStyle name="40% - Accent2 4 2 2 3 2" xfId="10786"/>
    <cellStyle name="40% - Accent2 4 2 2 3 2 2" xfId="10787"/>
    <cellStyle name="40% - Accent2 4 2 2 3 2 2 2" xfId="10788"/>
    <cellStyle name="40% - Accent2 4 2 2 3 2 3" xfId="10789"/>
    <cellStyle name="40% - Accent2 4 2 2 3 2 4" xfId="10790"/>
    <cellStyle name="40% - Accent2 4 2 2 3 3" xfId="10791"/>
    <cellStyle name="40% - Accent2 4 2 2 3 3 2" xfId="10792"/>
    <cellStyle name="40% - Accent2 4 2 2 3 4" xfId="10793"/>
    <cellStyle name="40% - Accent2 4 2 2 3 5" xfId="10794"/>
    <cellStyle name="40% - Accent2 4 2 2 4" xfId="10795"/>
    <cellStyle name="40% - Accent2 4 2 2 4 2" xfId="10796"/>
    <cellStyle name="40% - Accent2 4 2 2 4 2 2" xfId="10797"/>
    <cellStyle name="40% - Accent2 4 2 2 4 2 2 2" xfId="10798"/>
    <cellStyle name="40% - Accent2 4 2 2 4 2 3" xfId="10799"/>
    <cellStyle name="40% - Accent2 4 2 2 4 2 4" xfId="10800"/>
    <cellStyle name="40% - Accent2 4 2 2 4 3" xfId="10801"/>
    <cellStyle name="40% - Accent2 4 2 2 4 3 2" xfId="10802"/>
    <cellStyle name="40% - Accent2 4 2 2 4 4" xfId="10803"/>
    <cellStyle name="40% - Accent2 4 2 2 4 5" xfId="10804"/>
    <cellStyle name="40% - Accent2 4 2 2 5" xfId="10805"/>
    <cellStyle name="40% - Accent2 4 2 2 5 2" xfId="10806"/>
    <cellStyle name="40% - Accent2 4 2 2 5 2 2" xfId="10807"/>
    <cellStyle name="40% - Accent2 4 2 2 5 3" xfId="10808"/>
    <cellStyle name="40% - Accent2 4 2 2 5 4" xfId="10809"/>
    <cellStyle name="40% - Accent2 4 2 2 6" xfId="10810"/>
    <cellStyle name="40% - Accent2 4 2 2 6 2" xfId="10811"/>
    <cellStyle name="40% - Accent2 4 2 2 6 2 2" xfId="10812"/>
    <cellStyle name="40% - Accent2 4 2 2 6 3" xfId="10813"/>
    <cellStyle name="40% - Accent2 4 2 2 6 4" xfId="10814"/>
    <cellStyle name="40% - Accent2 4 2 2 7" xfId="10815"/>
    <cellStyle name="40% - Accent2 4 2 2 7 2" xfId="10816"/>
    <cellStyle name="40% - Accent2 4 2 2 7 2 2" xfId="10817"/>
    <cellStyle name="40% - Accent2 4 2 2 7 3" xfId="10818"/>
    <cellStyle name="40% - Accent2 4 2 2 7 4" xfId="10819"/>
    <cellStyle name="40% - Accent2 4 2 2 8" xfId="10820"/>
    <cellStyle name="40% - Accent2 4 2 2 8 2" xfId="10821"/>
    <cellStyle name="40% - Accent2 4 2 2 9" xfId="10822"/>
    <cellStyle name="40% - Accent2 4 2 3" xfId="10823"/>
    <cellStyle name="40% - Accent2 4 2 3 2" xfId="10824"/>
    <cellStyle name="40% - Accent2 4 2 3 2 2" xfId="10825"/>
    <cellStyle name="40% - Accent2 4 2 3 2 2 2" xfId="10826"/>
    <cellStyle name="40% - Accent2 4 2 3 2 2 2 2" xfId="10827"/>
    <cellStyle name="40% - Accent2 4 2 3 2 2 3" xfId="10828"/>
    <cellStyle name="40% - Accent2 4 2 3 2 2 4" xfId="10829"/>
    <cellStyle name="40% - Accent2 4 2 3 2 3" xfId="10830"/>
    <cellStyle name="40% - Accent2 4 2 3 2 3 2" xfId="10831"/>
    <cellStyle name="40% - Accent2 4 2 3 2 4" xfId="10832"/>
    <cellStyle name="40% - Accent2 4 2 3 2 5" xfId="10833"/>
    <cellStyle name="40% - Accent2 4 2 3 3" xfId="10834"/>
    <cellStyle name="40% - Accent2 4 2 3 3 2" xfId="10835"/>
    <cellStyle name="40% - Accent2 4 2 3 3 2 2" xfId="10836"/>
    <cellStyle name="40% - Accent2 4 2 3 3 2 2 2" xfId="10837"/>
    <cellStyle name="40% - Accent2 4 2 3 3 2 3" xfId="10838"/>
    <cellStyle name="40% - Accent2 4 2 3 3 2 4" xfId="10839"/>
    <cellStyle name="40% - Accent2 4 2 3 3 3" xfId="10840"/>
    <cellStyle name="40% - Accent2 4 2 3 3 3 2" xfId="10841"/>
    <cellStyle name="40% - Accent2 4 2 3 3 4" xfId="10842"/>
    <cellStyle name="40% - Accent2 4 2 3 3 5" xfId="10843"/>
    <cellStyle name="40% - Accent2 4 2 3 4" xfId="10844"/>
    <cellStyle name="40% - Accent2 4 2 3 4 2" xfId="10845"/>
    <cellStyle name="40% - Accent2 4 2 3 4 2 2" xfId="10846"/>
    <cellStyle name="40% - Accent2 4 2 3 4 3" xfId="10847"/>
    <cellStyle name="40% - Accent2 4 2 3 4 4" xfId="10848"/>
    <cellStyle name="40% - Accent2 4 2 3 5" xfId="10849"/>
    <cellStyle name="40% - Accent2 4 2 3 5 2" xfId="10850"/>
    <cellStyle name="40% - Accent2 4 2 3 5 2 2" xfId="10851"/>
    <cellStyle name="40% - Accent2 4 2 3 5 3" xfId="10852"/>
    <cellStyle name="40% - Accent2 4 2 3 5 4" xfId="10853"/>
    <cellStyle name="40% - Accent2 4 2 3 6" xfId="10854"/>
    <cellStyle name="40% - Accent2 4 2 3 6 2" xfId="10855"/>
    <cellStyle name="40% - Accent2 4 2 3 6 2 2" xfId="10856"/>
    <cellStyle name="40% - Accent2 4 2 3 6 3" xfId="10857"/>
    <cellStyle name="40% - Accent2 4 2 3 6 4" xfId="10858"/>
    <cellStyle name="40% - Accent2 4 2 3 7" xfId="10859"/>
    <cellStyle name="40% - Accent2 4 2 3 7 2" xfId="10860"/>
    <cellStyle name="40% - Accent2 4 2 3 8" xfId="10861"/>
    <cellStyle name="40% - Accent2 4 2 3 9" xfId="10862"/>
    <cellStyle name="40% - Accent2 4 2 4" xfId="10863"/>
    <cellStyle name="40% - Accent2 4 2 4 2" xfId="10864"/>
    <cellStyle name="40% - Accent2 4 2 4 2 2" xfId="10865"/>
    <cellStyle name="40% - Accent2 4 2 4 2 2 2" xfId="10866"/>
    <cellStyle name="40% - Accent2 4 2 4 2 3" xfId="10867"/>
    <cellStyle name="40% - Accent2 4 2 4 2 4" xfId="10868"/>
    <cellStyle name="40% - Accent2 4 2 4 3" xfId="10869"/>
    <cellStyle name="40% - Accent2 4 2 4 3 2" xfId="10870"/>
    <cellStyle name="40% - Accent2 4 2 4 4" xfId="10871"/>
    <cellStyle name="40% - Accent2 4 2 4 5" xfId="10872"/>
    <cellStyle name="40% - Accent2 4 2 5" xfId="10873"/>
    <cellStyle name="40% - Accent2 4 2 5 2" xfId="10874"/>
    <cellStyle name="40% - Accent2 4 2 5 2 2" xfId="10875"/>
    <cellStyle name="40% - Accent2 4 2 5 2 2 2" xfId="10876"/>
    <cellStyle name="40% - Accent2 4 2 5 2 3" xfId="10877"/>
    <cellStyle name="40% - Accent2 4 2 5 2 4" xfId="10878"/>
    <cellStyle name="40% - Accent2 4 2 5 3" xfId="10879"/>
    <cellStyle name="40% - Accent2 4 2 5 3 2" xfId="10880"/>
    <cellStyle name="40% - Accent2 4 2 5 4" xfId="10881"/>
    <cellStyle name="40% - Accent2 4 2 5 5" xfId="10882"/>
    <cellStyle name="40% - Accent2 4 2 6" xfId="10883"/>
    <cellStyle name="40% - Accent2 4 2 6 2" xfId="10884"/>
    <cellStyle name="40% - Accent2 4 2 6 2 2" xfId="10885"/>
    <cellStyle name="40% - Accent2 4 2 6 3" xfId="10886"/>
    <cellStyle name="40% - Accent2 4 2 6 4" xfId="10887"/>
    <cellStyle name="40% - Accent2 4 2 7" xfId="10888"/>
    <cellStyle name="40% - Accent2 4 2 7 2" xfId="10889"/>
    <cellStyle name="40% - Accent2 4 2 7 2 2" xfId="10890"/>
    <cellStyle name="40% - Accent2 4 2 7 3" xfId="10891"/>
    <cellStyle name="40% - Accent2 4 2 7 4" xfId="10892"/>
    <cellStyle name="40% - Accent2 4 2 8" xfId="10893"/>
    <cellStyle name="40% - Accent2 4 2 8 2" xfId="10894"/>
    <cellStyle name="40% - Accent2 4 2 8 2 2" xfId="10895"/>
    <cellStyle name="40% - Accent2 4 2 8 3" xfId="10896"/>
    <cellStyle name="40% - Accent2 4 2 8 4" xfId="10897"/>
    <cellStyle name="40% - Accent2 4 2 9" xfId="10898"/>
    <cellStyle name="40% - Accent2 4 2 9 2" xfId="10899"/>
    <cellStyle name="40% - Accent2 4 3" xfId="10900"/>
    <cellStyle name="40% - Accent2 4 3 10" xfId="10901"/>
    <cellStyle name="40% - Accent2 4 3 2" xfId="10902"/>
    <cellStyle name="40% - Accent2 4 3 2 2" xfId="10903"/>
    <cellStyle name="40% - Accent2 4 3 2 2 2" xfId="10904"/>
    <cellStyle name="40% - Accent2 4 3 2 2 2 2" xfId="10905"/>
    <cellStyle name="40% - Accent2 4 3 2 2 2 2 2" xfId="10906"/>
    <cellStyle name="40% - Accent2 4 3 2 2 2 3" xfId="10907"/>
    <cellStyle name="40% - Accent2 4 3 2 2 2 4" xfId="10908"/>
    <cellStyle name="40% - Accent2 4 3 2 2 3" xfId="10909"/>
    <cellStyle name="40% - Accent2 4 3 2 2 3 2" xfId="10910"/>
    <cellStyle name="40% - Accent2 4 3 2 2 4" xfId="10911"/>
    <cellStyle name="40% - Accent2 4 3 2 2 5" xfId="10912"/>
    <cellStyle name="40% - Accent2 4 3 2 3" xfId="10913"/>
    <cellStyle name="40% - Accent2 4 3 2 3 2" xfId="10914"/>
    <cellStyle name="40% - Accent2 4 3 2 3 2 2" xfId="10915"/>
    <cellStyle name="40% - Accent2 4 3 2 3 2 2 2" xfId="10916"/>
    <cellStyle name="40% - Accent2 4 3 2 3 2 3" xfId="10917"/>
    <cellStyle name="40% - Accent2 4 3 2 3 2 4" xfId="10918"/>
    <cellStyle name="40% - Accent2 4 3 2 3 3" xfId="10919"/>
    <cellStyle name="40% - Accent2 4 3 2 3 3 2" xfId="10920"/>
    <cellStyle name="40% - Accent2 4 3 2 3 4" xfId="10921"/>
    <cellStyle name="40% - Accent2 4 3 2 3 5" xfId="10922"/>
    <cellStyle name="40% - Accent2 4 3 2 4" xfId="10923"/>
    <cellStyle name="40% - Accent2 4 3 2 4 2" xfId="10924"/>
    <cellStyle name="40% - Accent2 4 3 2 4 2 2" xfId="10925"/>
    <cellStyle name="40% - Accent2 4 3 2 4 3" xfId="10926"/>
    <cellStyle name="40% - Accent2 4 3 2 4 4" xfId="10927"/>
    <cellStyle name="40% - Accent2 4 3 2 5" xfId="10928"/>
    <cellStyle name="40% - Accent2 4 3 2 5 2" xfId="10929"/>
    <cellStyle name="40% - Accent2 4 3 2 5 2 2" xfId="10930"/>
    <cellStyle name="40% - Accent2 4 3 2 5 3" xfId="10931"/>
    <cellStyle name="40% - Accent2 4 3 2 5 4" xfId="10932"/>
    <cellStyle name="40% - Accent2 4 3 2 6" xfId="10933"/>
    <cellStyle name="40% - Accent2 4 3 2 6 2" xfId="10934"/>
    <cellStyle name="40% - Accent2 4 3 2 6 2 2" xfId="10935"/>
    <cellStyle name="40% - Accent2 4 3 2 6 3" xfId="10936"/>
    <cellStyle name="40% - Accent2 4 3 2 6 4" xfId="10937"/>
    <cellStyle name="40% - Accent2 4 3 2 7" xfId="10938"/>
    <cellStyle name="40% - Accent2 4 3 2 7 2" xfId="10939"/>
    <cellStyle name="40% - Accent2 4 3 2 8" xfId="10940"/>
    <cellStyle name="40% - Accent2 4 3 2 9" xfId="10941"/>
    <cellStyle name="40% - Accent2 4 3 3" xfId="10942"/>
    <cellStyle name="40% - Accent2 4 3 3 2" xfId="10943"/>
    <cellStyle name="40% - Accent2 4 3 3 2 2" xfId="10944"/>
    <cellStyle name="40% - Accent2 4 3 3 2 2 2" xfId="10945"/>
    <cellStyle name="40% - Accent2 4 3 3 2 3" xfId="10946"/>
    <cellStyle name="40% - Accent2 4 3 3 2 4" xfId="10947"/>
    <cellStyle name="40% - Accent2 4 3 3 3" xfId="10948"/>
    <cellStyle name="40% - Accent2 4 3 3 3 2" xfId="10949"/>
    <cellStyle name="40% - Accent2 4 3 3 4" xfId="10950"/>
    <cellStyle name="40% - Accent2 4 3 3 5" xfId="10951"/>
    <cellStyle name="40% - Accent2 4 3 4" xfId="10952"/>
    <cellStyle name="40% - Accent2 4 3 4 2" xfId="10953"/>
    <cellStyle name="40% - Accent2 4 3 4 2 2" xfId="10954"/>
    <cellStyle name="40% - Accent2 4 3 4 2 2 2" xfId="10955"/>
    <cellStyle name="40% - Accent2 4 3 4 2 3" xfId="10956"/>
    <cellStyle name="40% - Accent2 4 3 4 2 4" xfId="10957"/>
    <cellStyle name="40% - Accent2 4 3 4 3" xfId="10958"/>
    <cellStyle name="40% - Accent2 4 3 4 3 2" xfId="10959"/>
    <cellStyle name="40% - Accent2 4 3 4 4" xfId="10960"/>
    <cellStyle name="40% - Accent2 4 3 4 5" xfId="10961"/>
    <cellStyle name="40% - Accent2 4 3 5" xfId="10962"/>
    <cellStyle name="40% - Accent2 4 3 5 2" xfId="10963"/>
    <cellStyle name="40% - Accent2 4 3 5 2 2" xfId="10964"/>
    <cellStyle name="40% - Accent2 4 3 5 3" xfId="10965"/>
    <cellStyle name="40% - Accent2 4 3 5 4" xfId="10966"/>
    <cellStyle name="40% - Accent2 4 3 6" xfId="10967"/>
    <cellStyle name="40% - Accent2 4 3 6 2" xfId="10968"/>
    <cellStyle name="40% - Accent2 4 3 6 2 2" xfId="10969"/>
    <cellStyle name="40% - Accent2 4 3 6 3" xfId="10970"/>
    <cellStyle name="40% - Accent2 4 3 6 4" xfId="10971"/>
    <cellStyle name="40% - Accent2 4 3 7" xfId="10972"/>
    <cellStyle name="40% - Accent2 4 3 7 2" xfId="10973"/>
    <cellStyle name="40% - Accent2 4 3 7 2 2" xfId="10974"/>
    <cellStyle name="40% - Accent2 4 3 7 3" xfId="10975"/>
    <cellStyle name="40% - Accent2 4 3 7 4" xfId="10976"/>
    <cellStyle name="40% - Accent2 4 3 8" xfId="10977"/>
    <cellStyle name="40% - Accent2 4 3 8 2" xfId="10978"/>
    <cellStyle name="40% - Accent2 4 3 9" xfId="10979"/>
    <cellStyle name="40% - Accent2 4 4" xfId="10980"/>
    <cellStyle name="40% - Accent2 4 4 2" xfId="10981"/>
    <cellStyle name="40% - Accent2 4 4 2 2" xfId="10982"/>
    <cellStyle name="40% - Accent2 4 4 2 2 2" xfId="10983"/>
    <cellStyle name="40% - Accent2 4 4 2 2 2 2" xfId="10984"/>
    <cellStyle name="40% - Accent2 4 4 2 2 3" xfId="10985"/>
    <cellStyle name="40% - Accent2 4 4 2 2 4" xfId="10986"/>
    <cellStyle name="40% - Accent2 4 4 2 3" xfId="10987"/>
    <cellStyle name="40% - Accent2 4 4 2 3 2" xfId="10988"/>
    <cellStyle name="40% - Accent2 4 4 2 4" xfId="10989"/>
    <cellStyle name="40% - Accent2 4 4 2 5" xfId="10990"/>
    <cellStyle name="40% - Accent2 4 4 3" xfId="10991"/>
    <cellStyle name="40% - Accent2 4 4 3 2" xfId="10992"/>
    <cellStyle name="40% - Accent2 4 4 3 2 2" xfId="10993"/>
    <cellStyle name="40% - Accent2 4 4 3 2 2 2" xfId="10994"/>
    <cellStyle name="40% - Accent2 4 4 3 2 3" xfId="10995"/>
    <cellStyle name="40% - Accent2 4 4 3 2 4" xfId="10996"/>
    <cellStyle name="40% - Accent2 4 4 3 3" xfId="10997"/>
    <cellStyle name="40% - Accent2 4 4 3 3 2" xfId="10998"/>
    <cellStyle name="40% - Accent2 4 4 3 4" xfId="10999"/>
    <cellStyle name="40% - Accent2 4 4 3 5" xfId="11000"/>
    <cellStyle name="40% - Accent2 4 4 4" xfId="11001"/>
    <cellStyle name="40% - Accent2 4 4 4 2" xfId="11002"/>
    <cellStyle name="40% - Accent2 4 4 4 2 2" xfId="11003"/>
    <cellStyle name="40% - Accent2 4 4 4 3" xfId="11004"/>
    <cellStyle name="40% - Accent2 4 4 4 4" xfId="11005"/>
    <cellStyle name="40% - Accent2 4 4 5" xfId="11006"/>
    <cellStyle name="40% - Accent2 4 4 5 2" xfId="11007"/>
    <cellStyle name="40% - Accent2 4 4 5 2 2" xfId="11008"/>
    <cellStyle name="40% - Accent2 4 4 5 3" xfId="11009"/>
    <cellStyle name="40% - Accent2 4 4 5 4" xfId="11010"/>
    <cellStyle name="40% - Accent2 4 4 6" xfId="11011"/>
    <cellStyle name="40% - Accent2 4 4 6 2" xfId="11012"/>
    <cellStyle name="40% - Accent2 4 4 6 2 2" xfId="11013"/>
    <cellStyle name="40% - Accent2 4 4 6 3" xfId="11014"/>
    <cellStyle name="40% - Accent2 4 4 6 4" xfId="11015"/>
    <cellStyle name="40% - Accent2 4 4 7" xfId="11016"/>
    <cellStyle name="40% - Accent2 4 4 7 2" xfId="11017"/>
    <cellStyle name="40% - Accent2 4 4 8" xfId="11018"/>
    <cellStyle name="40% - Accent2 4 4 9" xfId="11019"/>
    <cellStyle name="40% - Accent2 4 5" xfId="11020"/>
    <cellStyle name="40% - Accent2 4 5 2" xfId="11021"/>
    <cellStyle name="40% - Accent2 4 5 2 2" xfId="11022"/>
    <cellStyle name="40% - Accent2 4 5 2 2 2" xfId="11023"/>
    <cellStyle name="40% - Accent2 4 5 2 3" xfId="11024"/>
    <cellStyle name="40% - Accent2 4 5 2 4" xfId="11025"/>
    <cellStyle name="40% - Accent2 4 5 3" xfId="11026"/>
    <cellStyle name="40% - Accent2 4 5 4" xfId="11027"/>
    <cellStyle name="40% - Accent2 4 5 4 2" xfId="11028"/>
    <cellStyle name="40% - Accent2 4 5 5" xfId="11029"/>
    <cellStyle name="40% - Accent2 4 5 6" xfId="11030"/>
    <cellStyle name="40% - Accent2 4 6" xfId="11031"/>
    <cellStyle name="40% - Accent2 4 6 2" xfId="11032"/>
    <cellStyle name="40% - Accent2 4 6 2 2" xfId="11033"/>
    <cellStyle name="40% - Accent2 4 6 2 2 2" xfId="11034"/>
    <cellStyle name="40% - Accent2 4 6 2 3" xfId="11035"/>
    <cellStyle name="40% - Accent2 4 6 2 4" xfId="11036"/>
    <cellStyle name="40% - Accent2 4 6 3" xfId="11037"/>
    <cellStyle name="40% - Accent2 4 6 3 2" xfId="11038"/>
    <cellStyle name="40% - Accent2 4 6 3 2 2" xfId="11039"/>
    <cellStyle name="40% - Accent2 4 6 3 3" xfId="11040"/>
    <cellStyle name="40% - Accent2 4 6 3 4" xfId="11041"/>
    <cellStyle name="40% - Accent2 4 6 4" xfId="11042"/>
    <cellStyle name="40% - Accent2 4 6 4 2" xfId="11043"/>
    <cellStyle name="40% - Accent2 4 6 5" xfId="11044"/>
    <cellStyle name="40% - Accent2 4 6 6" xfId="11045"/>
    <cellStyle name="40% - Accent2 4 7" xfId="11046"/>
    <cellStyle name="40% - Accent2 4 7 2" xfId="11047"/>
    <cellStyle name="40% - Accent2 4 7 2 2" xfId="11048"/>
    <cellStyle name="40% - Accent2 4 7 3" xfId="11049"/>
    <cellStyle name="40% - Accent2 4 7 4" xfId="11050"/>
    <cellStyle name="40% - Accent2 4 8" xfId="11051"/>
    <cellStyle name="40% - Accent2 4 8 2" xfId="11052"/>
    <cellStyle name="40% - Accent2 4 8 2 2" xfId="11053"/>
    <cellStyle name="40% - Accent2 4 8 3" xfId="11054"/>
    <cellStyle name="40% - Accent2 4 8 4" xfId="11055"/>
    <cellStyle name="40% - Accent2 4 9" xfId="11056"/>
    <cellStyle name="40% - Accent2 4 9 2" xfId="11057"/>
    <cellStyle name="40% - Accent2 4 9 2 2" xfId="11058"/>
    <cellStyle name="40% - Accent2 4 9 3" xfId="11059"/>
    <cellStyle name="40% - Accent2 4 9 4" xfId="11060"/>
    <cellStyle name="40% - Accent2 5" xfId="11061"/>
    <cellStyle name="40% - Accent2 5 2" xfId="11062"/>
    <cellStyle name="40% - Accent2 5 2 2" xfId="11063"/>
    <cellStyle name="40% - Accent2 5 2 2 2" xfId="11064"/>
    <cellStyle name="40% - Accent2 5 2 3" xfId="11065"/>
    <cellStyle name="40% - Accent2 5 2 4" xfId="11066"/>
    <cellStyle name="40% - Accent2 6" xfId="11067"/>
    <cellStyle name="40% - Accent2 7" xfId="11068"/>
    <cellStyle name="40% - Accent2 7 2" xfId="11069"/>
    <cellStyle name="40% - Accent2 7 2 2" xfId="11070"/>
    <cellStyle name="40% - Accent2 7 3" xfId="11071"/>
    <cellStyle name="40% - Accent2 7 4" xfId="11072"/>
    <cellStyle name="40% - Accent3" xfId="35693" builtinId="39" customBuiltin="1"/>
    <cellStyle name="40% - Accent3 2" xfId="41"/>
    <cellStyle name="40% - Accent3 2 10" xfId="11074"/>
    <cellStyle name="40% - Accent3 2 10 2" xfId="11075"/>
    <cellStyle name="40% - Accent3 2 10 2 2" xfId="11076"/>
    <cellStyle name="40% - Accent3 2 10 3" xfId="11077"/>
    <cellStyle name="40% - Accent3 2 10 4" xfId="11078"/>
    <cellStyle name="40% - Accent3 2 11" xfId="11079"/>
    <cellStyle name="40% - Accent3 2 11 2" xfId="11080"/>
    <cellStyle name="40% - Accent3 2 12" xfId="11081"/>
    <cellStyle name="40% - Accent3 2 13" xfId="11082"/>
    <cellStyle name="40% - Accent3 2 14" xfId="11073"/>
    <cellStyle name="40% - Accent3 2 2" xfId="11083"/>
    <cellStyle name="40% - Accent3 2 2 2" xfId="11084"/>
    <cellStyle name="40% - Accent3 2 2 3" xfId="11085"/>
    <cellStyle name="40% - Accent3 2 2 4" xfId="11086"/>
    <cellStyle name="40% - Accent3 2 3" xfId="11087"/>
    <cellStyle name="40% - Accent3 2 3 10" xfId="11088"/>
    <cellStyle name="40% - Accent3 2 3 11" xfId="11089"/>
    <cellStyle name="40% - Accent3 2 3 2" xfId="11090"/>
    <cellStyle name="40% - Accent3 2 3 2 10" xfId="11091"/>
    <cellStyle name="40% - Accent3 2 3 2 2" xfId="11092"/>
    <cellStyle name="40% - Accent3 2 3 2 2 2" xfId="11093"/>
    <cellStyle name="40% - Accent3 2 3 2 2 2 2" xfId="11094"/>
    <cellStyle name="40% - Accent3 2 3 2 2 2 2 2" xfId="11095"/>
    <cellStyle name="40% - Accent3 2 3 2 2 2 2 2 2" xfId="11096"/>
    <cellStyle name="40% - Accent3 2 3 2 2 2 2 3" xfId="11097"/>
    <cellStyle name="40% - Accent3 2 3 2 2 2 2 4" xfId="11098"/>
    <cellStyle name="40% - Accent3 2 3 2 2 2 3" xfId="11099"/>
    <cellStyle name="40% - Accent3 2 3 2 2 2 3 2" xfId="11100"/>
    <cellStyle name="40% - Accent3 2 3 2 2 2 4" xfId="11101"/>
    <cellStyle name="40% - Accent3 2 3 2 2 2 5" xfId="11102"/>
    <cellStyle name="40% - Accent3 2 3 2 2 3" xfId="11103"/>
    <cellStyle name="40% - Accent3 2 3 2 2 3 2" xfId="11104"/>
    <cellStyle name="40% - Accent3 2 3 2 2 3 2 2" xfId="11105"/>
    <cellStyle name="40% - Accent3 2 3 2 2 3 2 2 2" xfId="11106"/>
    <cellStyle name="40% - Accent3 2 3 2 2 3 2 3" xfId="11107"/>
    <cellStyle name="40% - Accent3 2 3 2 2 3 2 4" xfId="11108"/>
    <cellStyle name="40% - Accent3 2 3 2 2 3 3" xfId="11109"/>
    <cellStyle name="40% - Accent3 2 3 2 2 3 3 2" xfId="11110"/>
    <cellStyle name="40% - Accent3 2 3 2 2 3 4" xfId="11111"/>
    <cellStyle name="40% - Accent3 2 3 2 2 3 5" xfId="11112"/>
    <cellStyle name="40% - Accent3 2 3 2 2 4" xfId="11113"/>
    <cellStyle name="40% - Accent3 2 3 2 2 4 2" xfId="11114"/>
    <cellStyle name="40% - Accent3 2 3 2 2 4 2 2" xfId="11115"/>
    <cellStyle name="40% - Accent3 2 3 2 2 4 3" xfId="11116"/>
    <cellStyle name="40% - Accent3 2 3 2 2 4 4" xfId="11117"/>
    <cellStyle name="40% - Accent3 2 3 2 2 5" xfId="11118"/>
    <cellStyle name="40% - Accent3 2 3 2 2 5 2" xfId="11119"/>
    <cellStyle name="40% - Accent3 2 3 2 2 5 2 2" xfId="11120"/>
    <cellStyle name="40% - Accent3 2 3 2 2 5 3" xfId="11121"/>
    <cellStyle name="40% - Accent3 2 3 2 2 5 4" xfId="11122"/>
    <cellStyle name="40% - Accent3 2 3 2 2 6" xfId="11123"/>
    <cellStyle name="40% - Accent3 2 3 2 2 6 2" xfId="11124"/>
    <cellStyle name="40% - Accent3 2 3 2 2 6 2 2" xfId="11125"/>
    <cellStyle name="40% - Accent3 2 3 2 2 6 3" xfId="11126"/>
    <cellStyle name="40% - Accent3 2 3 2 2 6 4" xfId="11127"/>
    <cellStyle name="40% - Accent3 2 3 2 2 7" xfId="11128"/>
    <cellStyle name="40% - Accent3 2 3 2 2 7 2" xfId="11129"/>
    <cellStyle name="40% - Accent3 2 3 2 2 8" xfId="11130"/>
    <cellStyle name="40% - Accent3 2 3 2 2 9" xfId="11131"/>
    <cellStyle name="40% - Accent3 2 3 2 3" xfId="11132"/>
    <cellStyle name="40% - Accent3 2 3 2 3 2" xfId="11133"/>
    <cellStyle name="40% - Accent3 2 3 2 3 2 2" xfId="11134"/>
    <cellStyle name="40% - Accent3 2 3 2 3 2 2 2" xfId="11135"/>
    <cellStyle name="40% - Accent3 2 3 2 3 2 3" xfId="11136"/>
    <cellStyle name="40% - Accent3 2 3 2 3 2 4" xfId="11137"/>
    <cellStyle name="40% - Accent3 2 3 2 3 3" xfId="11138"/>
    <cellStyle name="40% - Accent3 2 3 2 3 3 2" xfId="11139"/>
    <cellStyle name="40% - Accent3 2 3 2 3 4" xfId="11140"/>
    <cellStyle name="40% - Accent3 2 3 2 3 5" xfId="11141"/>
    <cellStyle name="40% - Accent3 2 3 2 4" xfId="11142"/>
    <cellStyle name="40% - Accent3 2 3 2 4 2" xfId="11143"/>
    <cellStyle name="40% - Accent3 2 3 2 4 2 2" xfId="11144"/>
    <cellStyle name="40% - Accent3 2 3 2 4 2 2 2" xfId="11145"/>
    <cellStyle name="40% - Accent3 2 3 2 4 2 3" xfId="11146"/>
    <cellStyle name="40% - Accent3 2 3 2 4 2 4" xfId="11147"/>
    <cellStyle name="40% - Accent3 2 3 2 4 3" xfId="11148"/>
    <cellStyle name="40% - Accent3 2 3 2 4 3 2" xfId="11149"/>
    <cellStyle name="40% - Accent3 2 3 2 4 4" xfId="11150"/>
    <cellStyle name="40% - Accent3 2 3 2 4 5" xfId="11151"/>
    <cellStyle name="40% - Accent3 2 3 2 5" xfId="11152"/>
    <cellStyle name="40% - Accent3 2 3 2 5 2" xfId="11153"/>
    <cellStyle name="40% - Accent3 2 3 2 5 2 2" xfId="11154"/>
    <cellStyle name="40% - Accent3 2 3 2 5 3" xfId="11155"/>
    <cellStyle name="40% - Accent3 2 3 2 5 4" xfId="11156"/>
    <cellStyle name="40% - Accent3 2 3 2 6" xfId="11157"/>
    <cellStyle name="40% - Accent3 2 3 2 6 2" xfId="11158"/>
    <cellStyle name="40% - Accent3 2 3 2 6 2 2" xfId="11159"/>
    <cellStyle name="40% - Accent3 2 3 2 6 3" xfId="11160"/>
    <cellStyle name="40% - Accent3 2 3 2 6 4" xfId="11161"/>
    <cellStyle name="40% - Accent3 2 3 2 7" xfId="11162"/>
    <cellStyle name="40% - Accent3 2 3 2 7 2" xfId="11163"/>
    <cellStyle name="40% - Accent3 2 3 2 7 2 2" xfId="11164"/>
    <cellStyle name="40% - Accent3 2 3 2 7 3" xfId="11165"/>
    <cellStyle name="40% - Accent3 2 3 2 7 4" xfId="11166"/>
    <cellStyle name="40% - Accent3 2 3 2 8" xfId="11167"/>
    <cellStyle name="40% - Accent3 2 3 2 8 2" xfId="11168"/>
    <cellStyle name="40% - Accent3 2 3 2 9" xfId="11169"/>
    <cellStyle name="40% - Accent3 2 3 3" xfId="11170"/>
    <cellStyle name="40% - Accent3 2 3 3 2" xfId="11171"/>
    <cellStyle name="40% - Accent3 2 3 3 2 2" xfId="11172"/>
    <cellStyle name="40% - Accent3 2 3 3 2 2 2" xfId="11173"/>
    <cellStyle name="40% - Accent3 2 3 3 2 2 2 2" xfId="11174"/>
    <cellStyle name="40% - Accent3 2 3 3 2 2 3" xfId="11175"/>
    <cellStyle name="40% - Accent3 2 3 3 2 2 4" xfId="11176"/>
    <cellStyle name="40% - Accent3 2 3 3 2 3" xfId="11177"/>
    <cellStyle name="40% - Accent3 2 3 3 2 3 2" xfId="11178"/>
    <cellStyle name="40% - Accent3 2 3 3 2 4" xfId="11179"/>
    <cellStyle name="40% - Accent3 2 3 3 2 5" xfId="11180"/>
    <cellStyle name="40% - Accent3 2 3 3 3" xfId="11181"/>
    <cellStyle name="40% - Accent3 2 3 3 3 2" xfId="11182"/>
    <cellStyle name="40% - Accent3 2 3 3 3 2 2" xfId="11183"/>
    <cellStyle name="40% - Accent3 2 3 3 3 2 2 2" xfId="11184"/>
    <cellStyle name="40% - Accent3 2 3 3 3 2 3" xfId="11185"/>
    <cellStyle name="40% - Accent3 2 3 3 3 2 4" xfId="11186"/>
    <cellStyle name="40% - Accent3 2 3 3 3 3" xfId="11187"/>
    <cellStyle name="40% - Accent3 2 3 3 3 3 2" xfId="11188"/>
    <cellStyle name="40% - Accent3 2 3 3 3 4" xfId="11189"/>
    <cellStyle name="40% - Accent3 2 3 3 3 5" xfId="11190"/>
    <cellStyle name="40% - Accent3 2 3 3 4" xfId="11191"/>
    <cellStyle name="40% - Accent3 2 3 3 4 2" xfId="11192"/>
    <cellStyle name="40% - Accent3 2 3 3 4 2 2" xfId="11193"/>
    <cellStyle name="40% - Accent3 2 3 3 4 3" xfId="11194"/>
    <cellStyle name="40% - Accent3 2 3 3 4 4" xfId="11195"/>
    <cellStyle name="40% - Accent3 2 3 3 5" xfId="11196"/>
    <cellStyle name="40% - Accent3 2 3 3 5 2" xfId="11197"/>
    <cellStyle name="40% - Accent3 2 3 3 5 2 2" xfId="11198"/>
    <cellStyle name="40% - Accent3 2 3 3 5 3" xfId="11199"/>
    <cellStyle name="40% - Accent3 2 3 3 5 4" xfId="11200"/>
    <cellStyle name="40% - Accent3 2 3 3 6" xfId="11201"/>
    <cellStyle name="40% - Accent3 2 3 3 6 2" xfId="11202"/>
    <cellStyle name="40% - Accent3 2 3 3 6 2 2" xfId="11203"/>
    <cellStyle name="40% - Accent3 2 3 3 6 3" xfId="11204"/>
    <cellStyle name="40% - Accent3 2 3 3 6 4" xfId="11205"/>
    <cellStyle name="40% - Accent3 2 3 3 7" xfId="11206"/>
    <cellStyle name="40% - Accent3 2 3 3 7 2" xfId="11207"/>
    <cellStyle name="40% - Accent3 2 3 3 8" xfId="11208"/>
    <cellStyle name="40% - Accent3 2 3 3 9" xfId="11209"/>
    <cellStyle name="40% - Accent3 2 3 4" xfId="11210"/>
    <cellStyle name="40% - Accent3 2 3 4 2" xfId="11211"/>
    <cellStyle name="40% - Accent3 2 3 4 2 2" xfId="11212"/>
    <cellStyle name="40% - Accent3 2 3 4 2 2 2" xfId="11213"/>
    <cellStyle name="40% - Accent3 2 3 4 2 3" xfId="11214"/>
    <cellStyle name="40% - Accent3 2 3 4 2 4" xfId="11215"/>
    <cellStyle name="40% - Accent3 2 3 4 3" xfId="11216"/>
    <cellStyle name="40% - Accent3 2 3 4 4" xfId="11217"/>
    <cellStyle name="40% - Accent3 2 3 4 4 2" xfId="11218"/>
    <cellStyle name="40% - Accent3 2 3 4 5" xfId="11219"/>
    <cellStyle name="40% - Accent3 2 3 4 6" xfId="11220"/>
    <cellStyle name="40% - Accent3 2 3 5" xfId="11221"/>
    <cellStyle name="40% - Accent3 2 3 5 2" xfId="11222"/>
    <cellStyle name="40% - Accent3 2 3 5 2 2" xfId="11223"/>
    <cellStyle name="40% - Accent3 2 3 5 2 2 2" xfId="11224"/>
    <cellStyle name="40% - Accent3 2 3 5 2 3" xfId="11225"/>
    <cellStyle name="40% - Accent3 2 3 5 2 4" xfId="11226"/>
    <cellStyle name="40% - Accent3 2 3 5 3" xfId="11227"/>
    <cellStyle name="40% - Accent3 2 3 5 3 2" xfId="11228"/>
    <cellStyle name="40% - Accent3 2 3 5 4" xfId="11229"/>
    <cellStyle name="40% - Accent3 2 3 5 5" xfId="11230"/>
    <cellStyle name="40% - Accent3 2 3 6" xfId="11231"/>
    <cellStyle name="40% - Accent3 2 3 6 2" xfId="11232"/>
    <cellStyle name="40% - Accent3 2 3 6 2 2" xfId="11233"/>
    <cellStyle name="40% - Accent3 2 3 6 3" xfId="11234"/>
    <cellStyle name="40% - Accent3 2 3 6 4" xfId="11235"/>
    <cellStyle name="40% - Accent3 2 3 7" xfId="11236"/>
    <cellStyle name="40% - Accent3 2 3 7 2" xfId="11237"/>
    <cellStyle name="40% - Accent3 2 3 7 2 2" xfId="11238"/>
    <cellStyle name="40% - Accent3 2 3 7 3" xfId="11239"/>
    <cellStyle name="40% - Accent3 2 3 7 4" xfId="11240"/>
    <cellStyle name="40% - Accent3 2 3 8" xfId="11241"/>
    <cellStyle name="40% - Accent3 2 3 8 2" xfId="11242"/>
    <cellStyle name="40% - Accent3 2 3 8 2 2" xfId="11243"/>
    <cellStyle name="40% - Accent3 2 3 8 3" xfId="11244"/>
    <cellStyle name="40% - Accent3 2 3 8 4" xfId="11245"/>
    <cellStyle name="40% - Accent3 2 3 9" xfId="11246"/>
    <cellStyle name="40% - Accent3 2 3 9 2" xfId="11247"/>
    <cellStyle name="40% - Accent3 2 4" xfId="11248"/>
    <cellStyle name="40% - Accent3 2 4 10" xfId="11249"/>
    <cellStyle name="40% - Accent3 2 4 2" xfId="11250"/>
    <cellStyle name="40% - Accent3 2 4 2 2" xfId="11251"/>
    <cellStyle name="40% - Accent3 2 4 2 2 2" xfId="11252"/>
    <cellStyle name="40% - Accent3 2 4 2 2 2 2" xfId="11253"/>
    <cellStyle name="40% - Accent3 2 4 2 2 2 2 2" xfId="11254"/>
    <cellStyle name="40% - Accent3 2 4 2 2 2 3" xfId="11255"/>
    <cellStyle name="40% - Accent3 2 4 2 2 2 4" xfId="11256"/>
    <cellStyle name="40% - Accent3 2 4 2 2 3" xfId="11257"/>
    <cellStyle name="40% - Accent3 2 4 2 2 3 2" xfId="11258"/>
    <cellStyle name="40% - Accent3 2 4 2 2 4" xfId="11259"/>
    <cellStyle name="40% - Accent3 2 4 2 2 5" xfId="11260"/>
    <cellStyle name="40% - Accent3 2 4 2 3" xfId="11261"/>
    <cellStyle name="40% - Accent3 2 4 2 3 2" xfId="11262"/>
    <cellStyle name="40% - Accent3 2 4 2 3 2 2" xfId="11263"/>
    <cellStyle name="40% - Accent3 2 4 2 3 2 2 2" xfId="11264"/>
    <cellStyle name="40% - Accent3 2 4 2 3 2 3" xfId="11265"/>
    <cellStyle name="40% - Accent3 2 4 2 3 2 4" xfId="11266"/>
    <cellStyle name="40% - Accent3 2 4 2 3 3" xfId="11267"/>
    <cellStyle name="40% - Accent3 2 4 2 3 3 2" xfId="11268"/>
    <cellStyle name="40% - Accent3 2 4 2 3 4" xfId="11269"/>
    <cellStyle name="40% - Accent3 2 4 2 3 5" xfId="11270"/>
    <cellStyle name="40% - Accent3 2 4 2 4" xfId="11271"/>
    <cellStyle name="40% - Accent3 2 4 2 4 2" xfId="11272"/>
    <cellStyle name="40% - Accent3 2 4 2 4 2 2" xfId="11273"/>
    <cellStyle name="40% - Accent3 2 4 2 4 3" xfId="11274"/>
    <cellStyle name="40% - Accent3 2 4 2 4 4" xfId="11275"/>
    <cellStyle name="40% - Accent3 2 4 2 5" xfId="11276"/>
    <cellStyle name="40% - Accent3 2 4 2 5 2" xfId="11277"/>
    <cellStyle name="40% - Accent3 2 4 2 5 2 2" xfId="11278"/>
    <cellStyle name="40% - Accent3 2 4 2 5 3" xfId="11279"/>
    <cellStyle name="40% - Accent3 2 4 2 5 4" xfId="11280"/>
    <cellStyle name="40% - Accent3 2 4 2 6" xfId="11281"/>
    <cellStyle name="40% - Accent3 2 4 2 6 2" xfId="11282"/>
    <cellStyle name="40% - Accent3 2 4 2 6 2 2" xfId="11283"/>
    <cellStyle name="40% - Accent3 2 4 2 6 3" xfId="11284"/>
    <cellStyle name="40% - Accent3 2 4 2 6 4" xfId="11285"/>
    <cellStyle name="40% - Accent3 2 4 2 7" xfId="11286"/>
    <cellStyle name="40% - Accent3 2 4 2 7 2" xfId="11287"/>
    <cellStyle name="40% - Accent3 2 4 2 8" xfId="11288"/>
    <cellStyle name="40% - Accent3 2 4 2 9" xfId="11289"/>
    <cellStyle name="40% - Accent3 2 4 3" xfId="11290"/>
    <cellStyle name="40% - Accent3 2 4 3 2" xfId="11291"/>
    <cellStyle name="40% - Accent3 2 4 3 2 2" xfId="11292"/>
    <cellStyle name="40% - Accent3 2 4 3 2 2 2" xfId="11293"/>
    <cellStyle name="40% - Accent3 2 4 3 2 3" xfId="11294"/>
    <cellStyle name="40% - Accent3 2 4 3 2 4" xfId="11295"/>
    <cellStyle name="40% - Accent3 2 4 3 3" xfId="11296"/>
    <cellStyle name="40% - Accent3 2 4 3 3 2" xfId="11297"/>
    <cellStyle name="40% - Accent3 2 4 3 4" xfId="11298"/>
    <cellStyle name="40% - Accent3 2 4 3 5" xfId="11299"/>
    <cellStyle name="40% - Accent3 2 4 4" xfId="11300"/>
    <cellStyle name="40% - Accent3 2 4 4 2" xfId="11301"/>
    <cellStyle name="40% - Accent3 2 4 4 2 2" xfId="11302"/>
    <cellStyle name="40% - Accent3 2 4 4 2 2 2" xfId="11303"/>
    <cellStyle name="40% - Accent3 2 4 4 2 3" xfId="11304"/>
    <cellStyle name="40% - Accent3 2 4 4 2 4" xfId="11305"/>
    <cellStyle name="40% - Accent3 2 4 4 3" xfId="11306"/>
    <cellStyle name="40% - Accent3 2 4 4 3 2" xfId="11307"/>
    <cellStyle name="40% - Accent3 2 4 4 4" xfId="11308"/>
    <cellStyle name="40% - Accent3 2 4 4 5" xfId="11309"/>
    <cellStyle name="40% - Accent3 2 4 5" xfId="11310"/>
    <cellStyle name="40% - Accent3 2 4 5 2" xfId="11311"/>
    <cellStyle name="40% - Accent3 2 4 5 2 2" xfId="11312"/>
    <cellStyle name="40% - Accent3 2 4 5 3" xfId="11313"/>
    <cellStyle name="40% - Accent3 2 4 5 4" xfId="11314"/>
    <cellStyle name="40% - Accent3 2 4 6" xfId="11315"/>
    <cellStyle name="40% - Accent3 2 4 6 2" xfId="11316"/>
    <cellStyle name="40% - Accent3 2 4 6 2 2" xfId="11317"/>
    <cellStyle name="40% - Accent3 2 4 6 3" xfId="11318"/>
    <cellStyle name="40% - Accent3 2 4 6 4" xfId="11319"/>
    <cellStyle name="40% - Accent3 2 4 7" xfId="11320"/>
    <cellStyle name="40% - Accent3 2 4 7 2" xfId="11321"/>
    <cellStyle name="40% - Accent3 2 4 7 2 2" xfId="11322"/>
    <cellStyle name="40% - Accent3 2 4 7 3" xfId="11323"/>
    <cellStyle name="40% - Accent3 2 4 7 4" xfId="11324"/>
    <cellStyle name="40% - Accent3 2 4 8" xfId="11325"/>
    <cellStyle name="40% - Accent3 2 4 8 2" xfId="11326"/>
    <cellStyle name="40% - Accent3 2 4 9" xfId="11327"/>
    <cellStyle name="40% - Accent3 2 5" xfId="11328"/>
    <cellStyle name="40% - Accent3 2 5 2" xfId="11329"/>
    <cellStyle name="40% - Accent3 2 5 2 2" xfId="11330"/>
    <cellStyle name="40% - Accent3 2 5 2 2 2" xfId="11331"/>
    <cellStyle name="40% - Accent3 2 5 2 2 2 2" xfId="11332"/>
    <cellStyle name="40% - Accent3 2 5 2 2 3" xfId="11333"/>
    <cellStyle name="40% - Accent3 2 5 2 2 4" xfId="11334"/>
    <cellStyle name="40% - Accent3 2 5 2 3" xfId="11335"/>
    <cellStyle name="40% - Accent3 2 5 2 3 2" xfId="11336"/>
    <cellStyle name="40% - Accent3 2 5 2 4" xfId="11337"/>
    <cellStyle name="40% - Accent3 2 5 2 5" xfId="11338"/>
    <cellStyle name="40% - Accent3 2 5 3" xfId="11339"/>
    <cellStyle name="40% - Accent3 2 5 3 2" xfId="11340"/>
    <cellStyle name="40% - Accent3 2 5 3 2 2" xfId="11341"/>
    <cellStyle name="40% - Accent3 2 5 3 2 2 2" xfId="11342"/>
    <cellStyle name="40% - Accent3 2 5 3 2 3" xfId="11343"/>
    <cellStyle name="40% - Accent3 2 5 3 2 4" xfId="11344"/>
    <cellStyle name="40% - Accent3 2 5 3 3" xfId="11345"/>
    <cellStyle name="40% - Accent3 2 5 3 3 2" xfId="11346"/>
    <cellStyle name="40% - Accent3 2 5 3 4" xfId="11347"/>
    <cellStyle name="40% - Accent3 2 5 3 5" xfId="11348"/>
    <cellStyle name="40% - Accent3 2 5 4" xfId="11349"/>
    <cellStyle name="40% - Accent3 2 5 4 2" xfId="11350"/>
    <cellStyle name="40% - Accent3 2 5 4 2 2" xfId="11351"/>
    <cellStyle name="40% - Accent3 2 5 4 3" xfId="11352"/>
    <cellStyle name="40% - Accent3 2 5 4 4" xfId="11353"/>
    <cellStyle name="40% - Accent3 2 5 5" xfId="11354"/>
    <cellStyle name="40% - Accent3 2 5 5 2" xfId="11355"/>
    <cellStyle name="40% - Accent3 2 5 5 2 2" xfId="11356"/>
    <cellStyle name="40% - Accent3 2 5 5 3" xfId="11357"/>
    <cellStyle name="40% - Accent3 2 5 5 4" xfId="11358"/>
    <cellStyle name="40% - Accent3 2 5 6" xfId="11359"/>
    <cellStyle name="40% - Accent3 2 5 6 2" xfId="11360"/>
    <cellStyle name="40% - Accent3 2 5 6 2 2" xfId="11361"/>
    <cellStyle name="40% - Accent3 2 5 6 3" xfId="11362"/>
    <cellStyle name="40% - Accent3 2 5 6 4" xfId="11363"/>
    <cellStyle name="40% - Accent3 2 5 7" xfId="11364"/>
    <cellStyle name="40% - Accent3 2 5 7 2" xfId="11365"/>
    <cellStyle name="40% - Accent3 2 5 8" xfId="11366"/>
    <cellStyle name="40% - Accent3 2 5 9" xfId="11367"/>
    <cellStyle name="40% - Accent3 2 6" xfId="11368"/>
    <cellStyle name="40% - Accent3 2 7" xfId="11369"/>
    <cellStyle name="40% - Accent3 2 8" xfId="11370"/>
    <cellStyle name="40% - Accent3 2 8 2" xfId="11371"/>
    <cellStyle name="40% - Accent3 2 9" xfId="11372"/>
    <cellStyle name="40% - Accent3 2 9 2" xfId="11373"/>
    <cellStyle name="40% - Accent3 2 9 2 2" xfId="11374"/>
    <cellStyle name="40% - Accent3 2 9 2 2 2" xfId="11375"/>
    <cellStyle name="40% - Accent3 2 9 2 3" xfId="11376"/>
    <cellStyle name="40% - Accent3 2 9 2 4" xfId="11377"/>
    <cellStyle name="40% - Accent3 2 9 3" xfId="11378"/>
    <cellStyle name="40% - Accent3 2 9 4" xfId="11379"/>
    <cellStyle name="40% - Accent3 2 9 4 2" xfId="11380"/>
    <cellStyle name="40% - Accent3 2 9 5" xfId="11381"/>
    <cellStyle name="40% - Accent3 2 9 6" xfId="11382"/>
    <cellStyle name="40% - Accent3 3" xfId="111"/>
    <cellStyle name="40% - Accent3 3 2" xfId="11384"/>
    <cellStyle name="40% - Accent3 3 2 10" xfId="11385"/>
    <cellStyle name="40% - Accent3 3 2 10 2" xfId="11386"/>
    <cellStyle name="40% - Accent3 3 2 11" xfId="11387"/>
    <cellStyle name="40% - Accent3 3 2 12" xfId="11388"/>
    <cellStyle name="40% - Accent3 3 2 2" xfId="11389"/>
    <cellStyle name="40% - Accent3 3 2 2 10" xfId="11390"/>
    <cellStyle name="40% - Accent3 3 2 2 11" xfId="11391"/>
    <cellStyle name="40% - Accent3 3 2 2 2" xfId="11392"/>
    <cellStyle name="40% - Accent3 3 2 2 2 10" xfId="11393"/>
    <cellStyle name="40% - Accent3 3 2 2 2 2" xfId="11394"/>
    <cellStyle name="40% - Accent3 3 2 2 2 2 2" xfId="11395"/>
    <cellStyle name="40% - Accent3 3 2 2 2 2 2 2" xfId="11396"/>
    <cellStyle name="40% - Accent3 3 2 2 2 2 2 2 2" xfId="11397"/>
    <cellStyle name="40% - Accent3 3 2 2 2 2 2 2 2 2" xfId="11398"/>
    <cellStyle name="40% - Accent3 3 2 2 2 2 2 2 3" xfId="11399"/>
    <cellStyle name="40% - Accent3 3 2 2 2 2 2 2 4" xfId="11400"/>
    <cellStyle name="40% - Accent3 3 2 2 2 2 2 3" xfId="11401"/>
    <cellStyle name="40% - Accent3 3 2 2 2 2 2 3 2" xfId="11402"/>
    <cellStyle name="40% - Accent3 3 2 2 2 2 2 4" xfId="11403"/>
    <cellStyle name="40% - Accent3 3 2 2 2 2 2 5" xfId="11404"/>
    <cellStyle name="40% - Accent3 3 2 2 2 2 3" xfId="11405"/>
    <cellStyle name="40% - Accent3 3 2 2 2 2 3 2" xfId="11406"/>
    <cellStyle name="40% - Accent3 3 2 2 2 2 3 2 2" xfId="11407"/>
    <cellStyle name="40% - Accent3 3 2 2 2 2 3 2 2 2" xfId="11408"/>
    <cellStyle name="40% - Accent3 3 2 2 2 2 3 2 3" xfId="11409"/>
    <cellStyle name="40% - Accent3 3 2 2 2 2 3 2 4" xfId="11410"/>
    <cellStyle name="40% - Accent3 3 2 2 2 2 3 3" xfId="11411"/>
    <cellStyle name="40% - Accent3 3 2 2 2 2 3 3 2" xfId="11412"/>
    <cellStyle name="40% - Accent3 3 2 2 2 2 3 4" xfId="11413"/>
    <cellStyle name="40% - Accent3 3 2 2 2 2 3 5" xfId="11414"/>
    <cellStyle name="40% - Accent3 3 2 2 2 2 4" xfId="11415"/>
    <cellStyle name="40% - Accent3 3 2 2 2 2 4 2" xfId="11416"/>
    <cellStyle name="40% - Accent3 3 2 2 2 2 4 2 2" xfId="11417"/>
    <cellStyle name="40% - Accent3 3 2 2 2 2 4 3" xfId="11418"/>
    <cellStyle name="40% - Accent3 3 2 2 2 2 4 4" xfId="11419"/>
    <cellStyle name="40% - Accent3 3 2 2 2 2 5" xfId="11420"/>
    <cellStyle name="40% - Accent3 3 2 2 2 2 5 2" xfId="11421"/>
    <cellStyle name="40% - Accent3 3 2 2 2 2 5 2 2" xfId="11422"/>
    <cellStyle name="40% - Accent3 3 2 2 2 2 5 3" xfId="11423"/>
    <cellStyle name="40% - Accent3 3 2 2 2 2 5 4" xfId="11424"/>
    <cellStyle name="40% - Accent3 3 2 2 2 2 6" xfId="11425"/>
    <cellStyle name="40% - Accent3 3 2 2 2 2 6 2" xfId="11426"/>
    <cellStyle name="40% - Accent3 3 2 2 2 2 6 2 2" xfId="11427"/>
    <cellStyle name="40% - Accent3 3 2 2 2 2 6 3" xfId="11428"/>
    <cellStyle name="40% - Accent3 3 2 2 2 2 6 4" xfId="11429"/>
    <cellStyle name="40% - Accent3 3 2 2 2 2 7" xfId="11430"/>
    <cellStyle name="40% - Accent3 3 2 2 2 2 7 2" xfId="11431"/>
    <cellStyle name="40% - Accent3 3 2 2 2 2 8" xfId="11432"/>
    <cellStyle name="40% - Accent3 3 2 2 2 2 9" xfId="11433"/>
    <cellStyle name="40% - Accent3 3 2 2 2 3" xfId="11434"/>
    <cellStyle name="40% - Accent3 3 2 2 2 3 2" xfId="11435"/>
    <cellStyle name="40% - Accent3 3 2 2 2 3 2 2" xfId="11436"/>
    <cellStyle name="40% - Accent3 3 2 2 2 3 2 2 2" xfId="11437"/>
    <cellStyle name="40% - Accent3 3 2 2 2 3 2 3" xfId="11438"/>
    <cellStyle name="40% - Accent3 3 2 2 2 3 2 4" xfId="11439"/>
    <cellStyle name="40% - Accent3 3 2 2 2 3 3" xfId="11440"/>
    <cellStyle name="40% - Accent3 3 2 2 2 3 3 2" xfId="11441"/>
    <cellStyle name="40% - Accent3 3 2 2 2 3 4" xfId="11442"/>
    <cellStyle name="40% - Accent3 3 2 2 2 3 5" xfId="11443"/>
    <cellStyle name="40% - Accent3 3 2 2 2 4" xfId="11444"/>
    <cellStyle name="40% - Accent3 3 2 2 2 4 2" xfId="11445"/>
    <cellStyle name="40% - Accent3 3 2 2 2 4 2 2" xfId="11446"/>
    <cellStyle name="40% - Accent3 3 2 2 2 4 2 2 2" xfId="11447"/>
    <cellStyle name="40% - Accent3 3 2 2 2 4 2 3" xfId="11448"/>
    <cellStyle name="40% - Accent3 3 2 2 2 4 2 4" xfId="11449"/>
    <cellStyle name="40% - Accent3 3 2 2 2 4 3" xfId="11450"/>
    <cellStyle name="40% - Accent3 3 2 2 2 4 3 2" xfId="11451"/>
    <cellStyle name="40% - Accent3 3 2 2 2 4 4" xfId="11452"/>
    <cellStyle name="40% - Accent3 3 2 2 2 4 5" xfId="11453"/>
    <cellStyle name="40% - Accent3 3 2 2 2 5" xfId="11454"/>
    <cellStyle name="40% - Accent3 3 2 2 2 5 2" xfId="11455"/>
    <cellStyle name="40% - Accent3 3 2 2 2 5 2 2" xfId="11456"/>
    <cellStyle name="40% - Accent3 3 2 2 2 5 3" xfId="11457"/>
    <cellStyle name="40% - Accent3 3 2 2 2 5 4" xfId="11458"/>
    <cellStyle name="40% - Accent3 3 2 2 2 6" xfId="11459"/>
    <cellStyle name="40% - Accent3 3 2 2 2 6 2" xfId="11460"/>
    <cellStyle name="40% - Accent3 3 2 2 2 6 2 2" xfId="11461"/>
    <cellStyle name="40% - Accent3 3 2 2 2 6 3" xfId="11462"/>
    <cellStyle name="40% - Accent3 3 2 2 2 6 4" xfId="11463"/>
    <cellStyle name="40% - Accent3 3 2 2 2 7" xfId="11464"/>
    <cellStyle name="40% - Accent3 3 2 2 2 7 2" xfId="11465"/>
    <cellStyle name="40% - Accent3 3 2 2 2 7 2 2" xfId="11466"/>
    <cellStyle name="40% - Accent3 3 2 2 2 7 3" xfId="11467"/>
    <cellStyle name="40% - Accent3 3 2 2 2 7 4" xfId="11468"/>
    <cellStyle name="40% - Accent3 3 2 2 2 8" xfId="11469"/>
    <cellStyle name="40% - Accent3 3 2 2 2 8 2" xfId="11470"/>
    <cellStyle name="40% - Accent3 3 2 2 2 9" xfId="11471"/>
    <cellStyle name="40% - Accent3 3 2 2 3" xfId="11472"/>
    <cellStyle name="40% - Accent3 3 2 2 3 2" xfId="11473"/>
    <cellStyle name="40% - Accent3 3 2 2 3 2 2" xfId="11474"/>
    <cellStyle name="40% - Accent3 3 2 2 3 2 2 2" xfId="11475"/>
    <cellStyle name="40% - Accent3 3 2 2 3 2 2 2 2" xfId="11476"/>
    <cellStyle name="40% - Accent3 3 2 2 3 2 2 3" xfId="11477"/>
    <cellStyle name="40% - Accent3 3 2 2 3 2 2 4" xfId="11478"/>
    <cellStyle name="40% - Accent3 3 2 2 3 2 3" xfId="11479"/>
    <cellStyle name="40% - Accent3 3 2 2 3 2 3 2" xfId="11480"/>
    <cellStyle name="40% - Accent3 3 2 2 3 2 4" xfId="11481"/>
    <cellStyle name="40% - Accent3 3 2 2 3 2 5" xfId="11482"/>
    <cellStyle name="40% - Accent3 3 2 2 3 3" xfId="11483"/>
    <cellStyle name="40% - Accent3 3 2 2 3 3 2" xfId="11484"/>
    <cellStyle name="40% - Accent3 3 2 2 3 3 2 2" xfId="11485"/>
    <cellStyle name="40% - Accent3 3 2 2 3 3 2 2 2" xfId="11486"/>
    <cellStyle name="40% - Accent3 3 2 2 3 3 2 3" xfId="11487"/>
    <cellStyle name="40% - Accent3 3 2 2 3 3 2 4" xfId="11488"/>
    <cellStyle name="40% - Accent3 3 2 2 3 3 3" xfId="11489"/>
    <cellStyle name="40% - Accent3 3 2 2 3 3 3 2" xfId="11490"/>
    <cellStyle name="40% - Accent3 3 2 2 3 3 4" xfId="11491"/>
    <cellStyle name="40% - Accent3 3 2 2 3 3 5" xfId="11492"/>
    <cellStyle name="40% - Accent3 3 2 2 3 4" xfId="11493"/>
    <cellStyle name="40% - Accent3 3 2 2 3 4 2" xfId="11494"/>
    <cellStyle name="40% - Accent3 3 2 2 3 4 2 2" xfId="11495"/>
    <cellStyle name="40% - Accent3 3 2 2 3 4 3" xfId="11496"/>
    <cellStyle name="40% - Accent3 3 2 2 3 4 4" xfId="11497"/>
    <cellStyle name="40% - Accent3 3 2 2 3 5" xfId="11498"/>
    <cellStyle name="40% - Accent3 3 2 2 3 5 2" xfId="11499"/>
    <cellStyle name="40% - Accent3 3 2 2 3 5 2 2" xfId="11500"/>
    <cellStyle name="40% - Accent3 3 2 2 3 5 3" xfId="11501"/>
    <cellStyle name="40% - Accent3 3 2 2 3 5 4" xfId="11502"/>
    <cellStyle name="40% - Accent3 3 2 2 3 6" xfId="11503"/>
    <cellStyle name="40% - Accent3 3 2 2 3 6 2" xfId="11504"/>
    <cellStyle name="40% - Accent3 3 2 2 3 6 2 2" xfId="11505"/>
    <cellStyle name="40% - Accent3 3 2 2 3 6 3" xfId="11506"/>
    <cellStyle name="40% - Accent3 3 2 2 3 6 4" xfId="11507"/>
    <cellStyle name="40% - Accent3 3 2 2 3 7" xfId="11508"/>
    <cellStyle name="40% - Accent3 3 2 2 3 7 2" xfId="11509"/>
    <cellStyle name="40% - Accent3 3 2 2 3 8" xfId="11510"/>
    <cellStyle name="40% - Accent3 3 2 2 3 9" xfId="11511"/>
    <cellStyle name="40% - Accent3 3 2 2 4" xfId="11512"/>
    <cellStyle name="40% - Accent3 3 2 2 4 2" xfId="11513"/>
    <cellStyle name="40% - Accent3 3 2 2 4 2 2" xfId="11514"/>
    <cellStyle name="40% - Accent3 3 2 2 4 2 2 2" xfId="11515"/>
    <cellStyle name="40% - Accent3 3 2 2 4 2 3" xfId="11516"/>
    <cellStyle name="40% - Accent3 3 2 2 4 2 4" xfId="11517"/>
    <cellStyle name="40% - Accent3 3 2 2 4 3" xfId="11518"/>
    <cellStyle name="40% - Accent3 3 2 2 4 3 2" xfId="11519"/>
    <cellStyle name="40% - Accent3 3 2 2 4 4" xfId="11520"/>
    <cellStyle name="40% - Accent3 3 2 2 4 5" xfId="11521"/>
    <cellStyle name="40% - Accent3 3 2 2 5" xfId="11522"/>
    <cellStyle name="40% - Accent3 3 2 2 5 2" xfId="11523"/>
    <cellStyle name="40% - Accent3 3 2 2 5 2 2" xfId="11524"/>
    <cellStyle name="40% - Accent3 3 2 2 5 2 2 2" xfId="11525"/>
    <cellStyle name="40% - Accent3 3 2 2 5 2 3" xfId="11526"/>
    <cellStyle name="40% - Accent3 3 2 2 5 2 4" xfId="11527"/>
    <cellStyle name="40% - Accent3 3 2 2 5 3" xfId="11528"/>
    <cellStyle name="40% - Accent3 3 2 2 5 3 2" xfId="11529"/>
    <cellStyle name="40% - Accent3 3 2 2 5 4" xfId="11530"/>
    <cellStyle name="40% - Accent3 3 2 2 5 5" xfId="11531"/>
    <cellStyle name="40% - Accent3 3 2 2 6" xfId="11532"/>
    <cellStyle name="40% - Accent3 3 2 2 6 2" xfId="11533"/>
    <cellStyle name="40% - Accent3 3 2 2 6 2 2" xfId="11534"/>
    <cellStyle name="40% - Accent3 3 2 2 6 3" xfId="11535"/>
    <cellStyle name="40% - Accent3 3 2 2 6 4" xfId="11536"/>
    <cellStyle name="40% - Accent3 3 2 2 7" xfId="11537"/>
    <cellStyle name="40% - Accent3 3 2 2 7 2" xfId="11538"/>
    <cellStyle name="40% - Accent3 3 2 2 7 2 2" xfId="11539"/>
    <cellStyle name="40% - Accent3 3 2 2 7 3" xfId="11540"/>
    <cellStyle name="40% - Accent3 3 2 2 7 4" xfId="11541"/>
    <cellStyle name="40% - Accent3 3 2 2 8" xfId="11542"/>
    <cellStyle name="40% - Accent3 3 2 2 8 2" xfId="11543"/>
    <cellStyle name="40% - Accent3 3 2 2 8 2 2" xfId="11544"/>
    <cellStyle name="40% - Accent3 3 2 2 8 3" xfId="11545"/>
    <cellStyle name="40% - Accent3 3 2 2 8 4" xfId="11546"/>
    <cellStyle name="40% - Accent3 3 2 2 9" xfId="11547"/>
    <cellStyle name="40% - Accent3 3 2 2 9 2" xfId="11548"/>
    <cellStyle name="40% - Accent3 3 2 3" xfId="11549"/>
    <cellStyle name="40% - Accent3 3 2 3 10" xfId="11550"/>
    <cellStyle name="40% - Accent3 3 2 3 2" xfId="11551"/>
    <cellStyle name="40% - Accent3 3 2 3 2 2" xfId="11552"/>
    <cellStyle name="40% - Accent3 3 2 3 2 2 2" xfId="11553"/>
    <cellStyle name="40% - Accent3 3 2 3 2 2 2 2" xfId="11554"/>
    <cellStyle name="40% - Accent3 3 2 3 2 2 2 2 2" xfId="11555"/>
    <cellStyle name="40% - Accent3 3 2 3 2 2 2 3" xfId="11556"/>
    <cellStyle name="40% - Accent3 3 2 3 2 2 2 4" xfId="11557"/>
    <cellStyle name="40% - Accent3 3 2 3 2 2 3" xfId="11558"/>
    <cellStyle name="40% - Accent3 3 2 3 2 2 3 2" xfId="11559"/>
    <cellStyle name="40% - Accent3 3 2 3 2 2 4" xfId="11560"/>
    <cellStyle name="40% - Accent3 3 2 3 2 2 5" xfId="11561"/>
    <cellStyle name="40% - Accent3 3 2 3 2 3" xfId="11562"/>
    <cellStyle name="40% - Accent3 3 2 3 2 3 2" xfId="11563"/>
    <cellStyle name="40% - Accent3 3 2 3 2 3 2 2" xfId="11564"/>
    <cellStyle name="40% - Accent3 3 2 3 2 3 2 2 2" xfId="11565"/>
    <cellStyle name="40% - Accent3 3 2 3 2 3 2 3" xfId="11566"/>
    <cellStyle name="40% - Accent3 3 2 3 2 3 2 4" xfId="11567"/>
    <cellStyle name="40% - Accent3 3 2 3 2 3 3" xfId="11568"/>
    <cellStyle name="40% - Accent3 3 2 3 2 3 3 2" xfId="11569"/>
    <cellStyle name="40% - Accent3 3 2 3 2 3 4" xfId="11570"/>
    <cellStyle name="40% - Accent3 3 2 3 2 3 5" xfId="11571"/>
    <cellStyle name="40% - Accent3 3 2 3 2 4" xfId="11572"/>
    <cellStyle name="40% - Accent3 3 2 3 2 4 2" xfId="11573"/>
    <cellStyle name="40% - Accent3 3 2 3 2 4 2 2" xfId="11574"/>
    <cellStyle name="40% - Accent3 3 2 3 2 4 3" xfId="11575"/>
    <cellStyle name="40% - Accent3 3 2 3 2 4 4" xfId="11576"/>
    <cellStyle name="40% - Accent3 3 2 3 2 5" xfId="11577"/>
    <cellStyle name="40% - Accent3 3 2 3 2 5 2" xfId="11578"/>
    <cellStyle name="40% - Accent3 3 2 3 2 5 2 2" xfId="11579"/>
    <cellStyle name="40% - Accent3 3 2 3 2 5 3" xfId="11580"/>
    <cellStyle name="40% - Accent3 3 2 3 2 5 4" xfId="11581"/>
    <cellStyle name="40% - Accent3 3 2 3 2 6" xfId="11582"/>
    <cellStyle name="40% - Accent3 3 2 3 2 6 2" xfId="11583"/>
    <cellStyle name="40% - Accent3 3 2 3 2 6 2 2" xfId="11584"/>
    <cellStyle name="40% - Accent3 3 2 3 2 6 3" xfId="11585"/>
    <cellStyle name="40% - Accent3 3 2 3 2 6 4" xfId="11586"/>
    <cellStyle name="40% - Accent3 3 2 3 2 7" xfId="11587"/>
    <cellStyle name="40% - Accent3 3 2 3 2 7 2" xfId="11588"/>
    <cellStyle name="40% - Accent3 3 2 3 2 8" xfId="11589"/>
    <cellStyle name="40% - Accent3 3 2 3 2 9" xfId="11590"/>
    <cellStyle name="40% - Accent3 3 2 3 3" xfId="11591"/>
    <cellStyle name="40% - Accent3 3 2 3 3 2" xfId="11592"/>
    <cellStyle name="40% - Accent3 3 2 3 3 2 2" xfId="11593"/>
    <cellStyle name="40% - Accent3 3 2 3 3 2 2 2" xfId="11594"/>
    <cellStyle name="40% - Accent3 3 2 3 3 2 3" xfId="11595"/>
    <cellStyle name="40% - Accent3 3 2 3 3 2 4" xfId="11596"/>
    <cellStyle name="40% - Accent3 3 2 3 3 3" xfId="11597"/>
    <cellStyle name="40% - Accent3 3 2 3 3 3 2" xfId="11598"/>
    <cellStyle name="40% - Accent3 3 2 3 3 4" xfId="11599"/>
    <cellStyle name="40% - Accent3 3 2 3 3 5" xfId="11600"/>
    <cellStyle name="40% - Accent3 3 2 3 4" xfId="11601"/>
    <cellStyle name="40% - Accent3 3 2 3 4 2" xfId="11602"/>
    <cellStyle name="40% - Accent3 3 2 3 4 2 2" xfId="11603"/>
    <cellStyle name="40% - Accent3 3 2 3 4 2 2 2" xfId="11604"/>
    <cellStyle name="40% - Accent3 3 2 3 4 2 3" xfId="11605"/>
    <cellStyle name="40% - Accent3 3 2 3 4 2 4" xfId="11606"/>
    <cellStyle name="40% - Accent3 3 2 3 4 3" xfId="11607"/>
    <cellStyle name="40% - Accent3 3 2 3 4 3 2" xfId="11608"/>
    <cellStyle name="40% - Accent3 3 2 3 4 4" xfId="11609"/>
    <cellStyle name="40% - Accent3 3 2 3 4 5" xfId="11610"/>
    <cellStyle name="40% - Accent3 3 2 3 5" xfId="11611"/>
    <cellStyle name="40% - Accent3 3 2 3 5 2" xfId="11612"/>
    <cellStyle name="40% - Accent3 3 2 3 5 2 2" xfId="11613"/>
    <cellStyle name="40% - Accent3 3 2 3 5 3" xfId="11614"/>
    <cellStyle name="40% - Accent3 3 2 3 5 4" xfId="11615"/>
    <cellStyle name="40% - Accent3 3 2 3 6" xfId="11616"/>
    <cellStyle name="40% - Accent3 3 2 3 6 2" xfId="11617"/>
    <cellStyle name="40% - Accent3 3 2 3 6 2 2" xfId="11618"/>
    <cellStyle name="40% - Accent3 3 2 3 6 3" xfId="11619"/>
    <cellStyle name="40% - Accent3 3 2 3 6 4" xfId="11620"/>
    <cellStyle name="40% - Accent3 3 2 3 7" xfId="11621"/>
    <cellStyle name="40% - Accent3 3 2 3 7 2" xfId="11622"/>
    <cellStyle name="40% - Accent3 3 2 3 7 2 2" xfId="11623"/>
    <cellStyle name="40% - Accent3 3 2 3 7 3" xfId="11624"/>
    <cellStyle name="40% - Accent3 3 2 3 7 4" xfId="11625"/>
    <cellStyle name="40% - Accent3 3 2 3 8" xfId="11626"/>
    <cellStyle name="40% - Accent3 3 2 3 8 2" xfId="11627"/>
    <cellStyle name="40% - Accent3 3 2 3 9" xfId="11628"/>
    <cellStyle name="40% - Accent3 3 2 4" xfId="11629"/>
    <cellStyle name="40% - Accent3 3 2 4 2" xfId="11630"/>
    <cellStyle name="40% - Accent3 3 2 4 2 2" xfId="11631"/>
    <cellStyle name="40% - Accent3 3 2 4 2 2 2" xfId="11632"/>
    <cellStyle name="40% - Accent3 3 2 4 2 2 2 2" xfId="11633"/>
    <cellStyle name="40% - Accent3 3 2 4 2 2 3" xfId="11634"/>
    <cellStyle name="40% - Accent3 3 2 4 2 2 4" xfId="11635"/>
    <cellStyle name="40% - Accent3 3 2 4 2 3" xfId="11636"/>
    <cellStyle name="40% - Accent3 3 2 4 2 3 2" xfId="11637"/>
    <cellStyle name="40% - Accent3 3 2 4 2 4" xfId="11638"/>
    <cellStyle name="40% - Accent3 3 2 4 2 5" xfId="11639"/>
    <cellStyle name="40% - Accent3 3 2 4 3" xfId="11640"/>
    <cellStyle name="40% - Accent3 3 2 4 3 2" xfId="11641"/>
    <cellStyle name="40% - Accent3 3 2 4 3 2 2" xfId="11642"/>
    <cellStyle name="40% - Accent3 3 2 4 3 2 2 2" xfId="11643"/>
    <cellStyle name="40% - Accent3 3 2 4 3 2 3" xfId="11644"/>
    <cellStyle name="40% - Accent3 3 2 4 3 2 4" xfId="11645"/>
    <cellStyle name="40% - Accent3 3 2 4 3 3" xfId="11646"/>
    <cellStyle name="40% - Accent3 3 2 4 3 3 2" xfId="11647"/>
    <cellStyle name="40% - Accent3 3 2 4 3 4" xfId="11648"/>
    <cellStyle name="40% - Accent3 3 2 4 3 5" xfId="11649"/>
    <cellStyle name="40% - Accent3 3 2 4 4" xfId="11650"/>
    <cellStyle name="40% - Accent3 3 2 4 4 2" xfId="11651"/>
    <cellStyle name="40% - Accent3 3 2 4 4 2 2" xfId="11652"/>
    <cellStyle name="40% - Accent3 3 2 4 4 3" xfId="11653"/>
    <cellStyle name="40% - Accent3 3 2 4 4 4" xfId="11654"/>
    <cellStyle name="40% - Accent3 3 2 4 5" xfId="11655"/>
    <cellStyle name="40% - Accent3 3 2 4 5 2" xfId="11656"/>
    <cellStyle name="40% - Accent3 3 2 4 5 2 2" xfId="11657"/>
    <cellStyle name="40% - Accent3 3 2 4 5 3" xfId="11658"/>
    <cellStyle name="40% - Accent3 3 2 4 5 4" xfId="11659"/>
    <cellStyle name="40% - Accent3 3 2 4 6" xfId="11660"/>
    <cellStyle name="40% - Accent3 3 2 4 6 2" xfId="11661"/>
    <cellStyle name="40% - Accent3 3 2 4 6 2 2" xfId="11662"/>
    <cellStyle name="40% - Accent3 3 2 4 6 3" xfId="11663"/>
    <cellStyle name="40% - Accent3 3 2 4 6 4" xfId="11664"/>
    <cellStyle name="40% - Accent3 3 2 4 7" xfId="11665"/>
    <cellStyle name="40% - Accent3 3 2 4 7 2" xfId="11666"/>
    <cellStyle name="40% - Accent3 3 2 4 8" xfId="11667"/>
    <cellStyle name="40% - Accent3 3 2 4 9" xfId="11668"/>
    <cellStyle name="40% - Accent3 3 2 5" xfId="11669"/>
    <cellStyle name="40% - Accent3 3 2 5 2" xfId="11670"/>
    <cellStyle name="40% - Accent3 3 2 5 2 2" xfId="11671"/>
    <cellStyle name="40% - Accent3 3 2 5 2 2 2" xfId="11672"/>
    <cellStyle name="40% - Accent3 3 2 5 2 3" xfId="11673"/>
    <cellStyle name="40% - Accent3 3 2 5 2 4" xfId="11674"/>
    <cellStyle name="40% - Accent3 3 2 5 3" xfId="11675"/>
    <cellStyle name="40% - Accent3 3 2 5 3 2" xfId="11676"/>
    <cellStyle name="40% - Accent3 3 2 5 4" xfId="11677"/>
    <cellStyle name="40% - Accent3 3 2 5 5" xfId="11678"/>
    <cellStyle name="40% - Accent3 3 2 6" xfId="11679"/>
    <cellStyle name="40% - Accent3 3 2 6 2" xfId="11680"/>
    <cellStyle name="40% - Accent3 3 2 6 2 2" xfId="11681"/>
    <cellStyle name="40% - Accent3 3 2 6 2 2 2" xfId="11682"/>
    <cellStyle name="40% - Accent3 3 2 6 2 3" xfId="11683"/>
    <cellStyle name="40% - Accent3 3 2 6 2 4" xfId="11684"/>
    <cellStyle name="40% - Accent3 3 2 6 3" xfId="11685"/>
    <cellStyle name="40% - Accent3 3 2 6 3 2" xfId="11686"/>
    <cellStyle name="40% - Accent3 3 2 6 4" xfId="11687"/>
    <cellStyle name="40% - Accent3 3 2 6 5" xfId="11688"/>
    <cellStyle name="40% - Accent3 3 2 7" xfId="11689"/>
    <cellStyle name="40% - Accent3 3 2 7 2" xfId="11690"/>
    <cellStyle name="40% - Accent3 3 2 7 2 2" xfId="11691"/>
    <cellStyle name="40% - Accent3 3 2 7 3" xfId="11692"/>
    <cellStyle name="40% - Accent3 3 2 7 4" xfId="11693"/>
    <cellStyle name="40% - Accent3 3 2 8" xfId="11694"/>
    <cellStyle name="40% - Accent3 3 2 8 2" xfId="11695"/>
    <cellStyle name="40% - Accent3 3 2 8 2 2" xfId="11696"/>
    <cellStyle name="40% - Accent3 3 2 8 3" xfId="11697"/>
    <cellStyle name="40% - Accent3 3 2 8 4" xfId="11698"/>
    <cellStyle name="40% - Accent3 3 2 9" xfId="11699"/>
    <cellStyle name="40% - Accent3 3 2 9 2" xfId="11700"/>
    <cellStyle name="40% - Accent3 3 2 9 2 2" xfId="11701"/>
    <cellStyle name="40% - Accent3 3 2 9 3" xfId="11702"/>
    <cellStyle name="40% - Accent3 3 2 9 4" xfId="11703"/>
    <cellStyle name="40% - Accent3 3 3" xfId="11704"/>
    <cellStyle name="40% - Accent3 3 4" xfId="11705"/>
    <cellStyle name="40% - Accent3 3 5" xfId="11706"/>
    <cellStyle name="40% - Accent3 3 6" xfId="11383"/>
    <cellStyle name="40% - Accent3 4" xfId="219"/>
    <cellStyle name="40% - Accent3 4 10" xfId="11708"/>
    <cellStyle name="40% - Accent3 4 10 2" xfId="11709"/>
    <cellStyle name="40% - Accent3 4 11" xfId="11710"/>
    <cellStyle name="40% - Accent3 4 12" xfId="11711"/>
    <cellStyle name="40% - Accent3 4 13" xfId="35510"/>
    <cellStyle name="40% - Accent3 4 14" xfId="11707"/>
    <cellStyle name="40% - Accent3 4 2" xfId="11712"/>
    <cellStyle name="40% - Accent3 4 2 10" xfId="11713"/>
    <cellStyle name="40% - Accent3 4 2 11" xfId="11714"/>
    <cellStyle name="40% - Accent3 4 2 2" xfId="11715"/>
    <cellStyle name="40% - Accent3 4 2 2 10" xfId="11716"/>
    <cellStyle name="40% - Accent3 4 2 2 2" xfId="11717"/>
    <cellStyle name="40% - Accent3 4 2 2 2 2" xfId="11718"/>
    <cellStyle name="40% - Accent3 4 2 2 2 2 2" xfId="11719"/>
    <cellStyle name="40% - Accent3 4 2 2 2 2 2 2" xfId="11720"/>
    <cellStyle name="40% - Accent3 4 2 2 2 2 2 2 2" xfId="11721"/>
    <cellStyle name="40% - Accent3 4 2 2 2 2 2 3" xfId="11722"/>
    <cellStyle name="40% - Accent3 4 2 2 2 2 2 4" xfId="11723"/>
    <cellStyle name="40% - Accent3 4 2 2 2 2 3" xfId="11724"/>
    <cellStyle name="40% - Accent3 4 2 2 2 2 3 2" xfId="11725"/>
    <cellStyle name="40% - Accent3 4 2 2 2 2 4" xfId="11726"/>
    <cellStyle name="40% - Accent3 4 2 2 2 2 5" xfId="11727"/>
    <cellStyle name="40% - Accent3 4 2 2 2 3" xfId="11728"/>
    <cellStyle name="40% - Accent3 4 2 2 2 3 2" xfId="11729"/>
    <cellStyle name="40% - Accent3 4 2 2 2 3 2 2" xfId="11730"/>
    <cellStyle name="40% - Accent3 4 2 2 2 3 2 2 2" xfId="11731"/>
    <cellStyle name="40% - Accent3 4 2 2 2 3 2 3" xfId="11732"/>
    <cellStyle name="40% - Accent3 4 2 2 2 3 2 4" xfId="11733"/>
    <cellStyle name="40% - Accent3 4 2 2 2 3 3" xfId="11734"/>
    <cellStyle name="40% - Accent3 4 2 2 2 3 3 2" xfId="11735"/>
    <cellStyle name="40% - Accent3 4 2 2 2 3 4" xfId="11736"/>
    <cellStyle name="40% - Accent3 4 2 2 2 3 5" xfId="11737"/>
    <cellStyle name="40% - Accent3 4 2 2 2 4" xfId="11738"/>
    <cellStyle name="40% - Accent3 4 2 2 2 4 2" xfId="11739"/>
    <cellStyle name="40% - Accent3 4 2 2 2 4 2 2" xfId="11740"/>
    <cellStyle name="40% - Accent3 4 2 2 2 4 3" xfId="11741"/>
    <cellStyle name="40% - Accent3 4 2 2 2 4 4" xfId="11742"/>
    <cellStyle name="40% - Accent3 4 2 2 2 5" xfId="11743"/>
    <cellStyle name="40% - Accent3 4 2 2 2 5 2" xfId="11744"/>
    <cellStyle name="40% - Accent3 4 2 2 2 5 2 2" xfId="11745"/>
    <cellStyle name="40% - Accent3 4 2 2 2 5 3" xfId="11746"/>
    <cellStyle name="40% - Accent3 4 2 2 2 5 4" xfId="11747"/>
    <cellStyle name="40% - Accent3 4 2 2 2 6" xfId="11748"/>
    <cellStyle name="40% - Accent3 4 2 2 2 6 2" xfId="11749"/>
    <cellStyle name="40% - Accent3 4 2 2 2 6 2 2" xfId="11750"/>
    <cellStyle name="40% - Accent3 4 2 2 2 6 3" xfId="11751"/>
    <cellStyle name="40% - Accent3 4 2 2 2 6 4" xfId="11752"/>
    <cellStyle name="40% - Accent3 4 2 2 2 7" xfId="11753"/>
    <cellStyle name="40% - Accent3 4 2 2 2 7 2" xfId="11754"/>
    <cellStyle name="40% - Accent3 4 2 2 2 8" xfId="11755"/>
    <cellStyle name="40% - Accent3 4 2 2 2 9" xfId="11756"/>
    <cellStyle name="40% - Accent3 4 2 2 3" xfId="11757"/>
    <cellStyle name="40% - Accent3 4 2 2 3 2" xfId="11758"/>
    <cellStyle name="40% - Accent3 4 2 2 3 2 2" xfId="11759"/>
    <cellStyle name="40% - Accent3 4 2 2 3 2 2 2" xfId="11760"/>
    <cellStyle name="40% - Accent3 4 2 2 3 2 3" xfId="11761"/>
    <cellStyle name="40% - Accent3 4 2 2 3 2 4" xfId="11762"/>
    <cellStyle name="40% - Accent3 4 2 2 3 3" xfId="11763"/>
    <cellStyle name="40% - Accent3 4 2 2 3 3 2" xfId="11764"/>
    <cellStyle name="40% - Accent3 4 2 2 3 4" xfId="11765"/>
    <cellStyle name="40% - Accent3 4 2 2 3 5" xfId="11766"/>
    <cellStyle name="40% - Accent3 4 2 2 4" xfId="11767"/>
    <cellStyle name="40% - Accent3 4 2 2 4 2" xfId="11768"/>
    <cellStyle name="40% - Accent3 4 2 2 4 2 2" xfId="11769"/>
    <cellStyle name="40% - Accent3 4 2 2 4 2 2 2" xfId="11770"/>
    <cellStyle name="40% - Accent3 4 2 2 4 2 3" xfId="11771"/>
    <cellStyle name="40% - Accent3 4 2 2 4 2 4" xfId="11772"/>
    <cellStyle name="40% - Accent3 4 2 2 4 3" xfId="11773"/>
    <cellStyle name="40% - Accent3 4 2 2 4 3 2" xfId="11774"/>
    <cellStyle name="40% - Accent3 4 2 2 4 4" xfId="11775"/>
    <cellStyle name="40% - Accent3 4 2 2 4 5" xfId="11776"/>
    <cellStyle name="40% - Accent3 4 2 2 5" xfId="11777"/>
    <cellStyle name="40% - Accent3 4 2 2 5 2" xfId="11778"/>
    <cellStyle name="40% - Accent3 4 2 2 5 2 2" xfId="11779"/>
    <cellStyle name="40% - Accent3 4 2 2 5 3" xfId="11780"/>
    <cellStyle name="40% - Accent3 4 2 2 5 4" xfId="11781"/>
    <cellStyle name="40% - Accent3 4 2 2 6" xfId="11782"/>
    <cellStyle name="40% - Accent3 4 2 2 6 2" xfId="11783"/>
    <cellStyle name="40% - Accent3 4 2 2 6 2 2" xfId="11784"/>
    <cellStyle name="40% - Accent3 4 2 2 6 3" xfId="11785"/>
    <cellStyle name="40% - Accent3 4 2 2 6 4" xfId="11786"/>
    <cellStyle name="40% - Accent3 4 2 2 7" xfId="11787"/>
    <cellStyle name="40% - Accent3 4 2 2 7 2" xfId="11788"/>
    <cellStyle name="40% - Accent3 4 2 2 7 2 2" xfId="11789"/>
    <cellStyle name="40% - Accent3 4 2 2 7 3" xfId="11790"/>
    <cellStyle name="40% - Accent3 4 2 2 7 4" xfId="11791"/>
    <cellStyle name="40% - Accent3 4 2 2 8" xfId="11792"/>
    <cellStyle name="40% - Accent3 4 2 2 8 2" xfId="11793"/>
    <cellStyle name="40% - Accent3 4 2 2 9" xfId="11794"/>
    <cellStyle name="40% - Accent3 4 2 3" xfId="11795"/>
    <cellStyle name="40% - Accent3 4 2 3 2" xfId="11796"/>
    <cellStyle name="40% - Accent3 4 2 3 2 2" xfId="11797"/>
    <cellStyle name="40% - Accent3 4 2 3 2 2 2" xfId="11798"/>
    <cellStyle name="40% - Accent3 4 2 3 2 2 2 2" xfId="11799"/>
    <cellStyle name="40% - Accent3 4 2 3 2 2 3" xfId="11800"/>
    <cellStyle name="40% - Accent3 4 2 3 2 2 4" xfId="11801"/>
    <cellStyle name="40% - Accent3 4 2 3 2 3" xfId="11802"/>
    <cellStyle name="40% - Accent3 4 2 3 2 3 2" xfId="11803"/>
    <cellStyle name="40% - Accent3 4 2 3 2 4" xfId="11804"/>
    <cellStyle name="40% - Accent3 4 2 3 2 5" xfId="11805"/>
    <cellStyle name="40% - Accent3 4 2 3 3" xfId="11806"/>
    <cellStyle name="40% - Accent3 4 2 3 3 2" xfId="11807"/>
    <cellStyle name="40% - Accent3 4 2 3 3 2 2" xfId="11808"/>
    <cellStyle name="40% - Accent3 4 2 3 3 2 2 2" xfId="11809"/>
    <cellStyle name="40% - Accent3 4 2 3 3 2 3" xfId="11810"/>
    <cellStyle name="40% - Accent3 4 2 3 3 2 4" xfId="11811"/>
    <cellStyle name="40% - Accent3 4 2 3 3 3" xfId="11812"/>
    <cellStyle name="40% - Accent3 4 2 3 3 3 2" xfId="11813"/>
    <cellStyle name="40% - Accent3 4 2 3 3 4" xfId="11814"/>
    <cellStyle name="40% - Accent3 4 2 3 3 5" xfId="11815"/>
    <cellStyle name="40% - Accent3 4 2 3 4" xfId="11816"/>
    <cellStyle name="40% - Accent3 4 2 3 4 2" xfId="11817"/>
    <cellStyle name="40% - Accent3 4 2 3 4 2 2" xfId="11818"/>
    <cellStyle name="40% - Accent3 4 2 3 4 3" xfId="11819"/>
    <cellStyle name="40% - Accent3 4 2 3 4 4" xfId="11820"/>
    <cellStyle name="40% - Accent3 4 2 3 5" xfId="11821"/>
    <cellStyle name="40% - Accent3 4 2 3 5 2" xfId="11822"/>
    <cellStyle name="40% - Accent3 4 2 3 5 2 2" xfId="11823"/>
    <cellStyle name="40% - Accent3 4 2 3 5 3" xfId="11824"/>
    <cellStyle name="40% - Accent3 4 2 3 5 4" xfId="11825"/>
    <cellStyle name="40% - Accent3 4 2 3 6" xfId="11826"/>
    <cellStyle name="40% - Accent3 4 2 3 6 2" xfId="11827"/>
    <cellStyle name="40% - Accent3 4 2 3 6 2 2" xfId="11828"/>
    <cellStyle name="40% - Accent3 4 2 3 6 3" xfId="11829"/>
    <cellStyle name="40% - Accent3 4 2 3 6 4" xfId="11830"/>
    <cellStyle name="40% - Accent3 4 2 3 7" xfId="11831"/>
    <cellStyle name="40% - Accent3 4 2 3 7 2" xfId="11832"/>
    <cellStyle name="40% - Accent3 4 2 3 8" xfId="11833"/>
    <cellStyle name="40% - Accent3 4 2 3 9" xfId="11834"/>
    <cellStyle name="40% - Accent3 4 2 4" xfId="11835"/>
    <cellStyle name="40% - Accent3 4 2 4 2" xfId="11836"/>
    <cellStyle name="40% - Accent3 4 2 4 2 2" xfId="11837"/>
    <cellStyle name="40% - Accent3 4 2 4 2 2 2" xfId="11838"/>
    <cellStyle name="40% - Accent3 4 2 4 2 3" xfId="11839"/>
    <cellStyle name="40% - Accent3 4 2 4 2 4" xfId="11840"/>
    <cellStyle name="40% - Accent3 4 2 4 3" xfId="11841"/>
    <cellStyle name="40% - Accent3 4 2 4 3 2" xfId="11842"/>
    <cellStyle name="40% - Accent3 4 2 4 4" xfId="11843"/>
    <cellStyle name="40% - Accent3 4 2 4 5" xfId="11844"/>
    <cellStyle name="40% - Accent3 4 2 5" xfId="11845"/>
    <cellStyle name="40% - Accent3 4 2 5 2" xfId="11846"/>
    <cellStyle name="40% - Accent3 4 2 5 2 2" xfId="11847"/>
    <cellStyle name="40% - Accent3 4 2 5 2 2 2" xfId="11848"/>
    <cellStyle name="40% - Accent3 4 2 5 2 3" xfId="11849"/>
    <cellStyle name="40% - Accent3 4 2 5 2 4" xfId="11850"/>
    <cellStyle name="40% - Accent3 4 2 5 3" xfId="11851"/>
    <cellStyle name="40% - Accent3 4 2 5 3 2" xfId="11852"/>
    <cellStyle name="40% - Accent3 4 2 5 4" xfId="11853"/>
    <cellStyle name="40% - Accent3 4 2 5 5" xfId="11854"/>
    <cellStyle name="40% - Accent3 4 2 6" xfId="11855"/>
    <cellStyle name="40% - Accent3 4 2 6 2" xfId="11856"/>
    <cellStyle name="40% - Accent3 4 2 6 2 2" xfId="11857"/>
    <cellStyle name="40% - Accent3 4 2 6 3" xfId="11858"/>
    <cellStyle name="40% - Accent3 4 2 6 4" xfId="11859"/>
    <cellStyle name="40% - Accent3 4 2 7" xfId="11860"/>
    <cellStyle name="40% - Accent3 4 2 7 2" xfId="11861"/>
    <cellStyle name="40% - Accent3 4 2 7 2 2" xfId="11862"/>
    <cellStyle name="40% - Accent3 4 2 7 3" xfId="11863"/>
    <cellStyle name="40% - Accent3 4 2 7 4" xfId="11864"/>
    <cellStyle name="40% - Accent3 4 2 8" xfId="11865"/>
    <cellStyle name="40% - Accent3 4 2 8 2" xfId="11866"/>
    <cellStyle name="40% - Accent3 4 2 8 2 2" xfId="11867"/>
    <cellStyle name="40% - Accent3 4 2 8 3" xfId="11868"/>
    <cellStyle name="40% - Accent3 4 2 8 4" xfId="11869"/>
    <cellStyle name="40% - Accent3 4 2 9" xfId="11870"/>
    <cellStyle name="40% - Accent3 4 2 9 2" xfId="11871"/>
    <cellStyle name="40% - Accent3 4 3" xfId="11872"/>
    <cellStyle name="40% - Accent3 4 3 10" xfId="11873"/>
    <cellStyle name="40% - Accent3 4 3 2" xfId="11874"/>
    <cellStyle name="40% - Accent3 4 3 2 2" xfId="11875"/>
    <cellStyle name="40% - Accent3 4 3 2 2 2" xfId="11876"/>
    <cellStyle name="40% - Accent3 4 3 2 2 2 2" xfId="11877"/>
    <cellStyle name="40% - Accent3 4 3 2 2 2 2 2" xfId="11878"/>
    <cellStyle name="40% - Accent3 4 3 2 2 2 3" xfId="11879"/>
    <cellStyle name="40% - Accent3 4 3 2 2 2 4" xfId="11880"/>
    <cellStyle name="40% - Accent3 4 3 2 2 3" xfId="11881"/>
    <cellStyle name="40% - Accent3 4 3 2 2 3 2" xfId="11882"/>
    <cellStyle name="40% - Accent3 4 3 2 2 4" xfId="11883"/>
    <cellStyle name="40% - Accent3 4 3 2 2 5" xfId="11884"/>
    <cellStyle name="40% - Accent3 4 3 2 3" xfId="11885"/>
    <cellStyle name="40% - Accent3 4 3 2 3 2" xfId="11886"/>
    <cellStyle name="40% - Accent3 4 3 2 3 2 2" xfId="11887"/>
    <cellStyle name="40% - Accent3 4 3 2 3 2 2 2" xfId="11888"/>
    <cellStyle name="40% - Accent3 4 3 2 3 2 3" xfId="11889"/>
    <cellStyle name="40% - Accent3 4 3 2 3 2 4" xfId="11890"/>
    <cellStyle name="40% - Accent3 4 3 2 3 3" xfId="11891"/>
    <cellStyle name="40% - Accent3 4 3 2 3 3 2" xfId="11892"/>
    <cellStyle name="40% - Accent3 4 3 2 3 4" xfId="11893"/>
    <cellStyle name="40% - Accent3 4 3 2 3 5" xfId="11894"/>
    <cellStyle name="40% - Accent3 4 3 2 4" xfId="11895"/>
    <cellStyle name="40% - Accent3 4 3 2 4 2" xfId="11896"/>
    <cellStyle name="40% - Accent3 4 3 2 4 2 2" xfId="11897"/>
    <cellStyle name="40% - Accent3 4 3 2 4 3" xfId="11898"/>
    <cellStyle name="40% - Accent3 4 3 2 4 4" xfId="11899"/>
    <cellStyle name="40% - Accent3 4 3 2 5" xfId="11900"/>
    <cellStyle name="40% - Accent3 4 3 2 5 2" xfId="11901"/>
    <cellStyle name="40% - Accent3 4 3 2 5 2 2" xfId="11902"/>
    <cellStyle name="40% - Accent3 4 3 2 5 3" xfId="11903"/>
    <cellStyle name="40% - Accent3 4 3 2 5 4" xfId="11904"/>
    <cellStyle name="40% - Accent3 4 3 2 6" xfId="11905"/>
    <cellStyle name="40% - Accent3 4 3 2 6 2" xfId="11906"/>
    <cellStyle name="40% - Accent3 4 3 2 6 2 2" xfId="11907"/>
    <cellStyle name="40% - Accent3 4 3 2 6 3" xfId="11908"/>
    <cellStyle name="40% - Accent3 4 3 2 6 4" xfId="11909"/>
    <cellStyle name="40% - Accent3 4 3 2 7" xfId="11910"/>
    <cellStyle name="40% - Accent3 4 3 2 7 2" xfId="11911"/>
    <cellStyle name="40% - Accent3 4 3 2 8" xfId="11912"/>
    <cellStyle name="40% - Accent3 4 3 2 9" xfId="11913"/>
    <cellStyle name="40% - Accent3 4 3 3" xfId="11914"/>
    <cellStyle name="40% - Accent3 4 3 3 2" xfId="11915"/>
    <cellStyle name="40% - Accent3 4 3 3 2 2" xfId="11916"/>
    <cellStyle name="40% - Accent3 4 3 3 2 2 2" xfId="11917"/>
    <cellStyle name="40% - Accent3 4 3 3 2 3" xfId="11918"/>
    <cellStyle name="40% - Accent3 4 3 3 2 4" xfId="11919"/>
    <cellStyle name="40% - Accent3 4 3 3 3" xfId="11920"/>
    <cellStyle name="40% - Accent3 4 3 3 3 2" xfId="11921"/>
    <cellStyle name="40% - Accent3 4 3 3 4" xfId="11922"/>
    <cellStyle name="40% - Accent3 4 3 3 5" xfId="11923"/>
    <cellStyle name="40% - Accent3 4 3 4" xfId="11924"/>
    <cellStyle name="40% - Accent3 4 3 4 2" xfId="11925"/>
    <cellStyle name="40% - Accent3 4 3 4 2 2" xfId="11926"/>
    <cellStyle name="40% - Accent3 4 3 4 2 2 2" xfId="11927"/>
    <cellStyle name="40% - Accent3 4 3 4 2 3" xfId="11928"/>
    <cellStyle name="40% - Accent3 4 3 4 2 4" xfId="11929"/>
    <cellStyle name="40% - Accent3 4 3 4 3" xfId="11930"/>
    <cellStyle name="40% - Accent3 4 3 4 3 2" xfId="11931"/>
    <cellStyle name="40% - Accent3 4 3 4 4" xfId="11932"/>
    <cellStyle name="40% - Accent3 4 3 4 5" xfId="11933"/>
    <cellStyle name="40% - Accent3 4 3 5" xfId="11934"/>
    <cellStyle name="40% - Accent3 4 3 5 2" xfId="11935"/>
    <cellStyle name="40% - Accent3 4 3 5 2 2" xfId="11936"/>
    <cellStyle name="40% - Accent3 4 3 5 3" xfId="11937"/>
    <cellStyle name="40% - Accent3 4 3 5 4" xfId="11938"/>
    <cellStyle name="40% - Accent3 4 3 6" xfId="11939"/>
    <cellStyle name="40% - Accent3 4 3 6 2" xfId="11940"/>
    <cellStyle name="40% - Accent3 4 3 6 2 2" xfId="11941"/>
    <cellStyle name="40% - Accent3 4 3 6 3" xfId="11942"/>
    <cellStyle name="40% - Accent3 4 3 6 4" xfId="11943"/>
    <cellStyle name="40% - Accent3 4 3 7" xfId="11944"/>
    <cellStyle name="40% - Accent3 4 3 7 2" xfId="11945"/>
    <cellStyle name="40% - Accent3 4 3 7 2 2" xfId="11946"/>
    <cellStyle name="40% - Accent3 4 3 7 3" xfId="11947"/>
    <cellStyle name="40% - Accent3 4 3 7 4" xfId="11948"/>
    <cellStyle name="40% - Accent3 4 3 8" xfId="11949"/>
    <cellStyle name="40% - Accent3 4 3 8 2" xfId="11950"/>
    <cellStyle name="40% - Accent3 4 3 9" xfId="11951"/>
    <cellStyle name="40% - Accent3 4 4" xfId="11952"/>
    <cellStyle name="40% - Accent3 4 4 2" xfId="11953"/>
    <cellStyle name="40% - Accent3 4 4 2 2" xfId="11954"/>
    <cellStyle name="40% - Accent3 4 4 2 2 2" xfId="11955"/>
    <cellStyle name="40% - Accent3 4 4 2 2 2 2" xfId="11956"/>
    <cellStyle name="40% - Accent3 4 4 2 2 3" xfId="11957"/>
    <cellStyle name="40% - Accent3 4 4 2 2 4" xfId="11958"/>
    <cellStyle name="40% - Accent3 4 4 2 3" xfId="11959"/>
    <cellStyle name="40% - Accent3 4 4 2 3 2" xfId="11960"/>
    <cellStyle name="40% - Accent3 4 4 2 4" xfId="11961"/>
    <cellStyle name="40% - Accent3 4 4 2 5" xfId="11962"/>
    <cellStyle name="40% - Accent3 4 4 3" xfId="11963"/>
    <cellStyle name="40% - Accent3 4 4 3 2" xfId="11964"/>
    <cellStyle name="40% - Accent3 4 4 3 2 2" xfId="11965"/>
    <cellStyle name="40% - Accent3 4 4 3 2 2 2" xfId="11966"/>
    <cellStyle name="40% - Accent3 4 4 3 2 3" xfId="11967"/>
    <cellStyle name="40% - Accent3 4 4 3 2 4" xfId="11968"/>
    <cellStyle name="40% - Accent3 4 4 3 3" xfId="11969"/>
    <cellStyle name="40% - Accent3 4 4 3 3 2" xfId="11970"/>
    <cellStyle name="40% - Accent3 4 4 3 4" xfId="11971"/>
    <cellStyle name="40% - Accent3 4 4 3 5" xfId="11972"/>
    <cellStyle name="40% - Accent3 4 4 4" xfId="11973"/>
    <cellStyle name="40% - Accent3 4 4 4 2" xfId="11974"/>
    <cellStyle name="40% - Accent3 4 4 4 2 2" xfId="11975"/>
    <cellStyle name="40% - Accent3 4 4 4 3" xfId="11976"/>
    <cellStyle name="40% - Accent3 4 4 4 4" xfId="11977"/>
    <cellStyle name="40% - Accent3 4 4 5" xfId="11978"/>
    <cellStyle name="40% - Accent3 4 4 5 2" xfId="11979"/>
    <cellStyle name="40% - Accent3 4 4 5 2 2" xfId="11980"/>
    <cellStyle name="40% - Accent3 4 4 5 3" xfId="11981"/>
    <cellStyle name="40% - Accent3 4 4 5 4" xfId="11982"/>
    <cellStyle name="40% - Accent3 4 4 6" xfId="11983"/>
    <cellStyle name="40% - Accent3 4 4 6 2" xfId="11984"/>
    <cellStyle name="40% - Accent3 4 4 6 2 2" xfId="11985"/>
    <cellStyle name="40% - Accent3 4 4 6 3" xfId="11986"/>
    <cellStyle name="40% - Accent3 4 4 6 4" xfId="11987"/>
    <cellStyle name="40% - Accent3 4 4 7" xfId="11988"/>
    <cellStyle name="40% - Accent3 4 4 7 2" xfId="11989"/>
    <cellStyle name="40% - Accent3 4 4 8" xfId="11990"/>
    <cellStyle name="40% - Accent3 4 4 9" xfId="11991"/>
    <cellStyle name="40% - Accent3 4 5" xfId="11992"/>
    <cellStyle name="40% - Accent3 4 5 2" xfId="11993"/>
    <cellStyle name="40% - Accent3 4 5 2 2" xfId="11994"/>
    <cellStyle name="40% - Accent3 4 5 2 2 2" xfId="11995"/>
    <cellStyle name="40% - Accent3 4 5 2 3" xfId="11996"/>
    <cellStyle name="40% - Accent3 4 5 2 4" xfId="11997"/>
    <cellStyle name="40% - Accent3 4 5 3" xfId="11998"/>
    <cellStyle name="40% - Accent3 4 5 4" xfId="11999"/>
    <cellStyle name="40% - Accent3 4 5 4 2" xfId="12000"/>
    <cellStyle name="40% - Accent3 4 5 5" xfId="12001"/>
    <cellStyle name="40% - Accent3 4 5 6" xfId="12002"/>
    <cellStyle name="40% - Accent3 4 6" xfId="12003"/>
    <cellStyle name="40% - Accent3 4 6 2" xfId="12004"/>
    <cellStyle name="40% - Accent3 4 6 2 2" xfId="12005"/>
    <cellStyle name="40% - Accent3 4 6 2 2 2" xfId="12006"/>
    <cellStyle name="40% - Accent3 4 6 2 3" xfId="12007"/>
    <cellStyle name="40% - Accent3 4 6 2 4" xfId="12008"/>
    <cellStyle name="40% - Accent3 4 6 3" xfId="12009"/>
    <cellStyle name="40% - Accent3 4 6 3 2" xfId="12010"/>
    <cellStyle name="40% - Accent3 4 6 3 2 2" xfId="12011"/>
    <cellStyle name="40% - Accent3 4 6 3 3" xfId="12012"/>
    <cellStyle name="40% - Accent3 4 6 3 4" xfId="12013"/>
    <cellStyle name="40% - Accent3 4 6 4" xfId="12014"/>
    <cellStyle name="40% - Accent3 4 6 4 2" xfId="12015"/>
    <cellStyle name="40% - Accent3 4 6 5" xfId="12016"/>
    <cellStyle name="40% - Accent3 4 6 6" xfId="12017"/>
    <cellStyle name="40% - Accent3 4 7" xfId="12018"/>
    <cellStyle name="40% - Accent3 4 7 2" xfId="12019"/>
    <cellStyle name="40% - Accent3 4 7 2 2" xfId="12020"/>
    <cellStyle name="40% - Accent3 4 7 3" xfId="12021"/>
    <cellStyle name="40% - Accent3 4 7 4" xfId="12022"/>
    <cellStyle name="40% - Accent3 4 8" xfId="12023"/>
    <cellStyle name="40% - Accent3 4 8 2" xfId="12024"/>
    <cellStyle name="40% - Accent3 4 8 2 2" xfId="12025"/>
    <cellStyle name="40% - Accent3 4 8 3" xfId="12026"/>
    <cellStyle name="40% - Accent3 4 8 4" xfId="12027"/>
    <cellStyle name="40% - Accent3 4 9" xfId="12028"/>
    <cellStyle name="40% - Accent3 4 9 2" xfId="12029"/>
    <cellStyle name="40% - Accent3 4 9 2 2" xfId="12030"/>
    <cellStyle name="40% - Accent3 4 9 3" xfId="12031"/>
    <cellStyle name="40% - Accent3 4 9 4" xfId="12032"/>
    <cellStyle name="40% - Accent3 5" xfId="12033"/>
    <cellStyle name="40% - Accent3 5 10" xfId="12034"/>
    <cellStyle name="40% - Accent3 5 10 2" xfId="12035"/>
    <cellStyle name="40% - Accent3 5 11" xfId="12036"/>
    <cellStyle name="40% - Accent3 5 12" xfId="12037"/>
    <cellStyle name="40% - Accent3 5 2" xfId="12038"/>
    <cellStyle name="40% - Accent3 5 2 10" xfId="12039"/>
    <cellStyle name="40% - Accent3 5 2 11" xfId="12040"/>
    <cellStyle name="40% - Accent3 5 2 2" xfId="12041"/>
    <cellStyle name="40% - Accent3 5 2 2 10" xfId="12042"/>
    <cellStyle name="40% - Accent3 5 2 2 2" xfId="12043"/>
    <cellStyle name="40% - Accent3 5 2 2 2 2" xfId="12044"/>
    <cellStyle name="40% - Accent3 5 2 2 2 2 2" xfId="12045"/>
    <cellStyle name="40% - Accent3 5 2 2 2 2 2 2" xfId="12046"/>
    <cellStyle name="40% - Accent3 5 2 2 2 2 2 2 2" xfId="12047"/>
    <cellStyle name="40% - Accent3 5 2 2 2 2 2 3" xfId="12048"/>
    <cellStyle name="40% - Accent3 5 2 2 2 2 2 4" xfId="12049"/>
    <cellStyle name="40% - Accent3 5 2 2 2 2 3" xfId="12050"/>
    <cellStyle name="40% - Accent3 5 2 2 2 2 3 2" xfId="12051"/>
    <cellStyle name="40% - Accent3 5 2 2 2 2 4" xfId="12052"/>
    <cellStyle name="40% - Accent3 5 2 2 2 2 5" xfId="12053"/>
    <cellStyle name="40% - Accent3 5 2 2 2 3" xfId="12054"/>
    <cellStyle name="40% - Accent3 5 2 2 2 3 2" xfId="12055"/>
    <cellStyle name="40% - Accent3 5 2 2 2 3 2 2" xfId="12056"/>
    <cellStyle name="40% - Accent3 5 2 2 2 3 2 2 2" xfId="12057"/>
    <cellStyle name="40% - Accent3 5 2 2 2 3 2 3" xfId="12058"/>
    <cellStyle name="40% - Accent3 5 2 2 2 3 2 4" xfId="12059"/>
    <cellStyle name="40% - Accent3 5 2 2 2 3 3" xfId="12060"/>
    <cellStyle name="40% - Accent3 5 2 2 2 3 3 2" xfId="12061"/>
    <cellStyle name="40% - Accent3 5 2 2 2 3 4" xfId="12062"/>
    <cellStyle name="40% - Accent3 5 2 2 2 3 5" xfId="12063"/>
    <cellStyle name="40% - Accent3 5 2 2 2 4" xfId="12064"/>
    <cellStyle name="40% - Accent3 5 2 2 2 4 2" xfId="12065"/>
    <cellStyle name="40% - Accent3 5 2 2 2 4 2 2" xfId="12066"/>
    <cellStyle name="40% - Accent3 5 2 2 2 4 3" xfId="12067"/>
    <cellStyle name="40% - Accent3 5 2 2 2 4 4" xfId="12068"/>
    <cellStyle name="40% - Accent3 5 2 2 2 5" xfId="12069"/>
    <cellStyle name="40% - Accent3 5 2 2 2 5 2" xfId="12070"/>
    <cellStyle name="40% - Accent3 5 2 2 2 5 2 2" xfId="12071"/>
    <cellStyle name="40% - Accent3 5 2 2 2 5 3" xfId="12072"/>
    <cellStyle name="40% - Accent3 5 2 2 2 5 4" xfId="12073"/>
    <cellStyle name="40% - Accent3 5 2 2 2 6" xfId="12074"/>
    <cellStyle name="40% - Accent3 5 2 2 2 6 2" xfId="12075"/>
    <cellStyle name="40% - Accent3 5 2 2 2 6 2 2" xfId="12076"/>
    <cellStyle name="40% - Accent3 5 2 2 2 6 3" xfId="12077"/>
    <cellStyle name="40% - Accent3 5 2 2 2 6 4" xfId="12078"/>
    <cellStyle name="40% - Accent3 5 2 2 2 7" xfId="12079"/>
    <cellStyle name="40% - Accent3 5 2 2 2 7 2" xfId="12080"/>
    <cellStyle name="40% - Accent3 5 2 2 2 8" xfId="12081"/>
    <cellStyle name="40% - Accent3 5 2 2 2 9" xfId="12082"/>
    <cellStyle name="40% - Accent3 5 2 2 3" xfId="12083"/>
    <cellStyle name="40% - Accent3 5 2 2 3 2" xfId="12084"/>
    <cellStyle name="40% - Accent3 5 2 2 3 2 2" xfId="12085"/>
    <cellStyle name="40% - Accent3 5 2 2 3 2 2 2" xfId="12086"/>
    <cellStyle name="40% - Accent3 5 2 2 3 2 3" xfId="12087"/>
    <cellStyle name="40% - Accent3 5 2 2 3 2 4" xfId="12088"/>
    <cellStyle name="40% - Accent3 5 2 2 3 3" xfId="12089"/>
    <cellStyle name="40% - Accent3 5 2 2 3 3 2" xfId="12090"/>
    <cellStyle name="40% - Accent3 5 2 2 3 4" xfId="12091"/>
    <cellStyle name="40% - Accent3 5 2 2 3 5" xfId="12092"/>
    <cellStyle name="40% - Accent3 5 2 2 4" xfId="12093"/>
    <cellStyle name="40% - Accent3 5 2 2 4 2" xfId="12094"/>
    <cellStyle name="40% - Accent3 5 2 2 4 2 2" xfId="12095"/>
    <cellStyle name="40% - Accent3 5 2 2 4 2 2 2" xfId="12096"/>
    <cellStyle name="40% - Accent3 5 2 2 4 2 3" xfId="12097"/>
    <cellStyle name="40% - Accent3 5 2 2 4 2 4" xfId="12098"/>
    <cellStyle name="40% - Accent3 5 2 2 4 3" xfId="12099"/>
    <cellStyle name="40% - Accent3 5 2 2 4 3 2" xfId="12100"/>
    <cellStyle name="40% - Accent3 5 2 2 4 4" xfId="12101"/>
    <cellStyle name="40% - Accent3 5 2 2 4 5" xfId="12102"/>
    <cellStyle name="40% - Accent3 5 2 2 5" xfId="12103"/>
    <cellStyle name="40% - Accent3 5 2 2 5 2" xfId="12104"/>
    <cellStyle name="40% - Accent3 5 2 2 5 2 2" xfId="12105"/>
    <cellStyle name="40% - Accent3 5 2 2 5 3" xfId="12106"/>
    <cellStyle name="40% - Accent3 5 2 2 5 4" xfId="12107"/>
    <cellStyle name="40% - Accent3 5 2 2 6" xfId="12108"/>
    <cellStyle name="40% - Accent3 5 2 2 6 2" xfId="12109"/>
    <cellStyle name="40% - Accent3 5 2 2 6 2 2" xfId="12110"/>
    <cellStyle name="40% - Accent3 5 2 2 6 3" xfId="12111"/>
    <cellStyle name="40% - Accent3 5 2 2 6 4" xfId="12112"/>
    <cellStyle name="40% - Accent3 5 2 2 7" xfId="12113"/>
    <cellStyle name="40% - Accent3 5 2 2 7 2" xfId="12114"/>
    <cellStyle name="40% - Accent3 5 2 2 7 2 2" xfId="12115"/>
    <cellStyle name="40% - Accent3 5 2 2 7 3" xfId="12116"/>
    <cellStyle name="40% - Accent3 5 2 2 7 4" xfId="12117"/>
    <cellStyle name="40% - Accent3 5 2 2 8" xfId="12118"/>
    <cellStyle name="40% - Accent3 5 2 2 8 2" xfId="12119"/>
    <cellStyle name="40% - Accent3 5 2 2 9" xfId="12120"/>
    <cellStyle name="40% - Accent3 5 2 3" xfId="12121"/>
    <cellStyle name="40% - Accent3 5 2 3 2" xfId="12122"/>
    <cellStyle name="40% - Accent3 5 2 3 2 2" xfId="12123"/>
    <cellStyle name="40% - Accent3 5 2 3 2 2 2" xfId="12124"/>
    <cellStyle name="40% - Accent3 5 2 3 2 2 2 2" xfId="12125"/>
    <cellStyle name="40% - Accent3 5 2 3 2 2 3" xfId="12126"/>
    <cellStyle name="40% - Accent3 5 2 3 2 2 4" xfId="12127"/>
    <cellStyle name="40% - Accent3 5 2 3 2 3" xfId="12128"/>
    <cellStyle name="40% - Accent3 5 2 3 2 3 2" xfId="12129"/>
    <cellStyle name="40% - Accent3 5 2 3 2 4" xfId="12130"/>
    <cellStyle name="40% - Accent3 5 2 3 2 5" xfId="12131"/>
    <cellStyle name="40% - Accent3 5 2 3 3" xfId="12132"/>
    <cellStyle name="40% - Accent3 5 2 3 3 2" xfId="12133"/>
    <cellStyle name="40% - Accent3 5 2 3 3 2 2" xfId="12134"/>
    <cellStyle name="40% - Accent3 5 2 3 3 2 2 2" xfId="12135"/>
    <cellStyle name="40% - Accent3 5 2 3 3 2 3" xfId="12136"/>
    <cellStyle name="40% - Accent3 5 2 3 3 2 4" xfId="12137"/>
    <cellStyle name="40% - Accent3 5 2 3 3 3" xfId="12138"/>
    <cellStyle name="40% - Accent3 5 2 3 3 3 2" xfId="12139"/>
    <cellStyle name="40% - Accent3 5 2 3 3 4" xfId="12140"/>
    <cellStyle name="40% - Accent3 5 2 3 3 5" xfId="12141"/>
    <cellStyle name="40% - Accent3 5 2 3 4" xfId="12142"/>
    <cellStyle name="40% - Accent3 5 2 3 4 2" xfId="12143"/>
    <cellStyle name="40% - Accent3 5 2 3 4 2 2" xfId="12144"/>
    <cellStyle name="40% - Accent3 5 2 3 4 3" xfId="12145"/>
    <cellStyle name="40% - Accent3 5 2 3 4 4" xfId="12146"/>
    <cellStyle name="40% - Accent3 5 2 3 5" xfId="12147"/>
    <cellStyle name="40% - Accent3 5 2 3 5 2" xfId="12148"/>
    <cellStyle name="40% - Accent3 5 2 3 5 2 2" xfId="12149"/>
    <cellStyle name="40% - Accent3 5 2 3 5 3" xfId="12150"/>
    <cellStyle name="40% - Accent3 5 2 3 5 4" xfId="12151"/>
    <cellStyle name="40% - Accent3 5 2 3 6" xfId="12152"/>
    <cellStyle name="40% - Accent3 5 2 3 6 2" xfId="12153"/>
    <cellStyle name="40% - Accent3 5 2 3 6 2 2" xfId="12154"/>
    <cellStyle name="40% - Accent3 5 2 3 6 3" xfId="12155"/>
    <cellStyle name="40% - Accent3 5 2 3 6 4" xfId="12156"/>
    <cellStyle name="40% - Accent3 5 2 3 7" xfId="12157"/>
    <cellStyle name="40% - Accent3 5 2 3 7 2" xfId="12158"/>
    <cellStyle name="40% - Accent3 5 2 3 8" xfId="12159"/>
    <cellStyle name="40% - Accent3 5 2 3 9" xfId="12160"/>
    <cellStyle name="40% - Accent3 5 2 4" xfId="12161"/>
    <cellStyle name="40% - Accent3 5 2 4 2" xfId="12162"/>
    <cellStyle name="40% - Accent3 5 2 4 2 2" xfId="12163"/>
    <cellStyle name="40% - Accent3 5 2 4 2 2 2" xfId="12164"/>
    <cellStyle name="40% - Accent3 5 2 4 2 3" xfId="12165"/>
    <cellStyle name="40% - Accent3 5 2 4 2 4" xfId="12166"/>
    <cellStyle name="40% - Accent3 5 2 4 3" xfId="12167"/>
    <cellStyle name="40% - Accent3 5 2 4 3 2" xfId="12168"/>
    <cellStyle name="40% - Accent3 5 2 4 4" xfId="12169"/>
    <cellStyle name="40% - Accent3 5 2 4 5" xfId="12170"/>
    <cellStyle name="40% - Accent3 5 2 5" xfId="12171"/>
    <cellStyle name="40% - Accent3 5 2 5 2" xfId="12172"/>
    <cellStyle name="40% - Accent3 5 2 5 2 2" xfId="12173"/>
    <cellStyle name="40% - Accent3 5 2 5 2 2 2" xfId="12174"/>
    <cellStyle name="40% - Accent3 5 2 5 2 3" xfId="12175"/>
    <cellStyle name="40% - Accent3 5 2 5 2 4" xfId="12176"/>
    <cellStyle name="40% - Accent3 5 2 5 3" xfId="12177"/>
    <cellStyle name="40% - Accent3 5 2 5 3 2" xfId="12178"/>
    <cellStyle name="40% - Accent3 5 2 5 4" xfId="12179"/>
    <cellStyle name="40% - Accent3 5 2 5 5" xfId="12180"/>
    <cellStyle name="40% - Accent3 5 2 6" xfId="12181"/>
    <cellStyle name="40% - Accent3 5 2 6 2" xfId="12182"/>
    <cellStyle name="40% - Accent3 5 2 6 2 2" xfId="12183"/>
    <cellStyle name="40% - Accent3 5 2 6 3" xfId="12184"/>
    <cellStyle name="40% - Accent3 5 2 6 4" xfId="12185"/>
    <cellStyle name="40% - Accent3 5 2 7" xfId="12186"/>
    <cellStyle name="40% - Accent3 5 2 7 2" xfId="12187"/>
    <cellStyle name="40% - Accent3 5 2 7 2 2" xfId="12188"/>
    <cellStyle name="40% - Accent3 5 2 7 3" xfId="12189"/>
    <cellStyle name="40% - Accent3 5 2 7 4" xfId="12190"/>
    <cellStyle name="40% - Accent3 5 2 8" xfId="12191"/>
    <cellStyle name="40% - Accent3 5 2 8 2" xfId="12192"/>
    <cellStyle name="40% - Accent3 5 2 8 2 2" xfId="12193"/>
    <cellStyle name="40% - Accent3 5 2 8 3" xfId="12194"/>
    <cellStyle name="40% - Accent3 5 2 8 4" xfId="12195"/>
    <cellStyle name="40% - Accent3 5 2 9" xfId="12196"/>
    <cellStyle name="40% - Accent3 5 2 9 2" xfId="12197"/>
    <cellStyle name="40% - Accent3 5 3" xfId="12198"/>
    <cellStyle name="40% - Accent3 5 3 10" xfId="12199"/>
    <cellStyle name="40% - Accent3 5 3 2" xfId="12200"/>
    <cellStyle name="40% - Accent3 5 3 2 2" xfId="12201"/>
    <cellStyle name="40% - Accent3 5 3 2 2 2" xfId="12202"/>
    <cellStyle name="40% - Accent3 5 3 2 2 2 2" xfId="12203"/>
    <cellStyle name="40% - Accent3 5 3 2 2 2 2 2" xfId="12204"/>
    <cellStyle name="40% - Accent3 5 3 2 2 2 3" xfId="12205"/>
    <cellStyle name="40% - Accent3 5 3 2 2 2 4" xfId="12206"/>
    <cellStyle name="40% - Accent3 5 3 2 2 3" xfId="12207"/>
    <cellStyle name="40% - Accent3 5 3 2 2 3 2" xfId="12208"/>
    <cellStyle name="40% - Accent3 5 3 2 2 4" xfId="12209"/>
    <cellStyle name="40% - Accent3 5 3 2 2 5" xfId="12210"/>
    <cellStyle name="40% - Accent3 5 3 2 3" xfId="12211"/>
    <cellStyle name="40% - Accent3 5 3 2 3 2" xfId="12212"/>
    <cellStyle name="40% - Accent3 5 3 2 3 2 2" xfId="12213"/>
    <cellStyle name="40% - Accent3 5 3 2 3 2 2 2" xfId="12214"/>
    <cellStyle name="40% - Accent3 5 3 2 3 2 3" xfId="12215"/>
    <cellStyle name="40% - Accent3 5 3 2 3 2 4" xfId="12216"/>
    <cellStyle name="40% - Accent3 5 3 2 3 3" xfId="12217"/>
    <cellStyle name="40% - Accent3 5 3 2 3 3 2" xfId="12218"/>
    <cellStyle name="40% - Accent3 5 3 2 3 4" xfId="12219"/>
    <cellStyle name="40% - Accent3 5 3 2 3 5" xfId="12220"/>
    <cellStyle name="40% - Accent3 5 3 2 4" xfId="12221"/>
    <cellStyle name="40% - Accent3 5 3 2 4 2" xfId="12222"/>
    <cellStyle name="40% - Accent3 5 3 2 4 2 2" xfId="12223"/>
    <cellStyle name="40% - Accent3 5 3 2 4 3" xfId="12224"/>
    <cellStyle name="40% - Accent3 5 3 2 4 4" xfId="12225"/>
    <cellStyle name="40% - Accent3 5 3 2 5" xfId="12226"/>
    <cellStyle name="40% - Accent3 5 3 2 5 2" xfId="12227"/>
    <cellStyle name="40% - Accent3 5 3 2 5 2 2" xfId="12228"/>
    <cellStyle name="40% - Accent3 5 3 2 5 3" xfId="12229"/>
    <cellStyle name="40% - Accent3 5 3 2 5 4" xfId="12230"/>
    <cellStyle name="40% - Accent3 5 3 2 6" xfId="12231"/>
    <cellStyle name="40% - Accent3 5 3 2 6 2" xfId="12232"/>
    <cellStyle name="40% - Accent3 5 3 2 6 2 2" xfId="12233"/>
    <cellStyle name="40% - Accent3 5 3 2 6 3" xfId="12234"/>
    <cellStyle name="40% - Accent3 5 3 2 6 4" xfId="12235"/>
    <cellStyle name="40% - Accent3 5 3 2 7" xfId="12236"/>
    <cellStyle name="40% - Accent3 5 3 2 7 2" xfId="12237"/>
    <cellStyle name="40% - Accent3 5 3 2 8" xfId="12238"/>
    <cellStyle name="40% - Accent3 5 3 2 9" xfId="12239"/>
    <cellStyle name="40% - Accent3 5 3 3" xfId="12240"/>
    <cellStyle name="40% - Accent3 5 3 3 2" xfId="12241"/>
    <cellStyle name="40% - Accent3 5 3 3 2 2" xfId="12242"/>
    <cellStyle name="40% - Accent3 5 3 3 2 2 2" xfId="12243"/>
    <cellStyle name="40% - Accent3 5 3 3 2 3" xfId="12244"/>
    <cellStyle name="40% - Accent3 5 3 3 2 4" xfId="12245"/>
    <cellStyle name="40% - Accent3 5 3 3 3" xfId="12246"/>
    <cellStyle name="40% - Accent3 5 3 3 3 2" xfId="12247"/>
    <cellStyle name="40% - Accent3 5 3 3 4" xfId="12248"/>
    <cellStyle name="40% - Accent3 5 3 3 5" xfId="12249"/>
    <cellStyle name="40% - Accent3 5 3 4" xfId="12250"/>
    <cellStyle name="40% - Accent3 5 3 4 2" xfId="12251"/>
    <cellStyle name="40% - Accent3 5 3 4 2 2" xfId="12252"/>
    <cellStyle name="40% - Accent3 5 3 4 2 2 2" xfId="12253"/>
    <cellStyle name="40% - Accent3 5 3 4 2 3" xfId="12254"/>
    <cellStyle name="40% - Accent3 5 3 4 2 4" xfId="12255"/>
    <cellStyle name="40% - Accent3 5 3 4 3" xfId="12256"/>
    <cellStyle name="40% - Accent3 5 3 4 3 2" xfId="12257"/>
    <cellStyle name="40% - Accent3 5 3 4 4" xfId="12258"/>
    <cellStyle name="40% - Accent3 5 3 4 5" xfId="12259"/>
    <cellStyle name="40% - Accent3 5 3 5" xfId="12260"/>
    <cellStyle name="40% - Accent3 5 3 5 2" xfId="12261"/>
    <cellStyle name="40% - Accent3 5 3 5 2 2" xfId="12262"/>
    <cellStyle name="40% - Accent3 5 3 5 3" xfId="12263"/>
    <cellStyle name="40% - Accent3 5 3 5 4" xfId="12264"/>
    <cellStyle name="40% - Accent3 5 3 6" xfId="12265"/>
    <cellStyle name="40% - Accent3 5 3 6 2" xfId="12266"/>
    <cellStyle name="40% - Accent3 5 3 6 2 2" xfId="12267"/>
    <cellStyle name="40% - Accent3 5 3 6 3" xfId="12268"/>
    <cellStyle name="40% - Accent3 5 3 6 4" xfId="12269"/>
    <cellStyle name="40% - Accent3 5 3 7" xfId="12270"/>
    <cellStyle name="40% - Accent3 5 3 7 2" xfId="12271"/>
    <cellStyle name="40% - Accent3 5 3 7 2 2" xfId="12272"/>
    <cellStyle name="40% - Accent3 5 3 7 3" xfId="12273"/>
    <cellStyle name="40% - Accent3 5 3 7 4" xfId="12274"/>
    <cellStyle name="40% - Accent3 5 3 8" xfId="12275"/>
    <cellStyle name="40% - Accent3 5 3 8 2" xfId="12276"/>
    <cellStyle name="40% - Accent3 5 3 9" xfId="12277"/>
    <cellStyle name="40% - Accent3 5 4" xfId="12278"/>
    <cellStyle name="40% - Accent3 5 4 2" xfId="12279"/>
    <cellStyle name="40% - Accent3 5 4 2 2" xfId="12280"/>
    <cellStyle name="40% - Accent3 5 4 2 2 2" xfId="12281"/>
    <cellStyle name="40% - Accent3 5 4 2 2 2 2" xfId="12282"/>
    <cellStyle name="40% - Accent3 5 4 2 2 3" xfId="12283"/>
    <cellStyle name="40% - Accent3 5 4 2 2 4" xfId="12284"/>
    <cellStyle name="40% - Accent3 5 4 2 3" xfId="12285"/>
    <cellStyle name="40% - Accent3 5 4 2 3 2" xfId="12286"/>
    <cellStyle name="40% - Accent3 5 4 2 4" xfId="12287"/>
    <cellStyle name="40% - Accent3 5 4 2 5" xfId="12288"/>
    <cellStyle name="40% - Accent3 5 4 3" xfId="12289"/>
    <cellStyle name="40% - Accent3 5 4 3 2" xfId="12290"/>
    <cellStyle name="40% - Accent3 5 4 3 2 2" xfId="12291"/>
    <cellStyle name="40% - Accent3 5 4 3 2 2 2" xfId="12292"/>
    <cellStyle name="40% - Accent3 5 4 3 2 3" xfId="12293"/>
    <cellStyle name="40% - Accent3 5 4 3 2 4" xfId="12294"/>
    <cellStyle name="40% - Accent3 5 4 3 3" xfId="12295"/>
    <cellStyle name="40% - Accent3 5 4 3 3 2" xfId="12296"/>
    <cellStyle name="40% - Accent3 5 4 3 4" xfId="12297"/>
    <cellStyle name="40% - Accent3 5 4 3 5" xfId="12298"/>
    <cellStyle name="40% - Accent3 5 4 4" xfId="12299"/>
    <cellStyle name="40% - Accent3 5 4 4 2" xfId="12300"/>
    <cellStyle name="40% - Accent3 5 4 4 2 2" xfId="12301"/>
    <cellStyle name="40% - Accent3 5 4 4 3" xfId="12302"/>
    <cellStyle name="40% - Accent3 5 4 4 4" xfId="12303"/>
    <cellStyle name="40% - Accent3 5 4 5" xfId="12304"/>
    <cellStyle name="40% - Accent3 5 4 5 2" xfId="12305"/>
    <cellStyle name="40% - Accent3 5 4 5 2 2" xfId="12306"/>
    <cellStyle name="40% - Accent3 5 4 5 3" xfId="12307"/>
    <cellStyle name="40% - Accent3 5 4 5 4" xfId="12308"/>
    <cellStyle name="40% - Accent3 5 4 6" xfId="12309"/>
    <cellStyle name="40% - Accent3 5 4 6 2" xfId="12310"/>
    <cellStyle name="40% - Accent3 5 4 6 2 2" xfId="12311"/>
    <cellStyle name="40% - Accent3 5 4 6 3" xfId="12312"/>
    <cellStyle name="40% - Accent3 5 4 6 4" xfId="12313"/>
    <cellStyle name="40% - Accent3 5 4 7" xfId="12314"/>
    <cellStyle name="40% - Accent3 5 4 7 2" xfId="12315"/>
    <cellStyle name="40% - Accent3 5 4 8" xfId="12316"/>
    <cellStyle name="40% - Accent3 5 4 9" xfId="12317"/>
    <cellStyle name="40% - Accent3 5 5" xfId="12318"/>
    <cellStyle name="40% - Accent3 5 5 2" xfId="12319"/>
    <cellStyle name="40% - Accent3 5 5 2 2" xfId="12320"/>
    <cellStyle name="40% - Accent3 5 5 2 2 2" xfId="12321"/>
    <cellStyle name="40% - Accent3 5 5 2 3" xfId="12322"/>
    <cellStyle name="40% - Accent3 5 5 2 4" xfId="12323"/>
    <cellStyle name="40% - Accent3 5 5 3" xfId="12324"/>
    <cellStyle name="40% - Accent3 5 5 3 2" xfId="12325"/>
    <cellStyle name="40% - Accent3 5 5 3 2 2" xfId="12326"/>
    <cellStyle name="40% - Accent3 5 5 3 3" xfId="12327"/>
    <cellStyle name="40% - Accent3 5 5 3 4" xfId="12328"/>
    <cellStyle name="40% - Accent3 5 5 4" xfId="12329"/>
    <cellStyle name="40% - Accent3 5 5 4 2" xfId="12330"/>
    <cellStyle name="40% - Accent3 5 5 5" xfId="12331"/>
    <cellStyle name="40% - Accent3 5 5 6" xfId="12332"/>
    <cellStyle name="40% - Accent3 5 6" xfId="12333"/>
    <cellStyle name="40% - Accent3 5 6 2" xfId="12334"/>
    <cellStyle name="40% - Accent3 5 6 2 2" xfId="12335"/>
    <cellStyle name="40% - Accent3 5 6 2 2 2" xfId="12336"/>
    <cellStyle name="40% - Accent3 5 6 2 3" xfId="12337"/>
    <cellStyle name="40% - Accent3 5 6 2 4" xfId="12338"/>
    <cellStyle name="40% - Accent3 5 6 3" xfId="12339"/>
    <cellStyle name="40% - Accent3 5 6 3 2" xfId="12340"/>
    <cellStyle name="40% - Accent3 5 6 4" xfId="12341"/>
    <cellStyle name="40% - Accent3 5 6 5" xfId="12342"/>
    <cellStyle name="40% - Accent3 5 7" xfId="12343"/>
    <cellStyle name="40% - Accent3 5 7 2" xfId="12344"/>
    <cellStyle name="40% - Accent3 5 7 2 2" xfId="12345"/>
    <cellStyle name="40% - Accent3 5 7 3" xfId="12346"/>
    <cellStyle name="40% - Accent3 5 7 4" xfId="12347"/>
    <cellStyle name="40% - Accent3 5 8" xfId="12348"/>
    <cellStyle name="40% - Accent3 5 8 2" xfId="12349"/>
    <cellStyle name="40% - Accent3 5 8 2 2" xfId="12350"/>
    <cellStyle name="40% - Accent3 5 8 3" xfId="12351"/>
    <cellStyle name="40% - Accent3 5 8 4" xfId="12352"/>
    <cellStyle name="40% - Accent3 5 9" xfId="12353"/>
    <cellStyle name="40% - Accent3 5 9 2" xfId="12354"/>
    <cellStyle name="40% - Accent3 5 9 2 2" xfId="12355"/>
    <cellStyle name="40% - Accent3 5 9 3" xfId="12356"/>
    <cellStyle name="40% - Accent3 5 9 4" xfId="12357"/>
    <cellStyle name="40% - Accent3 6" xfId="12358"/>
    <cellStyle name="40% - Accent3 7" xfId="12359"/>
    <cellStyle name="40% - Accent3 8" xfId="12360"/>
    <cellStyle name="40% - Accent3 9" xfId="12361"/>
    <cellStyle name="40% - Accent3 9 2" xfId="12362"/>
    <cellStyle name="40% - Accent3 9 2 2" xfId="12363"/>
    <cellStyle name="40% - Accent3 9 3" xfId="12364"/>
    <cellStyle name="40% - Accent3 9 4" xfId="12365"/>
    <cellStyle name="40% - Accent4" xfId="35697" builtinId="43" customBuiltin="1"/>
    <cellStyle name="40% - Accent4 2" xfId="42"/>
    <cellStyle name="40% - Accent4 2 10" xfId="35511"/>
    <cellStyle name="40% - Accent4 2 11" xfId="12366"/>
    <cellStyle name="40% - Accent4 2 2" xfId="12367"/>
    <cellStyle name="40% - Accent4 2 2 2" xfId="12368"/>
    <cellStyle name="40% - Accent4 2 2 3" xfId="12369"/>
    <cellStyle name="40% - Accent4 2 2 4" xfId="12370"/>
    <cellStyle name="40% - Accent4 2 3" xfId="12371"/>
    <cellStyle name="40% - Accent4 2 3 2" xfId="12372"/>
    <cellStyle name="40% - Accent4 2 3 2 10" xfId="12373"/>
    <cellStyle name="40% - Accent4 2 3 2 2" xfId="12374"/>
    <cellStyle name="40% - Accent4 2 3 2 2 2" xfId="12375"/>
    <cellStyle name="40% - Accent4 2 3 2 2 2 2" xfId="12376"/>
    <cellStyle name="40% - Accent4 2 3 2 2 2 2 2" xfId="12377"/>
    <cellStyle name="40% - Accent4 2 3 2 2 2 2 2 2" xfId="12378"/>
    <cellStyle name="40% - Accent4 2 3 2 2 2 2 3" xfId="12379"/>
    <cellStyle name="40% - Accent4 2 3 2 2 2 2 4" xfId="12380"/>
    <cellStyle name="40% - Accent4 2 3 2 2 2 3" xfId="12381"/>
    <cellStyle name="40% - Accent4 2 3 2 2 2 3 2" xfId="12382"/>
    <cellStyle name="40% - Accent4 2 3 2 2 2 4" xfId="12383"/>
    <cellStyle name="40% - Accent4 2 3 2 2 2 5" xfId="12384"/>
    <cellStyle name="40% - Accent4 2 3 2 2 3" xfId="12385"/>
    <cellStyle name="40% - Accent4 2 3 2 2 3 2" xfId="12386"/>
    <cellStyle name="40% - Accent4 2 3 2 2 3 2 2" xfId="12387"/>
    <cellStyle name="40% - Accent4 2 3 2 2 3 2 2 2" xfId="12388"/>
    <cellStyle name="40% - Accent4 2 3 2 2 3 2 3" xfId="12389"/>
    <cellStyle name="40% - Accent4 2 3 2 2 3 2 4" xfId="12390"/>
    <cellStyle name="40% - Accent4 2 3 2 2 3 3" xfId="12391"/>
    <cellStyle name="40% - Accent4 2 3 2 2 3 3 2" xfId="12392"/>
    <cellStyle name="40% - Accent4 2 3 2 2 3 4" xfId="12393"/>
    <cellStyle name="40% - Accent4 2 3 2 2 3 5" xfId="12394"/>
    <cellStyle name="40% - Accent4 2 3 2 2 4" xfId="12395"/>
    <cellStyle name="40% - Accent4 2 3 2 2 4 2" xfId="12396"/>
    <cellStyle name="40% - Accent4 2 3 2 2 4 2 2" xfId="12397"/>
    <cellStyle name="40% - Accent4 2 3 2 2 4 3" xfId="12398"/>
    <cellStyle name="40% - Accent4 2 3 2 2 4 4" xfId="12399"/>
    <cellStyle name="40% - Accent4 2 3 2 2 5" xfId="12400"/>
    <cellStyle name="40% - Accent4 2 3 2 2 5 2" xfId="12401"/>
    <cellStyle name="40% - Accent4 2 3 2 2 5 2 2" xfId="12402"/>
    <cellStyle name="40% - Accent4 2 3 2 2 5 3" xfId="12403"/>
    <cellStyle name="40% - Accent4 2 3 2 2 5 4" xfId="12404"/>
    <cellStyle name="40% - Accent4 2 3 2 2 6" xfId="12405"/>
    <cellStyle name="40% - Accent4 2 3 2 2 6 2" xfId="12406"/>
    <cellStyle name="40% - Accent4 2 3 2 2 6 2 2" xfId="12407"/>
    <cellStyle name="40% - Accent4 2 3 2 2 6 3" xfId="12408"/>
    <cellStyle name="40% - Accent4 2 3 2 2 6 4" xfId="12409"/>
    <cellStyle name="40% - Accent4 2 3 2 2 7" xfId="12410"/>
    <cellStyle name="40% - Accent4 2 3 2 2 7 2" xfId="12411"/>
    <cellStyle name="40% - Accent4 2 3 2 2 8" xfId="12412"/>
    <cellStyle name="40% - Accent4 2 3 2 2 9" xfId="12413"/>
    <cellStyle name="40% - Accent4 2 3 2 3" xfId="12414"/>
    <cellStyle name="40% - Accent4 2 3 2 3 2" xfId="12415"/>
    <cellStyle name="40% - Accent4 2 3 2 3 2 2" xfId="12416"/>
    <cellStyle name="40% - Accent4 2 3 2 3 2 2 2" xfId="12417"/>
    <cellStyle name="40% - Accent4 2 3 2 3 2 3" xfId="12418"/>
    <cellStyle name="40% - Accent4 2 3 2 3 2 4" xfId="12419"/>
    <cellStyle name="40% - Accent4 2 3 2 3 3" xfId="12420"/>
    <cellStyle name="40% - Accent4 2 3 2 3 3 2" xfId="12421"/>
    <cellStyle name="40% - Accent4 2 3 2 3 4" xfId="12422"/>
    <cellStyle name="40% - Accent4 2 3 2 3 5" xfId="12423"/>
    <cellStyle name="40% - Accent4 2 3 2 4" xfId="12424"/>
    <cellStyle name="40% - Accent4 2 3 2 4 2" xfId="12425"/>
    <cellStyle name="40% - Accent4 2 3 2 4 2 2" xfId="12426"/>
    <cellStyle name="40% - Accent4 2 3 2 4 2 2 2" xfId="12427"/>
    <cellStyle name="40% - Accent4 2 3 2 4 2 3" xfId="12428"/>
    <cellStyle name="40% - Accent4 2 3 2 4 2 4" xfId="12429"/>
    <cellStyle name="40% - Accent4 2 3 2 4 3" xfId="12430"/>
    <cellStyle name="40% - Accent4 2 3 2 4 3 2" xfId="12431"/>
    <cellStyle name="40% - Accent4 2 3 2 4 4" xfId="12432"/>
    <cellStyle name="40% - Accent4 2 3 2 4 5" xfId="12433"/>
    <cellStyle name="40% - Accent4 2 3 2 5" xfId="12434"/>
    <cellStyle name="40% - Accent4 2 3 2 5 2" xfId="12435"/>
    <cellStyle name="40% - Accent4 2 3 2 5 2 2" xfId="12436"/>
    <cellStyle name="40% - Accent4 2 3 2 5 3" xfId="12437"/>
    <cellStyle name="40% - Accent4 2 3 2 5 4" xfId="12438"/>
    <cellStyle name="40% - Accent4 2 3 2 6" xfId="12439"/>
    <cellStyle name="40% - Accent4 2 3 2 6 2" xfId="12440"/>
    <cellStyle name="40% - Accent4 2 3 2 6 2 2" xfId="12441"/>
    <cellStyle name="40% - Accent4 2 3 2 6 3" xfId="12442"/>
    <cellStyle name="40% - Accent4 2 3 2 6 4" xfId="12443"/>
    <cellStyle name="40% - Accent4 2 3 2 7" xfId="12444"/>
    <cellStyle name="40% - Accent4 2 3 2 7 2" xfId="12445"/>
    <cellStyle name="40% - Accent4 2 3 2 7 2 2" xfId="12446"/>
    <cellStyle name="40% - Accent4 2 3 2 7 3" xfId="12447"/>
    <cellStyle name="40% - Accent4 2 3 2 7 4" xfId="12448"/>
    <cellStyle name="40% - Accent4 2 3 2 8" xfId="12449"/>
    <cellStyle name="40% - Accent4 2 3 2 8 2" xfId="12450"/>
    <cellStyle name="40% - Accent4 2 3 2 9" xfId="12451"/>
    <cellStyle name="40% - Accent4 2 3 3" xfId="12452"/>
    <cellStyle name="40% - Accent4 2 3 3 2" xfId="12453"/>
    <cellStyle name="40% - Accent4 2 3 3 2 2" xfId="12454"/>
    <cellStyle name="40% - Accent4 2 3 3 2 2 2" xfId="12455"/>
    <cellStyle name="40% - Accent4 2 3 3 2 2 2 2" xfId="12456"/>
    <cellStyle name="40% - Accent4 2 3 3 2 2 3" xfId="12457"/>
    <cellStyle name="40% - Accent4 2 3 3 2 2 4" xfId="12458"/>
    <cellStyle name="40% - Accent4 2 3 3 2 3" xfId="12459"/>
    <cellStyle name="40% - Accent4 2 3 3 2 3 2" xfId="12460"/>
    <cellStyle name="40% - Accent4 2 3 3 2 4" xfId="12461"/>
    <cellStyle name="40% - Accent4 2 3 3 2 5" xfId="12462"/>
    <cellStyle name="40% - Accent4 2 3 3 3" xfId="12463"/>
    <cellStyle name="40% - Accent4 2 3 3 3 2" xfId="12464"/>
    <cellStyle name="40% - Accent4 2 3 3 3 2 2" xfId="12465"/>
    <cellStyle name="40% - Accent4 2 3 3 3 2 2 2" xfId="12466"/>
    <cellStyle name="40% - Accent4 2 3 3 3 2 3" xfId="12467"/>
    <cellStyle name="40% - Accent4 2 3 3 3 2 4" xfId="12468"/>
    <cellStyle name="40% - Accent4 2 3 3 3 3" xfId="12469"/>
    <cellStyle name="40% - Accent4 2 3 3 3 3 2" xfId="12470"/>
    <cellStyle name="40% - Accent4 2 3 3 3 4" xfId="12471"/>
    <cellStyle name="40% - Accent4 2 3 3 3 5" xfId="12472"/>
    <cellStyle name="40% - Accent4 2 3 3 4" xfId="12473"/>
    <cellStyle name="40% - Accent4 2 3 3 4 2" xfId="12474"/>
    <cellStyle name="40% - Accent4 2 3 3 4 2 2" xfId="12475"/>
    <cellStyle name="40% - Accent4 2 3 3 4 3" xfId="12476"/>
    <cellStyle name="40% - Accent4 2 3 3 4 4" xfId="12477"/>
    <cellStyle name="40% - Accent4 2 3 3 5" xfId="12478"/>
    <cellStyle name="40% - Accent4 2 3 3 5 2" xfId="12479"/>
    <cellStyle name="40% - Accent4 2 3 3 5 2 2" xfId="12480"/>
    <cellStyle name="40% - Accent4 2 3 3 5 3" xfId="12481"/>
    <cellStyle name="40% - Accent4 2 3 3 5 4" xfId="12482"/>
    <cellStyle name="40% - Accent4 2 3 3 6" xfId="12483"/>
    <cellStyle name="40% - Accent4 2 3 3 6 2" xfId="12484"/>
    <cellStyle name="40% - Accent4 2 3 3 6 2 2" xfId="12485"/>
    <cellStyle name="40% - Accent4 2 3 3 6 3" xfId="12486"/>
    <cellStyle name="40% - Accent4 2 3 3 6 4" xfId="12487"/>
    <cellStyle name="40% - Accent4 2 3 3 7" xfId="12488"/>
    <cellStyle name="40% - Accent4 2 3 3 7 2" xfId="12489"/>
    <cellStyle name="40% - Accent4 2 3 3 8" xfId="12490"/>
    <cellStyle name="40% - Accent4 2 3 3 9" xfId="12491"/>
    <cellStyle name="40% - Accent4 2 3 4" xfId="12492"/>
    <cellStyle name="40% - Accent4 2 3 4 2" xfId="12493"/>
    <cellStyle name="40% - Accent4 2 3 4 2 2" xfId="12494"/>
    <cellStyle name="40% - Accent4 2 3 4 2 2 2" xfId="12495"/>
    <cellStyle name="40% - Accent4 2 3 4 2 2 2 2" xfId="12496"/>
    <cellStyle name="40% - Accent4 2 3 4 2 2 3" xfId="12497"/>
    <cellStyle name="40% - Accent4 2 3 4 2 2 4" xfId="12498"/>
    <cellStyle name="40% - Accent4 2 3 4 2 3" xfId="12499"/>
    <cellStyle name="40% - Accent4 2 3 4 2 3 2" xfId="12500"/>
    <cellStyle name="40% - Accent4 2 3 4 2 4" xfId="12501"/>
    <cellStyle name="40% - Accent4 2 3 4 2 5" xfId="12502"/>
    <cellStyle name="40% - Accent4 2 3 4 3" xfId="12503"/>
    <cellStyle name="40% - Accent4 2 3 4 3 2" xfId="12504"/>
    <cellStyle name="40% - Accent4 2 3 4 3 2 2" xfId="12505"/>
    <cellStyle name="40% - Accent4 2 3 4 3 3" xfId="12506"/>
    <cellStyle name="40% - Accent4 2 3 4 3 4" xfId="12507"/>
    <cellStyle name="40% - Accent4 2 3 4 4" xfId="12508"/>
    <cellStyle name="40% - Accent4 2 3 4 5" xfId="12509"/>
    <cellStyle name="40% - Accent4 2 3 4 5 2" xfId="12510"/>
    <cellStyle name="40% - Accent4 2 3 4 6" xfId="12511"/>
    <cellStyle name="40% - Accent4 2 3 4 7" xfId="12512"/>
    <cellStyle name="40% - Accent4 2 3 5" xfId="12513"/>
    <cellStyle name="40% - Accent4 2 3 5 2" xfId="12514"/>
    <cellStyle name="40% - Accent4 2 3 5 2 2" xfId="12515"/>
    <cellStyle name="40% - Accent4 2 3 5 2 2 2" xfId="12516"/>
    <cellStyle name="40% - Accent4 2 3 5 2 3" xfId="12517"/>
    <cellStyle name="40% - Accent4 2 3 5 2 4" xfId="12518"/>
    <cellStyle name="40% - Accent4 2 3 5 3" xfId="12519"/>
    <cellStyle name="40% - Accent4 2 3 5 3 2" xfId="12520"/>
    <cellStyle name="40% - Accent4 2 3 5 4" xfId="12521"/>
    <cellStyle name="40% - Accent4 2 3 5 5" xfId="12522"/>
    <cellStyle name="40% - Accent4 2 3 6" xfId="12523"/>
    <cellStyle name="40% - Accent4 2 3 6 2" xfId="12524"/>
    <cellStyle name="40% - Accent4 2 3 6 2 2" xfId="12525"/>
    <cellStyle name="40% - Accent4 2 3 6 3" xfId="12526"/>
    <cellStyle name="40% - Accent4 2 3 6 4" xfId="12527"/>
    <cellStyle name="40% - Accent4 2 3 7" xfId="12528"/>
    <cellStyle name="40% - Accent4 2 3 7 2" xfId="12529"/>
    <cellStyle name="40% - Accent4 2 3 7 2 2" xfId="12530"/>
    <cellStyle name="40% - Accent4 2 3 7 3" xfId="12531"/>
    <cellStyle name="40% - Accent4 2 3 7 4" xfId="12532"/>
    <cellStyle name="40% - Accent4 2 4" xfId="12533"/>
    <cellStyle name="40% - Accent4 2 4 10" xfId="12534"/>
    <cellStyle name="40% - Accent4 2 4 2" xfId="12535"/>
    <cellStyle name="40% - Accent4 2 4 2 2" xfId="12536"/>
    <cellStyle name="40% - Accent4 2 4 2 2 2" xfId="12537"/>
    <cellStyle name="40% - Accent4 2 4 2 2 2 2" xfId="12538"/>
    <cellStyle name="40% - Accent4 2 4 2 2 2 2 2" xfId="12539"/>
    <cellStyle name="40% - Accent4 2 4 2 2 2 3" xfId="12540"/>
    <cellStyle name="40% - Accent4 2 4 2 2 2 4" xfId="12541"/>
    <cellStyle name="40% - Accent4 2 4 2 2 3" xfId="12542"/>
    <cellStyle name="40% - Accent4 2 4 2 2 3 2" xfId="12543"/>
    <cellStyle name="40% - Accent4 2 4 2 2 4" xfId="12544"/>
    <cellStyle name="40% - Accent4 2 4 2 2 5" xfId="12545"/>
    <cellStyle name="40% - Accent4 2 4 2 3" xfId="12546"/>
    <cellStyle name="40% - Accent4 2 4 2 3 2" xfId="12547"/>
    <cellStyle name="40% - Accent4 2 4 2 3 2 2" xfId="12548"/>
    <cellStyle name="40% - Accent4 2 4 2 3 2 2 2" xfId="12549"/>
    <cellStyle name="40% - Accent4 2 4 2 3 2 3" xfId="12550"/>
    <cellStyle name="40% - Accent4 2 4 2 3 2 4" xfId="12551"/>
    <cellStyle name="40% - Accent4 2 4 2 3 3" xfId="12552"/>
    <cellStyle name="40% - Accent4 2 4 2 3 3 2" xfId="12553"/>
    <cellStyle name="40% - Accent4 2 4 2 3 4" xfId="12554"/>
    <cellStyle name="40% - Accent4 2 4 2 3 5" xfId="12555"/>
    <cellStyle name="40% - Accent4 2 4 2 4" xfId="12556"/>
    <cellStyle name="40% - Accent4 2 4 2 4 2" xfId="12557"/>
    <cellStyle name="40% - Accent4 2 4 2 4 2 2" xfId="12558"/>
    <cellStyle name="40% - Accent4 2 4 2 4 3" xfId="12559"/>
    <cellStyle name="40% - Accent4 2 4 2 4 4" xfId="12560"/>
    <cellStyle name="40% - Accent4 2 4 2 5" xfId="12561"/>
    <cellStyle name="40% - Accent4 2 4 2 5 2" xfId="12562"/>
    <cellStyle name="40% - Accent4 2 4 2 5 2 2" xfId="12563"/>
    <cellStyle name="40% - Accent4 2 4 2 5 3" xfId="12564"/>
    <cellStyle name="40% - Accent4 2 4 2 5 4" xfId="12565"/>
    <cellStyle name="40% - Accent4 2 4 2 6" xfId="12566"/>
    <cellStyle name="40% - Accent4 2 4 2 6 2" xfId="12567"/>
    <cellStyle name="40% - Accent4 2 4 2 6 2 2" xfId="12568"/>
    <cellStyle name="40% - Accent4 2 4 2 6 3" xfId="12569"/>
    <cellStyle name="40% - Accent4 2 4 2 6 4" xfId="12570"/>
    <cellStyle name="40% - Accent4 2 4 2 7" xfId="12571"/>
    <cellStyle name="40% - Accent4 2 4 2 7 2" xfId="12572"/>
    <cellStyle name="40% - Accent4 2 4 2 8" xfId="12573"/>
    <cellStyle name="40% - Accent4 2 4 2 9" xfId="12574"/>
    <cellStyle name="40% - Accent4 2 4 3" xfId="12575"/>
    <cellStyle name="40% - Accent4 2 4 3 2" xfId="12576"/>
    <cellStyle name="40% - Accent4 2 4 3 2 2" xfId="12577"/>
    <cellStyle name="40% - Accent4 2 4 3 2 2 2" xfId="12578"/>
    <cellStyle name="40% - Accent4 2 4 3 2 3" xfId="12579"/>
    <cellStyle name="40% - Accent4 2 4 3 2 4" xfId="12580"/>
    <cellStyle name="40% - Accent4 2 4 3 3" xfId="12581"/>
    <cellStyle name="40% - Accent4 2 4 3 3 2" xfId="12582"/>
    <cellStyle name="40% - Accent4 2 4 3 4" xfId="12583"/>
    <cellStyle name="40% - Accent4 2 4 3 5" xfId="12584"/>
    <cellStyle name="40% - Accent4 2 4 4" xfId="12585"/>
    <cellStyle name="40% - Accent4 2 4 4 2" xfId="12586"/>
    <cellStyle name="40% - Accent4 2 4 4 2 2" xfId="12587"/>
    <cellStyle name="40% - Accent4 2 4 4 2 2 2" xfId="12588"/>
    <cellStyle name="40% - Accent4 2 4 4 2 3" xfId="12589"/>
    <cellStyle name="40% - Accent4 2 4 4 2 4" xfId="12590"/>
    <cellStyle name="40% - Accent4 2 4 4 3" xfId="12591"/>
    <cellStyle name="40% - Accent4 2 4 4 3 2" xfId="12592"/>
    <cellStyle name="40% - Accent4 2 4 4 4" xfId="12593"/>
    <cellStyle name="40% - Accent4 2 4 4 5" xfId="12594"/>
    <cellStyle name="40% - Accent4 2 4 5" xfId="12595"/>
    <cellStyle name="40% - Accent4 2 4 5 2" xfId="12596"/>
    <cellStyle name="40% - Accent4 2 4 5 2 2" xfId="12597"/>
    <cellStyle name="40% - Accent4 2 4 5 3" xfId="12598"/>
    <cellStyle name="40% - Accent4 2 4 5 4" xfId="12599"/>
    <cellStyle name="40% - Accent4 2 4 6" xfId="12600"/>
    <cellStyle name="40% - Accent4 2 4 6 2" xfId="12601"/>
    <cellStyle name="40% - Accent4 2 4 6 2 2" xfId="12602"/>
    <cellStyle name="40% - Accent4 2 4 6 3" xfId="12603"/>
    <cellStyle name="40% - Accent4 2 4 6 4" xfId="12604"/>
    <cellStyle name="40% - Accent4 2 4 7" xfId="12605"/>
    <cellStyle name="40% - Accent4 2 4 7 2" xfId="12606"/>
    <cellStyle name="40% - Accent4 2 4 7 2 2" xfId="12607"/>
    <cellStyle name="40% - Accent4 2 4 7 3" xfId="12608"/>
    <cellStyle name="40% - Accent4 2 4 7 4" xfId="12609"/>
    <cellStyle name="40% - Accent4 2 4 8" xfId="12610"/>
    <cellStyle name="40% - Accent4 2 4 8 2" xfId="12611"/>
    <cellStyle name="40% - Accent4 2 4 9" xfId="12612"/>
    <cellStyle name="40% - Accent4 2 5" xfId="12613"/>
    <cellStyle name="40% - Accent4 2 5 2" xfId="12614"/>
    <cellStyle name="40% - Accent4 2 5 2 2" xfId="12615"/>
    <cellStyle name="40% - Accent4 2 5 2 2 2" xfId="12616"/>
    <cellStyle name="40% - Accent4 2 5 2 2 2 2" xfId="12617"/>
    <cellStyle name="40% - Accent4 2 5 2 2 3" xfId="12618"/>
    <cellStyle name="40% - Accent4 2 5 2 2 4" xfId="12619"/>
    <cellStyle name="40% - Accent4 2 5 2 3" xfId="12620"/>
    <cellStyle name="40% - Accent4 2 5 2 3 2" xfId="12621"/>
    <cellStyle name="40% - Accent4 2 5 2 4" xfId="12622"/>
    <cellStyle name="40% - Accent4 2 5 2 5" xfId="12623"/>
    <cellStyle name="40% - Accent4 2 5 3" xfId="12624"/>
    <cellStyle name="40% - Accent4 2 5 3 2" xfId="12625"/>
    <cellStyle name="40% - Accent4 2 5 3 2 2" xfId="12626"/>
    <cellStyle name="40% - Accent4 2 5 3 2 2 2" xfId="12627"/>
    <cellStyle name="40% - Accent4 2 5 3 2 3" xfId="12628"/>
    <cellStyle name="40% - Accent4 2 5 3 2 4" xfId="12629"/>
    <cellStyle name="40% - Accent4 2 5 3 3" xfId="12630"/>
    <cellStyle name="40% - Accent4 2 5 3 3 2" xfId="12631"/>
    <cellStyle name="40% - Accent4 2 5 3 4" xfId="12632"/>
    <cellStyle name="40% - Accent4 2 5 3 5" xfId="12633"/>
    <cellStyle name="40% - Accent4 2 5 4" xfId="12634"/>
    <cellStyle name="40% - Accent4 2 5 4 2" xfId="12635"/>
    <cellStyle name="40% - Accent4 2 5 4 2 2" xfId="12636"/>
    <cellStyle name="40% - Accent4 2 5 4 3" xfId="12637"/>
    <cellStyle name="40% - Accent4 2 5 4 4" xfId="12638"/>
    <cellStyle name="40% - Accent4 2 5 5" xfId="12639"/>
    <cellStyle name="40% - Accent4 2 5 5 2" xfId="12640"/>
    <cellStyle name="40% - Accent4 2 5 5 2 2" xfId="12641"/>
    <cellStyle name="40% - Accent4 2 5 5 3" xfId="12642"/>
    <cellStyle name="40% - Accent4 2 5 5 4" xfId="12643"/>
    <cellStyle name="40% - Accent4 2 5 6" xfId="12644"/>
    <cellStyle name="40% - Accent4 2 5 6 2" xfId="12645"/>
    <cellStyle name="40% - Accent4 2 5 6 2 2" xfId="12646"/>
    <cellStyle name="40% - Accent4 2 5 6 3" xfId="12647"/>
    <cellStyle name="40% - Accent4 2 5 6 4" xfId="12648"/>
    <cellStyle name="40% - Accent4 2 5 7" xfId="12649"/>
    <cellStyle name="40% - Accent4 2 5 7 2" xfId="12650"/>
    <cellStyle name="40% - Accent4 2 5 8" xfId="12651"/>
    <cellStyle name="40% - Accent4 2 5 9" xfId="12652"/>
    <cellStyle name="40% - Accent4 2 6" xfId="12653"/>
    <cellStyle name="40% - Accent4 2 7" xfId="12654"/>
    <cellStyle name="40% - Accent4 2 8" xfId="12655"/>
    <cellStyle name="40% - Accent4 2 8 2" xfId="12656"/>
    <cellStyle name="40% - Accent4 2 9" xfId="12657"/>
    <cellStyle name="40% - Accent4 3" xfId="112"/>
    <cellStyle name="40% - Accent4 3 10" xfId="35512"/>
    <cellStyle name="40% - Accent4 3 11" xfId="12658"/>
    <cellStyle name="40% - Accent4 3 2" xfId="12659"/>
    <cellStyle name="40% - Accent4 3 2 10" xfId="12660"/>
    <cellStyle name="40% - Accent4 3 2 10 2" xfId="12661"/>
    <cellStyle name="40% - Accent4 3 2 11" xfId="12662"/>
    <cellStyle name="40% - Accent4 3 2 12" xfId="12663"/>
    <cellStyle name="40% - Accent4 3 2 2" xfId="12664"/>
    <cellStyle name="40% - Accent4 3 2 2 10" xfId="12665"/>
    <cellStyle name="40% - Accent4 3 2 2 11" xfId="12666"/>
    <cellStyle name="40% - Accent4 3 2 2 2" xfId="12667"/>
    <cellStyle name="40% - Accent4 3 2 2 2 10" xfId="12668"/>
    <cellStyle name="40% - Accent4 3 2 2 2 2" xfId="12669"/>
    <cellStyle name="40% - Accent4 3 2 2 2 2 2" xfId="12670"/>
    <cellStyle name="40% - Accent4 3 2 2 2 2 2 2" xfId="12671"/>
    <cellStyle name="40% - Accent4 3 2 2 2 2 2 2 2" xfId="12672"/>
    <cellStyle name="40% - Accent4 3 2 2 2 2 2 2 2 2" xfId="12673"/>
    <cellStyle name="40% - Accent4 3 2 2 2 2 2 2 3" xfId="12674"/>
    <cellStyle name="40% - Accent4 3 2 2 2 2 2 2 4" xfId="12675"/>
    <cellStyle name="40% - Accent4 3 2 2 2 2 2 3" xfId="12676"/>
    <cellStyle name="40% - Accent4 3 2 2 2 2 2 3 2" xfId="12677"/>
    <cellStyle name="40% - Accent4 3 2 2 2 2 2 4" xfId="12678"/>
    <cellStyle name="40% - Accent4 3 2 2 2 2 2 5" xfId="12679"/>
    <cellStyle name="40% - Accent4 3 2 2 2 2 3" xfId="12680"/>
    <cellStyle name="40% - Accent4 3 2 2 2 2 3 2" xfId="12681"/>
    <cellStyle name="40% - Accent4 3 2 2 2 2 3 2 2" xfId="12682"/>
    <cellStyle name="40% - Accent4 3 2 2 2 2 3 2 2 2" xfId="12683"/>
    <cellStyle name="40% - Accent4 3 2 2 2 2 3 2 3" xfId="12684"/>
    <cellStyle name="40% - Accent4 3 2 2 2 2 3 2 4" xfId="12685"/>
    <cellStyle name="40% - Accent4 3 2 2 2 2 3 3" xfId="12686"/>
    <cellStyle name="40% - Accent4 3 2 2 2 2 3 3 2" xfId="12687"/>
    <cellStyle name="40% - Accent4 3 2 2 2 2 3 4" xfId="12688"/>
    <cellStyle name="40% - Accent4 3 2 2 2 2 3 5" xfId="12689"/>
    <cellStyle name="40% - Accent4 3 2 2 2 2 4" xfId="12690"/>
    <cellStyle name="40% - Accent4 3 2 2 2 2 4 2" xfId="12691"/>
    <cellStyle name="40% - Accent4 3 2 2 2 2 4 2 2" xfId="12692"/>
    <cellStyle name="40% - Accent4 3 2 2 2 2 4 3" xfId="12693"/>
    <cellStyle name="40% - Accent4 3 2 2 2 2 4 4" xfId="12694"/>
    <cellStyle name="40% - Accent4 3 2 2 2 2 5" xfId="12695"/>
    <cellStyle name="40% - Accent4 3 2 2 2 2 5 2" xfId="12696"/>
    <cellStyle name="40% - Accent4 3 2 2 2 2 5 2 2" xfId="12697"/>
    <cellStyle name="40% - Accent4 3 2 2 2 2 5 3" xfId="12698"/>
    <cellStyle name="40% - Accent4 3 2 2 2 2 5 4" xfId="12699"/>
    <cellStyle name="40% - Accent4 3 2 2 2 2 6" xfId="12700"/>
    <cellStyle name="40% - Accent4 3 2 2 2 2 6 2" xfId="12701"/>
    <cellStyle name="40% - Accent4 3 2 2 2 2 6 2 2" xfId="12702"/>
    <cellStyle name="40% - Accent4 3 2 2 2 2 6 3" xfId="12703"/>
    <cellStyle name="40% - Accent4 3 2 2 2 2 6 4" xfId="12704"/>
    <cellStyle name="40% - Accent4 3 2 2 2 2 7" xfId="12705"/>
    <cellStyle name="40% - Accent4 3 2 2 2 2 7 2" xfId="12706"/>
    <cellStyle name="40% - Accent4 3 2 2 2 2 8" xfId="12707"/>
    <cellStyle name="40% - Accent4 3 2 2 2 2 9" xfId="12708"/>
    <cellStyle name="40% - Accent4 3 2 2 2 3" xfId="12709"/>
    <cellStyle name="40% - Accent4 3 2 2 2 3 2" xfId="12710"/>
    <cellStyle name="40% - Accent4 3 2 2 2 3 2 2" xfId="12711"/>
    <cellStyle name="40% - Accent4 3 2 2 2 3 2 2 2" xfId="12712"/>
    <cellStyle name="40% - Accent4 3 2 2 2 3 2 3" xfId="12713"/>
    <cellStyle name="40% - Accent4 3 2 2 2 3 2 4" xfId="12714"/>
    <cellStyle name="40% - Accent4 3 2 2 2 3 3" xfId="12715"/>
    <cellStyle name="40% - Accent4 3 2 2 2 3 3 2" xfId="12716"/>
    <cellStyle name="40% - Accent4 3 2 2 2 3 4" xfId="12717"/>
    <cellStyle name="40% - Accent4 3 2 2 2 3 5" xfId="12718"/>
    <cellStyle name="40% - Accent4 3 2 2 2 4" xfId="12719"/>
    <cellStyle name="40% - Accent4 3 2 2 2 4 2" xfId="12720"/>
    <cellStyle name="40% - Accent4 3 2 2 2 4 2 2" xfId="12721"/>
    <cellStyle name="40% - Accent4 3 2 2 2 4 2 2 2" xfId="12722"/>
    <cellStyle name="40% - Accent4 3 2 2 2 4 2 3" xfId="12723"/>
    <cellStyle name="40% - Accent4 3 2 2 2 4 2 4" xfId="12724"/>
    <cellStyle name="40% - Accent4 3 2 2 2 4 3" xfId="12725"/>
    <cellStyle name="40% - Accent4 3 2 2 2 4 3 2" xfId="12726"/>
    <cellStyle name="40% - Accent4 3 2 2 2 4 4" xfId="12727"/>
    <cellStyle name="40% - Accent4 3 2 2 2 4 5" xfId="12728"/>
    <cellStyle name="40% - Accent4 3 2 2 2 5" xfId="12729"/>
    <cellStyle name="40% - Accent4 3 2 2 2 5 2" xfId="12730"/>
    <cellStyle name="40% - Accent4 3 2 2 2 5 2 2" xfId="12731"/>
    <cellStyle name="40% - Accent4 3 2 2 2 5 3" xfId="12732"/>
    <cellStyle name="40% - Accent4 3 2 2 2 5 4" xfId="12733"/>
    <cellStyle name="40% - Accent4 3 2 2 2 6" xfId="12734"/>
    <cellStyle name="40% - Accent4 3 2 2 2 6 2" xfId="12735"/>
    <cellStyle name="40% - Accent4 3 2 2 2 6 2 2" xfId="12736"/>
    <cellStyle name="40% - Accent4 3 2 2 2 6 3" xfId="12737"/>
    <cellStyle name="40% - Accent4 3 2 2 2 6 4" xfId="12738"/>
    <cellStyle name="40% - Accent4 3 2 2 2 7" xfId="12739"/>
    <cellStyle name="40% - Accent4 3 2 2 2 7 2" xfId="12740"/>
    <cellStyle name="40% - Accent4 3 2 2 2 7 2 2" xfId="12741"/>
    <cellStyle name="40% - Accent4 3 2 2 2 7 3" xfId="12742"/>
    <cellStyle name="40% - Accent4 3 2 2 2 7 4" xfId="12743"/>
    <cellStyle name="40% - Accent4 3 2 2 2 8" xfId="12744"/>
    <cellStyle name="40% - Accent4 3 2 2 2 8 2" xfId="12745"/>
    <cellStyle name="40% - Accent4 3 2 2 2 9" xfId="12746"/>
    <cellStyle name="40% - Accent4 3 2 2 3" xfId="12747"/>
    <cellStyle name="40% - Accent4 3 2 2 3 2" xfId="12748"/>
    <cellStyle name="40% - Accent4 3 2 2 3 2 2" xfId="12749"/>
    <cellStyle name="40% - Accent4 3 2 2 3 2 2 2" xfId="12750"/>
    <cellStyle name="40% - Accent4 3 2 2 3 2 2 2 2" xfId="12751"/>
    <cellStyle name="40% - Accent4 3 2 2 3 2 2 3" xfId="12752"/>
    <cellStyle name="40% - Accent4 3 2 2 3 2 2 4" xfId="12753"/>
    <cellStyle name="40% - Accent4 3 2 2 3 2 3" xfId="12754"/>
    <cellStyle name="40% - Accent4 3 2 2 3 2 3 2" xfId="12755"/>
    <cellStyle name="40% - Accent4 3 2 2 3 2 4" xfId="12756"/>
    <cellStyle name="40% - Accent4 3 2 2 3 2 5" xfId="12757"/>
    <cellStyle name="40% - Accent4 3 2 2 3 3" xfId="12758"/>
    <cellStyle name="40% - Accent4 3 2 2 3 3 2" xfId="12759"/>
    <cellStyle name="40% - Accent4 3 2 2 3 3 2 2" xfId="12760"/>
    <cellStyle name="40% - Accent4 3 2 2 3 3 2 2 2" xfId="12761"/>
    <cellStyle name="40% - Accent4 3 2 2 3 3 2 3" xfId="12762"/>
    <cellStyle name="40% - Accent4 3 2 2 3 3 2 4" xfId="12763"/>
    <cellStyle name="40% - Accent4 3 2 2 3 3 3" xfId="12764"/>
    <cellStyle name="40% - Accent4 3 2 2 3 3 3 2" xfId="12765"/>
    <cellStyle name="40% - Accent4 3 2 2 3 3 4" xfId="12766"/>
    <cellStyle name="40% - Accent4 3 2 2 3 3 5" xfId="12767"/>
    <cellStyle name="40% - Accent4 3 2 2 3 4" xfId="12768"/>
    <cellStyle name="40% - Accent4 3 2 2 3 4 2" xfId="12769"/>
    <cellStyle name="40% - Accent4 3 2 2 3 4 2 2" xfId="12770"/>
    <cellStyle name="40% - Accent4 3 2 2 3 4 3" xfId="12771"/>
    <cellStyle name="40% - Accent4 3 2 2 3 4 4" xfId="12772"/>
    <cellStyle name="40% - Accent4 3 2 2 3 5" xfId="12773"/>
    <cellStyle name="40% - Accent4 3 2 2 3 5 2" xfId="12774"/>
    <cellStyle name="40% - Accent4 3 2 2 3 5 2 2" xfId="12775"/>
    <cellStyle name="40% - Accent4 3 2 2 3 5 3" xfId="12776"/>
    <cellStyle name="40% - Accent4 3 2 2 3 5 4" xfId="12777"/>
    <cellStyle name="40% - Accent4 3 2 2 3 6" xfId="12778"/>
    <cellStyle name="40% - Accent4 3 2 2 3 6 2" xfId="12779"/>
    <cellStyle name="40% - Accent4 3 2 2 3 6 2 2" xfId="12780"/>
    <cellStyle name="40% - Accent4 3 2 2 3 6 3" xfId="12781"/>
    <cellStyle name="40% - Accent4 3 2 2 3 6 4" xfId="12782"/>
    <cellStyle name="40% - Accent4 3 2 2 3 7" xfId="12783"/>
    <cellStyle name="40% - Accent4 3 2 2 3 7 2" xfId="12784"/>
    <cellStyle name="40% - Accent4 3 2 2 3 8" xfId="12785"/>
    <cellStyle name="40% - Accent4 3 2 2 3 9" xfId="12786"/>
    <cellStyle name="40% - Accent4 3 2 2 4" xfId="12787"/>
    <cellStyle name="40% - Accent4 3 2 2 4 2" xfId="12788"/>
    <cellStyle name="40% - Accent4 3 2 2 4 2 2" xfId="12789"/>
    <cellStyle name="40% - Accent4 3 2 2 4 2 2 2" xfId="12790"/>
    <cellStyle name="40% - Accent4 3 2 2 4 2 3" xfId="12791"/>
    <cellStyle name="40% - Accent4 3 2 2 4 2 4" xfId="12792"/>
    <cellStyle name="40% - Accent4 3 2 2 4 3" xfId="12793"/>
    <cellStyle name="40% - Accent4 3 2 2 4 3 2" xfId="12794"/>
    <cellStyle name="40% - Accent4 3 2 2 4 4" xfId="12795"/>
    <cellStyle name="40% - Accent4 3 2 2 4 5" xfId="12796"/>
    <cellStyle name="40% - Accent4 3 2 2 5" xfId="12797"/>
    <cellStyle name="40% - Accent4 3 2 2 5 2" xfId="12798"/>
    <cellStyle name="40% - Accent4 3 2 2 5 2 2" xfId="12799"/>
    <cellStyle name="40% - Accent4 3 2 2 5 2 2 2" xfId="12800"/>
    <cellStyle name="40% - Accent4 3 2 2 5 2 3" xfId="12801"/>
    <cellStyle name="40% - Accent4 3 2 2 5 2 4" xfId="12802"/>
    <cellStyle name="40% - Accent4 3 2 2 5 3" xfId="12803"/>
    <cellStyle name="40% - Accent4 3 2 2 5 3 2" xfId="12804"/>
    <cellStyle name="40% - Accent4 3 2 2 5 4" xfId="12805"/>
    <cellStyle name="40% - Accent4 3 2 2 5 5" xfId="12806"/>
    <cellStyle name="40% - Accent4 3 2 2 6" xfId="12807"/>
    <cellStyle name="40% - Accent4 3 2 2 6 2" xfId="12808"/>
    <cellStyle name="40% - Accent4 3 2 2 6 2 2" xfId="12809"/>
    <cellStyle name="40% - Accent4 3 2 2 6 3" xfId="12810"/>
    <cellStyle name="40% - Accent4 3 2 2 6 4" xfId="12811"/>
    <cellStyle name="40% - Accent4 3 2 2 7" xfId="12812"/>
    <cellStyle name="40% - Accent4 3 2 2 7 2" xfId="12813"/>
    <cellStyle name="40% - Accent4 3 2 2 7 2 2" xfId="12814"/>
    <cellStyle name="40% - Accent4 3 2 2 7 3" xfId="12815"/>
    <cellStyle name="40% - Accent4 3 2 2 7 4" xfId="12816"/>
    <cellStyle name="40% - Accent4 3 2 2 8" xfId="12817"/>
    <cellStyle name="40% - Accent4 3 2 2 8 2" xfId="12818"/>
    <cellStyle name="40% - Accent4 3 2 2 8 2 2" xfId="12819"/>
    <cellStyle name="40% - Accent4 3 2 2 8 3" xfId="12820"/>
    <cellStyle name="40% - Accent4 3 2 2 8 4" xfId="12821"/>
    <cellStyle name="40% - Accent4 3 2 2 9" xfId="12822"/>
    <cellStyle name="40% - Accent4 3 2 2 9 2" xfId="12823"/>
    <cellStyle name="40% - Accent4 3 2 3" xfId="12824"/>
    <cellStyle name="40% - Accent4 3 2 3 10" xfId="12825"/>
    <cellStyle name="40% - Accent4 3 2 3 2" xfId="12826"/>
    <cellStyle name="40% - Accent4 3 2 3 2 2" xfId="12827"/>
    <cellStyle name="40% - Accent4 3 2 3 2 2 2" xfId="12828"/>
    <cellStyle name="40% - Accent4 3 2 3 2 2 2 2" xfId="12829"/>
    <cellStyle name="40% - Accent4 3 2 3 2 2 2 2 2" xfId="12830"/>
    <cellStyle name="40% - Accent4 3 2 3 2 2 2 3" xfId="12831"/>
    <cellStyle name="40% - Accent4 3 2 3 2 2 2 4" xfId="12832"/>
    <cellStyle name="40% - Accent4 3 2 3 2 2 3" xfId="12833"/>
    <cellStyle name="40% - Accent4 3 2 3 2 2 3 2" xfId="12834"/>
    <cellStyle name="40% - Accent4 3 2 3 2 2 4" xfId="12835"/>
    <cellStyle name="40% - Accent4 3 2 3 2 2 5" xfId="12836"/>
    <cellStyle name="40% - Accent4 3 2 3 2 3" xfId="12837"/>
    <cellStyle name="40% - Accent4 3 2 3 2 3 2" xfId="12838"/>
    <cellStyle name="40% - Accent4 3 2 3 2 3 2 2" xfId="12839"/>
    <cellStyle name="40% - Accent4 3 2 3 2 3 2 2 2" xfId="12840"/>
    <cellStyle name="40% - Accent4 3 2 3 2 3 2 3" xfId="12841"/>
    <cellStyle name="40% - Accent4 3 2 3 2 3 2 4" xfId="12842"/>
    <cellStyle name="40% - Accent4 3 2 3 2 3 3" xfId="12843"/>
    <cellStyle name="40% - Accent4 3 2 3 2 3 3 2" xfId="12844"/>
    <cellStyle name="40% - Accent4 3 2 3 2 3 4" xfId="12845"/>
    <cellStyle name="40% - Accent4 3 2 3 2 3 5" xfId="12846"/>
    <cellStyle name="40% - Accent4 3 2 3 2 4" xfId="12847"/>
    <cellStyle name="40% - Accent4 3 2 3 2 4 2" xfId="12848"/>
    <cellStyle name="40% - Accent4 3 2 3 2 4 2 2" xfId="12849"/>
    <cellStyle name="40% - Accent4 3 2 3 2 4 3" xfId="12850"/>
    <cellStyle name="40% - Accent4 3 2 3 2 4 4" xfId="12851"/>
    <cellStyle name="40% - Accent4 3 2 3 2 5" xfId="12852"/>
    <cellStyle name="40% - Accent4 3 2 3 2 5 2" xfId="12853"/>
    <cellStyle name="40% - Accent4 3 2 3 2 5 2 2" xfId="12854"/>
    <cellStyle name="40% - Accent4 3 2 3 2 5 3" xfId="12855"/>
    <cellStyle name="40% - Accent4 3 2 3 2 5 4" xfId="12856"/>
    <cellStyle name="40% - Accent4 3 2 3 2 6" xfId="12857"/>
    <cellStyle name="40% - Accent4 3 2 3 2 6 2" xfId="12858"/>
    <cellStyle name="40% - Accent4 3 2 3 2 6 2 2" xfId="12859"/>
    <cellStyle name="40% - Accent4 3 2 3 2 6 3" xfId="12860"/>
    <cellStyle name="40% - Accent4 3 2 3 2 6 4" xfId="12861"/>
    <cellStyle name="40% - Accent4 3 2 3 2 7" xfId="12862"/>
    <cellStyle name="40% - Accent4 3 2 3 2 7 2" xfId="12863"/>
    <cellStyle name="40% - Accent4 3 2 3 2 8" xfId="12864"/>
    <cellStyle name="40% - Accent4 3 2 3 2 9" xfId="12865"/>
    <cellStyle name="40% - Accent4 3 2 3 3" xfId="12866"/>
    <cellStyle name="40% - Accent4 3 2 3 3 2" xfId="12867"/>
    <cellStyle name="40% - Accent4 3 2 3 3 2 2" xfId="12868"/>
    <cellStyle name="40% - Accent4 3 2 3 3 2 2 2" xfId="12869"/>
    <cellStyle name="40% - Accent4 3 2 3 3 2 3" xfId="12870"/>
    <cellStyle name="40% - Accent4 3 2 3 3 2 4" xfId="12871"/>
    <cellStyle name="40% - Accent4 3 2 3 3 3" xfId="12872"/>
    <cellStyle name="40% - Accent4 3 2 3 3 3 2" xfId="12873"/>
    <cellStyle name="40% - Accent4 3 2 3 3 4" xfId="12874"/>
    <cellStyle name="40% - Accent4 3 2 3 3 5" xfId="12875"/>
    <cellStyle name="40% - Accent4 3 2 3 4" xfId="12876"/>
    <cellStyle name="40% - Accent4 3 2 3 4 2" xfId="12877"/>
    <cellStyle name="40% - Accent4 3 2 3 4 2 2" xfId="12878"/>
    <cellStyle name="40% - Accent4 3 2 3 4 2 2 2" xfId="12879"/>
    <cellStyle name="40% - Accent4 3 2 3 4 2 3" xfId="12880"/>
    <cellStyle name="40% - Accent4 3 2 3 4 2 4" xfId="12881"/>
    <cellStyle name="40% - Accent4 3 2 3 4 3" xfId="12882"/>
    <cellStyle name="40% - Accent4 3 2 3 4 3 2" xfId="12883"/>
    <cellStyle name="40% - Accent4 3 2 3 4 4" xfId="12884"/>
    <cellStyle name="40% - Accent4 3 2 3 4 5" xfId="12885"/>
    <cellStyle name="40% - Accent4 3 2 3 5" xfId="12886"/>
    <cellStyle name="40% - Accent4 3 2 3 5 2" xfId="12887"/>
    <cellStyle name="40% - Accent4 3 2 3 5 2 2" xfId="12888"/>
    <cellStyle name="40% - Accent4 3 2 3 5 3" xfId="12889"/>
    <cellStyle name="40% - Accent4 3 2 3 5 4" xfId="12890"/>
    <cellStyle name="40% - Accent4 3 2 3 6" xfId="12891"/>
    <cellStyle name="40% - Accent4 3 2 3 6 2" xfId="12892"/>
    <cellStyle name="40% - Accent4 3 2 3 6 2 2" xfId="12893"/>
    <cellStyle name="40% - Accent4 3 2 3 6 3" xfId="12894"/>
    <cellStyle name="40% - Accent4 3 2 3 6 4" xfId="12895"/>
    <cellStyle name="40% - Accent4 3 2 3 7" xfId="12896"/>
    <cellStyle name="40% - Accent4 3 2 3 7 2" xfId="12897"/>
    <cellStyle name="40% - Accent4 3 2 3 7 2 2" xfId="12898"/>
    <cellStyle name="40% - Accent4 3 2 3 7 3" xfId="12899"/>
    <cellStyle name="40% - Accent4 3 2 3 7 4" xfId="12900"/>
    <cellStyle name="40% - Accent4 3 2 3 8" xfId="12901"/>
    <cellStyle name="40% - Accent4 3 2 3 8 2" xfId="12902"/>
    <cellStyle name="40% - Accent4 3 2 3 9" xfId="12903"/>
    <cellStyle name="40% - Accent4 3 2 4" xfId="12904"/>
    <cellStyle name="40% - Accent4 3 2 4 2" xfId="12905"/>
    <cellStyle name="40% - Accent4 3 2 4 2 2" xfId="12906"/>
    <cellStyle name="40% - Accent4 3 2 4 2 2 2" xfId="12907"/>
    <cellStyle name="40% - Accent4 3 2 4 2 2 2 2" xfId="12908"/>
    <cellStyle name="40% - Accent4 3 2 4 2 2 3" xfId="12909"/>
    <cellStyle name="40% - Accent4 3 2 4 2 2 4" xfId="12910"/>
    <cellStyle name="40% - Accent4 3 2 4 2 3" xfId="12911"/>
    <cellStyle name="40% - Accent4 3 2 4 2 3 2" xfId="12912"/>
    <cellStyle name="40% - Accent4 3 2 4 2 4" xfId="12913"/>
    <cellStyle name="40% - Accent4 3 2 4 2 5" xfId="12914"/>
    <cellStyle name="40% - Accent4 3 2 4 3" xfId="12915"/>
    <cellStyle name="40% - Accent4 3 2 4 3 2" xfId="12916"/>
    <cellStyle name="40% - Accent4 3 2 4 3 2 2" xfId="12917"/>
    <cellStyle name="40% - Accent4 3 2 4 3 2 2 2" xfId="12918"/>
    <cellStyle name="40% - Accent4 3 2 4 3 2 3" xfId="12919"/>
    <cellStyle name="40% - Accent4 3 2 4 3 2 4" xfId="12920"/>
    <cellStyle name="40% - Accent4 3 2 4 3 3" xfId="12921"/>
    <cellStyle name="40% - Accent4 3 2 4 3 3 2" xfId="12922"/>
    <cellStyle name="40% - Accent4 3 2 4 3 4" xfId="12923"/>
    <cellStyle name="40% - Accent4 3 2 4 3 5" xfId="12924"/>
    <cellStyle name="40% - Accent4 3 2 4 4" xfId="12925"/>
    <cellStyle name="40% - Accent4 3 2 4 4 2" xfId="12926"/>
    <cellStyle name="40% - Accent4 3 2 4 4 2 2" xfId="12927"/>
    <cellStyle name="40% - Accent4 3 2 4 4 3" xfId="12928"/>
    <cellStyle name="40% - Accent4 3 2 4 4 4" xfId="12929"/>
    <cellStyle name="40% - Accent4 3 2 4 5" xfId="12930"/>
    <cellStyle name="40% - Accent4 3 2 4 5 2" xfId="12931"/>
    <cellStyle name="40% - Accent4 3 2 4 5 2 2" xfId="12932"/>
    <cellStyle name="40% - Accent4 3 2 4 5 3" xfId="12933"/>
    <cellStyle name="40% - Accent4 3 2 4 5 4" xfId="12934"/>
    <cellStyle name="40% - Accent4 3 2 4 6" xfId="12935"/>
    <cellStyle name="40% - Accent4 3 2 4 6 2" xfId="12936"/>
    <cellStyle name="40% - Accent4 3 2 4 6 2 2" xfId="12937"/>
    <cellStyle name="40% - Accent4 3 2 4 6 3" xfId="12938"/>
    <cellStyle name="40% - Accent4 3 2 4 6 4" xfId="12939"/>
    <cellStyle name="40% - Accent4 3 2 4 7" xfId="12940"/>
    <cellStyle name="40% - Accent4 3 2 4 7 2" xfId="12941"/>
    <cellStyle name="40% - Accent4 3 2 4 8" xfId="12942"/>
    <cellStyle name="40% - Accent4 3 2 4 9" xfId="12943"/>
    <cellStyle name="40% - Accent4 3 2 5" xfId="12944"/>
    <cellStyle name="40% - Accent4 3 2 5 2" xfId="12945"/>
    <cellStyle name="40% - Accent4 3 2 5 2 2" xfId="12946"/>
    <cellStyle name="40% - Accent4 3 2 5 2 2 2" xfId="12947"/>
    <cellStyle name="40% - Accent4 3 2 5 2 3" xfId="12948"/>
    <cellStyle name="40% - Accent4 3 2 5 2 4" xfId="12949"/>
    <cellStyle name="40% - Accent4 3 2 5 3" xfId="12950"/>
    <cellStyle name="40% - Accent4 3 2 5 3 2" xfId="12951"/>
    <cellStyle name="40% - Accent4 3 2 5 4" xfId="12952"/>
    <cellStyle name="40% - Accent4 3 2 5 5" xfId="12953"/>
    <cellStyle name="40% - Accent4 3 2 6" xfId="12954"/>
    <cellStyle name="40% - Accent4 3 2 6 2" xfId="12955"/>
    <cellStyle name="40% - Accent4 3 2 6 2 2" xfId="12956"/>
    <cellStyle name="40% - Accent4 3 2 6 2 2 2" xfId="12957"/>
    <cellStyle name="40% - Accent4 3 2 6 2 3" xfId="12958"/>
    <cellStyle name="40% - Accent4 3 2 6 2 4" xfId="12959"/>
    <cellStyle name="40% - Accent4 3 2 6 3" xfId="12960"/>
    <cellStyle name="40% - Accent4 3 2 6 3 2" xfId="12961"/>
    <cellStyle name="40% - Accent4 3 2 6 4" xfId="12962"/>
    <cellStyle name="40% - Accent4 3 2 6 5" xfId="12963"/>
    <cellStyle name="40% - Accent4 3 2 7" xfId="12964"/>
    <cellStyle name="40% - Accent4 3 2 7 2" xfId="12965"/>
    <cellStyle name="40% - Accent4 3 2 7 2 2" xfId="12966"/>
    <cellStyle name="40% - Accent4 3 2 7 3" xfId="12967"/>
    <cellStyle name="40% - Accent4 3 2 7 4" xfId="12968"/>
    <cellStyle name="40% - Accent4 3 2 8" xfId="12969"/>
    <cellStyle name="40% - Accent4 3 2 8 2" xfId="12970"/>
    <cellStyle name="40% - Accent4 3 2 8 2 2" xfId="12971"/>
    <cellStyle name="40% - Accent4 3 2 8 3" xfId="12972"/>
    <cellStyle name="40% - Accent4 3 2 8 4" xfId="12973"/>
    <cellStyle name="40% - Accent4 3 2 9" xfId="12974"/>
    <cellStyle name="40% - Accent4 3 2 9 2" xfId="12975"/>
    <cellStyle name="40% - Accent4 3 2 9 2 2" xfId="12976"/>
    <cellStyle name="40% - Accent4 3 2 9 3" xfId="12977"/>
    <cellStyle name="40% - Accent4 3 2 9 4" xfId="12978"/>
    <cellStyle name="40% - Accent4 3 3" xfId="12979"/>
    <cellStyle name="40% - Accent4 3 4" xfId="12980"/>
    <cellStyle name="40% - Accent4 3 4 2" xfId="12981"/>
    <cellStyle name="40% - Accent4 3 4 2 2" xfId="12982"/>
    <cellStyle name="40% - Accent4 3 4 2 2 2" xfId="12983"/>
    <cellStyle name="40% - Accent4 3 4 2 3" xfId="12984"/>
    <cellStyle name="40% - Accent4 3 4 2 4" xfId="12985"/>
    <cellStyle name="40% - Accent4 3 4 3" xfId="12986"/>
    <cellStyle name="40% - Accent4 3 4 4" xfId="12987"/>
    <cellStyle name="40% - Accent4 3 4 4 2" xfId="12988"/>
    <cellStyle name="40% - Accent4 3 4 5" xfId="12989"/>
    <cellStyle name="40% - Accent4 3 4 6" xfId="12990"/>
    <cellStyle name="40% - Accent4 3 5" xfId="12991"/>
    <cellStyle name="40% - Accent4 3 5 2" xfId="12992"/>
    <cellStyle name="40% - Accent4 3 5 2 2" xfId="12993"/>
    <cellStyle name="40% - Accent4 3 5 3" xfId="12994"/>
    <cellStyle name="40% - Accent4 3 5 4" xfId="12995"/>
    <cellStyle name="40% - Accent4 3 6" xfId="12996"/>
    <cellStyle name="40% - Accent4 3 7" xfId="12997"/>
    <cellStyle name="40% - Accent4 3 7 2" xfId="12998"/>
    <cellStyle name="40% - Accent4 3 8" xfId="12999"/>
    <cellStyle name="40% - Accent4 3 9" xfId="13000"/>
    <cellStyle name="40% - Accent4 4" xfId="220"/>
    <cellStyle name="40% - Accent4 4 10" xfId="13001"/>
    <cellStyle name="40% - Accent4 4 2" xfId="13002"/>
    <cellStyle name="40% - Accent4 4 2 10" xfId="13003"/>
    <cellStyle name="40% - Accent4 4 2 11" xfId="13004"/>
    <cellStyle name="40% - Accent4 4 2 2" xfId="13005"/>
    <cellStyle name="40% - Accent4 4 2 2 10" xfId="13006"/>
    <cellStyle name="40% - Accent4 4 2 2 2" xfId="13007"/>
    <cellStyle name="40% - Accent4 4 2 2 2 2" xfId="13008"/>
    <cellStyle name="40% - Accent4 4 2 2 2 2 2" xfId="13009"/>
    <cellStyle name="40% - Accent4 4 2 2 2 2 2 2" xfId="13010"/>
    <cellStyle name="40% - Accent4 4 2 2 2 2 2 2 2" xfId="13011"/>
    <cellStyle name="40% - Accent4 4 2 2 2 2 2 3" xfId="13012"/>
    <cellStyle name="40% - Accent4 4 2 2 2 2 2 4" xfId="13013"/>
    <cellStyle name="40% - Accent4 4 2 2 2 2 3" xfId="13014"/>
    <cellStyle name="40% - Accent4 4 2 2 2 2 3 2" xfId="13015"/>
    <cellStyle name="40% - Accent4 4 2 2 2 2 4" xfId="13016"/>
    <cellStyle name="40% - Accent4 4 2 2 2 2 5" xfId="13017"/>
    <cellStyle name="40% - Accent4 4 2 2 2 3" xfId="13018"/>
    <cellStyle name="40% - Accent4 4 2 2 2 3 2" xfId="13019"/>
    <cellStyle name="40% - Accent4 4 2 2 2 3 2 2" xfId="13020"/>
    <cellStyle name="40% - Accent4 4 2 2 2 3 2 2 2" xfId="13021"/>
    <cellStyle name="40% - Accent4 4 2 2 2 3 2 3" xfId="13022"/>
    <cellStyle name="40% - Accent4 4 2 2 2 3 2 4" xfId="13023"/>
    <cellStyle name="40% - Accent4 4 2 2 2 3 3" xfId="13024"/>
    <cellStyle name="40% - Accent4 4 2 2 2 3 3 2" xfId="13025"/>
    <cellStyle name="40% - Accent4 4 2 2 2 3 4" xfId="13026"/>
    <cellStyle name="40% - Accent4 4 2 2 2 3 5" xfId="13027"/>
    <cellStyle name="40% - Accent4 4 2 2 2 4" xfId="13028"/>
    <cellStyle name="40% - Accent4 4 2 2 2 4 2" xfId="13029"/>
    <cellStyle name="40% - Accent4 4 2 2 2 4 2 2" xfId="13030"/>
    <cellStyle name="40% - Accent4 4 2 2 2 4 3" xfId="13031"/>
    <cellStyle name="40% - Accent4 4 2 2 2 4 4" xfId="13032"/>
    <cellStyle name="40% - Accent4 4 2 2 2 5" xfId="13033"/>
    <cellStyle name="40% - Accent4 4 2 2 2 5 2" xfId="13034"/>
    <cellStyle name="40% - Accent4 4 2 2 2 5 2 2" xfId="13035"/>
    <cellStyle name="40% - Accent4 4 2 2 2 5 3" xfId="13036"/>
    <cellStyle name="40% - Accent4 4 2 2 2 5 4" xfId="13037"/>
    <cellStyle name="40% - Accent4 4 2 2 2 6" xfId="13038"/>
    <cellStyle name="40% - Accent4 4 2 2 2 6 2" xfId="13039"/>
    <cellStyle name="40% - Accent4 4 2 2 2 6 2 2" xfId="13040"/>
    <cellStyle name="40% - Accent4 4 2 2 2 6 3" xfId="13041"/>
    <cellStyle name="40% - Accent4 4 2 2 2 6 4" xfId="13042"/>
    <cellStyle name="40% - Accent4 4 2 2 2 7" xfId="13043"/>
    <cellStyle name="40% - Accent4 4 2 2 2 7 2" xfId="13044"/>
    <cellStyle name="40% - Accent4 4 2 2 2 8" xfId="13045"/>
    <cellStyle name="40% - Accent4 4 2 2 2 9" xfId="13046"/>
    <cellStyle name="40% - Accent4 4 2 2 3" xfId="13047"/>
    <cellStyle name="40% - Accent4 4 2 2 3 2" xfId="13048"/>
    <cellStyle name="40% - Accent4 4 2 2 3 2 2" xfId="13049"/>
    <cellStyle name="40% - Accent4 4 2 2 3 2 2 2" xfId="13050"/>
    <cellStyle name="40% - Accent4 4 2 2 3 2 3" xfId="13051"/>
    <cellStyle name="40% - Accent4 4 2 2 3 2 4" xfId="13052"/>
    <cellStyle name="40% - Accent4 4 2 2 3 3" xfId="13053"/>
    <cellStyle name="40% - Accent4 4 2 2 3 3 2" xfId="13054"/>
    <cellStyle name="40% - Accent4 4 2 2 3 4" xfId="13055"/>
    <cellStyle name="40% - Accent4 4 2 2 3 5" xfId="13056"/>
    <cellStyle name="40% - Accent4 4 2 2 4" xfId="13057"/>
    <cellStyle name="40% - Accent4 4 2 2 4 2" xfId="13058"/>
    <cellStyle name="40% - Accent4 4 2 2 4 2 2" xfId="13059"/>
    <cellStyle name="40% - Accent4 4 2 2 4 2 2 2" xfId="13060"/>
    <cellStyle name="40% - Accent4 4 2 2 4 2 3" xfId="13061"/>
    <cellStyle name="40% - Accent4 4 2 2 4 2 4" xfId="13062"/>
    <cellStyle name="40% - Accent4 4 2 2 4 3" xfId="13063"/>
    <cellStyle name="40% - Accent4 4 2 2 4 3 2" xfId="13064"/>
    <cellStyle name="40% - Accent4 4 2 2 4 4" xfId="13065"/>
    <cellStyle name="40% - Accent4 4 2 2 4 5" xfId="13066"/>
    <cellStyle name="40% - Accent4 4 2 2 5" xfId="13067"/>
    <cellStyle name="40% - Accent4 4 2 2 5 2" xfId="13068"/>
    <cellStyle name="40% - Accent4 4 2 2 5 2 2" xfId="13069"/>
    <cellStyle name="40% - Accent4 4 2 2 5 3" xfId="13070"/>
    <cellStyle name="40% - Accent4 4 2 2 5 4" xfId="13071"/>
    <cellStyle name="40% - Accent4 4 2 2 6" xfId="13072"/>
    <cellStyle name="40% - Accent4 4 2 2 6 2" xfId="13073"/>
    <cellStyle name="40% - Accent4 4 2 2 6 2 2" xfId="13074"/>
    <cellStyle name="40% - Accent4 4 2 2 6 3" xfId="13075"/>
    <cellStyle name="40% - Accent4 4 2 2 6 4" xfId="13076"/>
    <cellStyle name="40% - Accent4 4 2 2 7" xfId="13077"/>
    <cellStyle name="40% - Accent4 4 2 2 7 2" xfId="13078"/>
    <cellStyle name="40% - Accent4 4 2 2 7 2 2" xfId="13079"/>
    <cellStyle name="40% - Accent4 4 2 2 7 3" xfId="13080"/>
    <cellStyle name="40% - Accent4 4 2 2 7 4" xfId="13081"/>
    <cellStyle name="40% - Accent4 4 2 2 8" xfId="13082"/>
    <cellStyle name="40% - Accent4 4 2 2 8 2" xfId="13083"/>
    <cellStyle name="40% - Accent4 4 2 2 9" xfId="13084"/>
    <cellStyle name="40% - Accent4 4 2 3" xfId="13085"/>
    <cellStyle name="40% - Accent4 4 2 3 2" xfId="13086"/>
    <cellStyle name="40% - Accent4 4 2 3 2 2" xfId="13087"/>
    <cellStyle name="40% - Accent4 4 2 3 2 2 2" xfId="13088"/>
    <cellStyle name="40% - Accent4 4 2 3 2 2 2 2" xfId="13089"/>
    <cellStyle name="40% - Accent4 4 2 3 2 2 3" xfId="13090"/>
    <cellStyle name="40% - Accent4 4 2 3 2 2 4" xfId="13091"/>
    <cellStyle name="40% - Accent4 4 2 3 2 3" xfId="13092"/>
    <cellStyle name="40% - Accent4 4 2 3 2 3 2" xfId="13093"/>
    <cellStyle name="40% - Accent4 4 2 3 2 4" xfId="13094"/>
    <cellStyle name="40% - Accent4 4 2 3 2 5" xfId="13095"/>
    <cellStyle name="40% - Accent4 4 2 3 3" xfId="13096"/>
    <cellStyle name="40% - Accent4 4 2 3 3 2" xfId="13097"/>
    <cellStyle name="40% - Accent4 4 2 3 3 2 2" xfId="13098"/>
    <cellStyle name="40% - Accent4 4 2 3 3 2 2 2" xfId="13099"/>
    <cellStyle name="40% - Accent4 4 2 3 3 2 3" xfId="13100"/>
    <cellStyle name="40% - Accent4 4 2 3 3 2 4" xfId="13101"/>
    <cellStyle name="40% - Accent4 4 2 3 3 3" xfId="13102"/>
    <cellStyle name="40% - Accent4 4 2 3 3 3 2" xfId="13103"/>
    <cellStyle name="40% - Accent4 4 2 3 3 4" xfId="13104"/>
    <cellStyle name="40% - Accent4 4 2 3 3 5" xfId="13105"/>
    <cellStyle name="40% - Accent4 4 2 3 4" xfId="13106"/>
    <cellStyle name="40% - Accent4 4 2 3 4 2" xfId="13107"/>
    <cellStyle name="40% - Accent4 4 2 3 4 2 2" xfId="13108"/>
    <cellStyle name="40% - Accent4 4 2 3 4 3" xfId="13109"/>
    <cellStyle name="40% - Accent4 4 2 3 4 4" xfId="13110"/>
    <cellStyle name="40% - Accent4 4 2 3 5" xfId="13111"/>
    <cellStyle name="40% - Accent4 4 2 3 5 2" xfId="13112"/>
    <cellStyle name="40% - Accent4 4 2 3 5 2 2" xfId="13113"/>
    <cellStyle name="40% - Accent4 4 2 3 5 3" xfId="13114"/>
    <cellStyle name="40% - Accent4 4 2 3 5 4" xfId="13115"/>
    <cellStyle name="40% - Accent4 4 2 3 6" xfId="13116"/>
    <cellStyle name="40% - Accent4 4 2 3 6 2" xfId="13117"/>
    <cellStyle name="40% - Accent4 4 2 3 6 2 2" xfId="13118"/>
    <cellStyle name="40% - Accent4 4 2 3 6 3" xfId="13119"/>
    <cellStyle name="40% - Accent4 4 2 3 6 4" xfId="13120"/>
    <cellStyle name="40% - Accent4 4 2 3 7" xfId="13121"/>
    <cellStyle name="40% - Accent4 4 2 3 7 2" xfId="13122"/>
    <cellStyle name="40% - Accent4 4 2 3 8" xfId="13123"/>
    <cellStyle name="40% - Accent4 4 2 3 9" xfId="13124"/>
    <cellStyle name="40% - Accent4 4 2 4" xfId="13125"/>
    <cellStyle name="40% - Accent4 4 2 4 2" xfId="13126"/>
    <cellStyle name="40% - Accent4 4 2 4 2 2" xfId="13127"/>
    <cellStyle name="40% - Accent4 4 2 4 2 2 2" xfId="13128"/>
    <cellStyle name="40% - Accent4 4 2 4 2 3" xfId="13129"/>
    <cellStyle name="40% - Accent4 4 2 4 2 4" xfId="13130"/>
    <cellStyle name="40% - Accent4 4 2 4 3" xfId="13131"/>
    <cellStyle name="40% - Accent4 4 2 4 3 2" xfId="13132"/>
    <cellStyle name="40% - Accent4 4 2 4 4" xfId="13133"/>
    <cellStyle name="40% - Accent4 4 2 4 5" xfId="13134"/>
    <cellStyle name="40% - Accent4 4 2 5" xfId="13135"/>
    <cellStyle name="40% - Accent4 4 2 5 2" xfId="13136"/>
    <cellStyle name="40% - Accent4 4 2 5 2 2" xfId="13137"/>
    <cellStyle name="40% - Accent4 4 2 5 2 2 2" xfId="13138"/>
    <cellStyle name="40% - Accent4 4 2 5 2 3" xfId="13139"/>
    <cellStyle name="40% - Accent4 4 2 5 2 4" xfId="13140"/>
    <cellStyle name="40% - Accent4 4 2 5 3" xfId="13141"/>
    <cellStyle name="40% - Accent4 4 2 5 3 2" xfId="13142"/>
    <cellStyle name="40% - Accent4 4 2 5 4" xfId="13143"/>
    <cellStyle name="40% - Accent4 4 2 5 5" xfId="13144"/>
    <cellStyle name="40% - Accent4 4 2 6" xfId="13145"/>
    <cellStyle name="40% - Accent4 4 2 6 2" xfId="13146"/>
    <cellStyle name="40% - Accent4 4 2 6 2 2" xfId="13147"/>
    <cellStyle name="40% - Accent4 4 2 6 3" xfId="13148"/>
    <cellStyle name="40% - Accent4 4 2 6 4" xfId="13149"/>
    <cellStyle name="40% - Accent4 4 2 7" xfId="13150"/>
    <cellStyle name="40% - Accent4 4 2 7 2" xfId="13151"/>
    <cellStyle name="40% - Accent4 4 2 7 2 2" xfId="13152"/>
    <cellStyle name="40% - Accent4 4 2 7 3" xfId="13153"/>
    <cellStyle name="40% - Accent4 4 2 7 4" xfId="13154"/>
    <cellStyle name="40% - Accent4 4 2 8" xfId="13155"/>
    <cellStyle name="40% - Accent4 4 2 8 2" xfId="13156"/>
    <cellStyle name="40% - Accent4 4 2 8 2 2" xfId="13157"/>
    <cellStyle name="40% - Accent4 4 2 8 3" xfId="13158"/>
    <cellStyle name="40% - Accent4 4 2 8 4" xfId="13159"/>
    <cellStyle name="40% - Accent4 4 2 9" xfId="13160"/>
    <cellStyle name="40% - Accent4 4 2 9 2" xfId="13161"/>
    <cellStyle name="40% - Accent4 4 3" xfId="13162"/>
    <cellStyle name="40% - Accent4 4 3 10" xfId="13163"/>
    <cellStyle name="40% - Accent4 4 3 2" xfId="13164"/>
    <cellStyle name="40% - Accent4 4 3 2 2" xfId="13165"/>
    <cellStyle name="40% - Accent4 4 3 2 2 2" xfId="13166"/>
    <cellStyle name="40% - Accent4 4 3 2 2 2 2" xfId="13167"/>
    <cellStyle name="40% - Accent4 4 3 2 2 2 2 2" xfId="13168"/>
    <cellStyle name="40% - Accent4 4 3 2 2 2 3" xfId="13169"/>
    <cellStyle name="40% - Accent4 4 3 2 2 2 4" xfId="13170"/>
    <cellStyle name="40% - Accent4 4 3 2 2 3" xfId="13171"/>
    <cellStyle name="40% - Accent4 4 3 2 2 3 2" xfId="13172"/>
    <cellStyle name="40% - Accent4 4 3 2 2 4" xfId="13173"/>
    <cellStyle name="40% - Accent4 4 3 2 2 5" xfId="13174"/>
    <cellStyle name="40% - Accent4 4 3 2 3" xfId="13175"/>
    <cellStyle name="40% - Accent4 4 3 2 3 2" xfId="13176"/>
    <cellStyle name="40% - Accent4 4 3 2 3 2 2" xfId="13177"/>
    <cellStyle name="40% - Accent4 4 3 2 3 2 2 2" xfId="13178"/>
    <cellStyle name="40% - Accent4 4 3 2 3 2 3" xfId="13179"/>
    <cellStyle name="40% - Accent4 4 3 2 3 2 4" xfId="13180"/>
    <cellStyle name="40% - Accent4 4 3 2 3 3" xfId="13181"/>
    <cellStyle name="40% - Accent4 4 3 2 3 3 2" xfId="13182"/>
    <cellStyle name="40% - Accent4 4 3 2 3 4" xfId="13183"/>
    <cellStyle name="40% - Accent4 4 3 2 3 5" xfId="13184"/>
    <cellStyle name="40% - Accent4 4 3 2 4" xfId="13185"/>
    <cellStyle name="40% - Accent4 4 3 2 4 2" xfId="13186"/>
    <cellStyle name="40% - Accent4 4 3 2 4 2 2" xfId="13187"/>
    <cellStyle name="40% - Accent4 4 3 2 4 3" xfId="13188"/>
    <cellStyle name="40% - Accent4 4 3 2 4 4" xfId="13189"/>
    <cellStyle name="40% - Accent4 4 3 2 5" xfId="13190"/>
    <cellStyle name="40% - Accent4 4 3 2 5 2" xfId="13191"/>
    <cellStyle name="40% - Accent4 4 3 2 5 2 2" xfId="13192"/>
    <cellStyle name="40% - Accent4 4 3 2 5 3" xfId="13193"/>
    <cellStyle name="40% - Accent4 4 3 2 5 4" xfId="13194"/>
    <cellStyle name="40% - Accent4 4 3 2 6" xfId="13195"/>
    <cellStyle name="40% - Accent4 4 3 2 6 2" xfId="13196"/>
    <cellStyle name="40% - Accent4 4 3 2 6 2 2" xfId="13197"/>
    <cellStyle name="40% - Accent4 4 3 2 6 3" xfId="13198"/>
    <cellStyle name="40% - Accent4 4 3 2 6 4" xfId="13199"/>
    <cellStyle name="40% - Accent4 4 3 2 7" xfId="13200"/>
    <cellStyle name="40% - Accent4 4 3 2 7 2" xfId="13201"/>
    <cellStyle name="40% - Accent4 4 3 2 8" xfId="13202"/>
    <cellStyle name="40% - Accent4 4 3 2 9" xfId="13203"/>
    <cellStyle name="40% - Accent4 4 3 3" xfId="13204"/>
    <cellStyle name="40% - Accent4 4 3 3 2" xfId="13205"/>
    <cellStyle name="40% - Accent4 4 3 3 2 2" xfId="13206"/>
    <cellStyle name="40% - Accent4 4 3 3 2 2 2" xfId="13207"/>
    <cellStyle name="40% - Accent4 4 3 3 2 3" xfId="13208"/>
    <cellStyle name="40% - Accent4 4 3 3 2 4" xfId="13209"/>
    <cellStyle name="40% - Accent4 4 3 3 3" xfId="13210"/>
    <cellStyle name="40% - Accent4 4 3 3 3 2" xfId="13211"/>
    <cellStyle name="40% - Accent4 4 3 3 4" xfId="13212"/>
    <cellStyle name="40% - Accent4 4 3 3 5" xfId="13213"/>
    <cellStyle name="40% - Accent4 4 3 4" xfId="13214"/>
    <cellStyle name="40% - Accent4 4 3 4 2" xfId="13215"/>
    <cellStyle name="40% - Accent4 4 3 4 2 2" xfId="13216"/>
    <cellStyle name="40% - Accent4 4 3 4 2 2 2" xfId="13217"/>
    <cellStyle name="40% - Accent4 4 3 4 2 3" xfId="13218"/>
    <cellStyle name="40% - Accent4 4 3 4 2 4" xfId="13219"/>
    <cellStyle name="40% - Accent4 4 3 4 3" xfId="13220"/>
    <cellStyle name="40% - Accent4 4 3 4 3 2" xfId="13221"/>
    <cellStyle name="40% - Accent4 4 3 4 4" xfId="13222"/>
    <cellStyle name="40% - Accent4 4 3 4 5" xfId="13223"/>
    <cellStyle name="40% - Accent4 4 3 5" xfId="13224"/>
    <cellStyle name="40% - Accent4 4 3 5 2" xfId="13225"/>
    <cellStyle name="40% - Accent4 4 3 5 2 2" xfId="13226"/>
    <cellStyle name="40% - Accent4 4 3 5 3" xfId="13227"/>
    <cellStyle name="40% - Accent4 4 3 5 4" xfId="13228"/>
    <cellStyle name="40% - Accent4 4 3 6" xfId="13229"/>
    <cellStyle name="40% - Accent4 4 3 6 2" xfId="13230"/>
    <cellStyle name="40% - Accent4 4 3 6 2 2" xfId="13231"/>
    <cellStyle name="40% - Accent4 4 3 6 3" xfId="13232"/>
    <cellStyle name="40% - Accent4 4 3 6 4" xfId="13233"/>
    <cellStyle name="40% - Accent4 4 3 7" xfId="13234"/>
    <cellStyle name="40% - Accent4 4 3 7 2" xfId="13235"/>
    <cellStyle name="40% - Accent4 4 3 7 2 2" xfId="13236"/>
    <cellStyle name="40% - Accent4 4 3 7 3" xfId="13237"/>
    <cellStyle name="40% - Accent4 4 3 7 4" xfId="13238"/>
    <cellStyle name="40% - Accent4 4 3 8" xfId="13239"/>
    <cellStyle name="40% - Accent4 4 3 8 2" xfId="13240"/>
    <cellStyle name="40% - Accent4 4 3 9" xfId="13241"/>
    <cellStyle name="40% - Accent4 4 4" xfId="13242"/>
    <cellStyle name="40% - Accent4 4 4 2" xfId="13243"/>
    <cellStyle name="40% - Accent4 4 4 2 2" xfId="13244"/>
    <cellStyle name="40% - Accent4 4 4 2 2 2" xfId="13245"/>
    <cellStyle name="40% - Accent4 4 4 2 2 2 2" xfId="13246"/>
    <cellStyle name="40% - Accent4 4 4 2 2 3" xfId="13247"/>
    <cellStyle name="40% - Accent4 4 4 2 2 4" xfId="13248"/>
    <cellStyle name="40% - Accent4 4 4 2 3" xfId="13249"/>
    <cellStyle name="40% - Accent4 4 4 2 3 2" xfId="13250"/>
    <cellStyle name="40% - Accent4 4 4 2 4" xfId="13251"/>
    <cellStyle name="40% - Accent4 4 4 2 5" xfId="13252"/>
    <cellStyle name="40% - Accent4 4 4 3" xfId="13253"/>
    <cellStyle name="40% - Accent4 4 4 3 2" xfId="13254"/>
    <cellStyle name="40% - Accent4 4 4 3 2 2" xfId="13255"/>
    <cellStyle name="40% - Accent4 4 4 3 2 2 2" xfId="13256"/>
    <cellStyle name="40% - Accent4 4 4 3 2 3" xfId="13257"/>
    <cellStyle name="40% - Accent4 4 4 3 2 4" xfId="13258"/>
    <cellStyle name="40% - Accent4 4 4 3 3" xfId="13259"/>
    <cellStyle name="40% - Accent4 4 4 3 3 2" xfId="13260"/>
    <cellStyle name="40% - Accent4 4 4 3 4" xfId="13261"/>
    <cellStyle name="40% - Accent4 4 4 3 5" xfId="13262"/>
    <cellStyle name="40% - Accent4 4 4 4" xfId="13263"/>
    <cellStyle name="40% - Accent4 4 4 4 2" xfId="13264"/>
    <cellStyle name="40% - Accent4 4 4 4 2 2" xfId="13265"/>
    <cellStyle name="40% - Accent4 4 4 4 3" xfId="13266"/>
    <cellStyle name="40% - Accent4 4 4 4 4" xfId="13267"/>
    <cellStyle name="40% - Accent4 4 4 5" xfId="13268"/>
    <cellStyle name="40% - Accent4 4 4 5 2" xfId="13269"/>
    <cellStyle name="40% - Accent4 4 4 5 2 2" xfId="13270"/>
    <cellStyle name="40% - Accent4 4 4 5 3" xfId="13271"/>
    <cellStyle name="40% - Accent4 4 4 5 4" xfId="13272"/>
    <cellStyle name="40% - Accent4 4 4 6" xfId="13273"/>
    <cellStyle name="40% - Accent4 4 4 6 2" xfId="13274"/>
    <cellStyle name="40% - Accent4 4 4 6 2 2" xfId="13275"/>
    <cellStyle name="40% - Accent4 4 4 6 3" xfId="13276"/>
    <cellStyle name="40% - Accent4 4 4 6 4" xfId="13277"/>
    <cellStyle name="40% - Accent4 4 4 7" xfId="13278"/>
    <cellStyle name="40% - Accent4 4 4 7 2" xfId="13279"/>
    <cellStyle name="40% - Accent4 4 4 8" xfId="13280"/>
    <cellStyle name="40% - Accent4 4 4 9" xfId="13281"/>
    <cellStyle name="40% - Accent4 4 5" xfId="13282"/>
    <cellStyle name="40% - Accent4 4 5 2" xfId="13283"/>
    <cellStyle name="40% - Accent4 4 5 2 2" xfId="13284"/>
    <cellStyle name="40% - Accent4 4 5 2 2 2" xfId="13285"/>
    <cellStyle name="40% - Accent4 4 5 2 2 2 2" xfId="13286"/>
    <cellStyle name="40% - Accent4 4 5 2 2 3" xfId="13287"/>
    <cellStyle name="40% - Accent4 4 5 2 2 4" xfId="13288"/>
    <cellStyle name="40% - Accent4 4 5 2 3" xfId="13289"/>
    <cellStyle name="40% - Accent4 4 5 2 3 2" xfId="13290"/>
    <cellStyle name="40% - Accent4 4 5 2 4" xfId="13291"/>
    <cellStyle name="40% - Accent4 4 5 2 5" xfId="13292"/>
    <cellStyle name="40% - Accent4 4 5 3" xfId="13293"/>
    <cellStyle name="40% - Accent4 4 5 3 2" xfId="13294"/>
    <cellStyle name="40% - Accent4 4 5 3 2 2" xfId="13295"/>
    <cellStyle name="40% - Accent4 4 5 3 3" xfId="13296"/>
    <cellStyle name="40% - Accent4 4 5 3 4" xfId="13297"/>
    <cellStyle name="40% - Accent4 4 5 4" xfId="13298"/>
    <cellStyle name="40% - Accent4 4 5 5" xfId="13299"/>
    <cellStyle name="40% - Accent4 4 5 5 2" xfId="13300"/>
    <cellStyle name="40% - Accent4 4 5 6" xfId="13301"/>
    <cellStyle name="40% - Accent4 4 5 7" xfId="13302"/>
    <cellStyle name="40% - Accent4 4 6" xfId="13303"/>
    <cellStyle name="40% - Accent4 4 6 2" xfId="13304"/>
    <cellStyle name="40% - Accent4 4 6 2 2" xfId="13305"/>
    <cellStyle name="40% - Accent4 4 6 2 2 2" xfId="13306"/>
    <cellStyle name="40% - Accent4 4 6 2 3" xfId="13307"/>
    <cellStyle name="40% - Accent4 4 6 2 4" xfId="13308"/>
    <cellStyle name="40% - Accent4 4 6 3" xfId="13309"/>
    <cellStyle name="40% - Accent4 4 6 3 2" xfId="13310"/>
    <cellStyle name="40% - Accent4 4 6 3 2 2" xfId="13311"/>
    <cellStyle name="40% - Accent4 4 6 3 3" xfId="13312"/>
    <cellStyle name="40% - Accent4 4 6 3 4" xfId="13313"/>
    <cellStyle name="40% - Accent4 4 6 4" xfId="13314"/>
    <cellStyle name="40% - Accent4 4 6 4 2" xfId="13315"/>
    <cellStyle name="40% - Accent4 4 6 5" xfId="13316"/>
    <cellStyle name="40% - Accent4 4 6 6" xfId="13317"/>
    <cellStyle name="40% - Accent4 4 7" xfId="13318"/>
    <cellStyle name="40% - Accent4 4 7 2" xfId="13319"/>
    <cellStyle name="40% - Accent4 4 7 2 2" xfId="13320"/>
    <cellStyle name="40% - Accent4 4 7 3" xfId="13321"/>
    <cellStyle name="40% - Accent4 4 7 4" xfId="13322"/>
    <cellStyle name="40% - Accent4 4 8" xfId="13323"/>
    <cellStyle name="40% - Accent4 4 8 2" xfId="13324"/>
    <cellStyle name="40% - Accent4 4 8 2 2" xfId="13325"/>
    <cellStyle name="40% - Accent4 4 8 3" xfId="13326"/>
    <cellStyle name="40% - Accent4 4 8 4" xfId="13327"/>
    <cellStyle name="40% - Accent4 4 9" xfId="35513"/>
    <cellStyle name="40% - Accent4 5" xfId="13328"/>
    <cellStyle name="40% - Accent4 5 2" xfId="13329"/>
    <cellStyle name="40% - Accent4 5 2 10" xfId="13330"/>
    <cellStyle name="40% - Accent4 5 2 11" xfId="13331"/>
    <cellStyle name="40% - Accent4 5 2 2" xfId="13332"/>
    <cellStyle name="40% - Accent4 5 2 2 10" xfId="13333"/>
    <cellStyle name="40% - Accent4 5 2 2 2" xfId="13334"/>
    <cellStyle name="40% - Accent4 5 2 2 2 2" xfId="13335"/>
    <cellStyle name="40% - Accent4 5 2 2 2 2 2" xfId="13336"/>
    <cellStyle name="40% - Accent4 5 2 2 2 2 2 2" xfId="13337"/>
    <cellStyle name="40% - Accent4 5 2 2 2 2 2 2 2" xfId="13338"/>
    <cellStyle name="40% - Accent4 5 2 2 2 2 2 3" xfId="13339"/>
    <cellStyle name="40% - Accent4 5 2 2 2 2 2 4" xfId="13340"/>
    <cellStyle name="40% - Accent4 5 2 2 2 2 3" xfId="13341"/>
    <cellStyle name="40% - Accent4 5 2 2 2 2 3 2" xfId="13342"/>
    <cellStyle name="40% - Accent4 5 2 2 2 2 4" xfId="13343"/>
    <cellStyle name="40% - Accent4 5 2 2 2 2 5" xfId="13344"/>
    <cellStyle name="40% - Accent4 5 2 2 2 3" xfId="13345"/>
    <cellStyle name="40% - Accent4 5 2 2 2 3 2" xfId="13346"/>
    <cellStyle name="40% - Accent4 5 2 2 2 3 2 2" xfId="13347"/>
    <cellStyle name="40% - Accent4 5 2 2 2 3 2 2 2" xfId="13348"/>
    <cellStyle name="40% - Accent4 5 2 2 2 3 2 3" xfId="13349"/>
    <cellStyle name="40% - Accent4 5 2 2 2 3 2 4" xfId="13350"/>
    <cellStyle name="40% - Accent4 5 2 2 2 3 3" xfId="13351"/>
    <cellStyle name="40% - Accent4 5 2 2 2 3 3 2" xfId="13352"/>
    <cellStyle name="40% - Accent4 5 2 2 2 3 4" xfId="13353"/>
    <cellStyle name="40% - Accent4 5 2 2 2 3 5" xfId="13354"/>
    <cellStyle name="40% - Accent4 5 2 2 2 4" xfId="13355"/>
    <cellStyle name="40% - Accent4 5 2 2 2 4 2" xfId="13356"/>
    <cellStyle name="40% - Accent4 5 2 2 2 4 2 2" xfId="13357"/>
    <cellStyle name="40% - Accent4 5 2 2 2 4 3" xfId="13358"/>
    <cellStyle name="40% - Accent4 5 2 2 2 4 4" xfId="13359"/>
    <cellStyle name="40% - Accent4 5 2 2 2 5" xfId="13360"/>
    <cellStyle name="40% - Accent4 5 2 2 2 5 2" xfId="13361"/>
    <cellStyle name="40% - Accent4 5 2 2 2 5 2 2" xfId="13362"/>
    <cellStyle name="40% - Accent4 5 2 2 2 5 3" xfId="13363"/>
    <cellStyle name="40% - Accent4 5 2 2 2 5 4" xfId="13364"/>
    <cellStyle name="40% - Accent4 5 2 2 2 6" xfId="13365"/>
    <cellStyle name="40% - Accent4 5 2 2 2 6 2" xfId="13366"/>
    <cellStyle name="40% - Accent4 5 2 2 2 6 2 2" xfId="13367"/>
    <cellStyle name="40% - Accent4 5 2 2 2 6 3" xfId="13368"/>
    <cellStyle name="40% - Accent4 5 2 2 2 6 4" xfId="13369"/>
    <cellStyle name="40% - Accent4 5 2 2 2 7" xfId="13370"/>
    <cellStyle name="40% - Accent4 5 2 2 2 7 2" xfId="13371"/>
    <cellStyle name="40% - Accent4 5 2 2 2 8" xfId="13372"/>
    <cellStyle name="40% - Accent4 5 2 2 2 9" xfId="13373"/>
    <cellStyle name="40% - Accent4 5 2 2 3" xfId="13374"/>
    <cellStyle name="40% - Accent4 5 2 2 3 2" xfId="13375"/>
    <cellStyle name="40% - Accent4 5 2 2 3 2 2" xfId="13376"/>
    <cellStyle name="40% - Accent4 5 2 2 3 2 2 2" xfId="13377"/>
    <cellStyle name="40% - Accent4 5 2 2 3 2 3" xfId="13378"/>
    <cellStyle name="40% - Accent4 5 2 2 3 2 4" xfId="13379"/>
    <cellStyle name="40% - Accent4 5 2 2 3 3" xfId="13380"/>
    <cellStyle name="40% - Accent4 5 2 2 3 3 2" xfId="13381"/>
    <cellStyle name="40% - Accent4 5 2 2 3 4" xfId="13382"/>
    <cellStyle name="40% - Accent4 5 2 2 3 5" xfId="13383"/>
    <cellStyle name="40% - Accent4 5 2 2 4" xfId="13384"/>
    <cellStyle name="40% - Accent4 5 2 2 4 2" xfId="13385"/>
    <cellStyle name="40% - Accent4 5 2 2 4 2 2" xfId="13386"/>
    <cellStyle name="40% - Accent4 5 2 2 4 2 2 2" xfId="13387"/>
    <cellStyle name="40% - Accent4 5 2 2 4 2 3" xfId="13388"/>
    <cellStyle name="40% - Accent4 5 2 2 4 2 4" xfId="13389"/>
    <cellStyle name="40% - Accent4 5 2 2 4 3" xfId="13390"/>
    <cellStyle name="40% - Accent4 5 2 2 4 3 2" xfId="13391"/>
    <cellStyle name="40% - Accent4 5 2 2 4 4" xfId="13392"/>
    <cellStyle name="40% - Accent4 5 2 2 4 5" xfId="13393"/>
    <cellStyle name="40% - Accent4 5 2 2 5" xfId="13394"/>
    <cellStyle name="40% - Accent4 5 2 2 5 2" xfId="13395"/>
    <cellStyle name="40% - Accent4 5 2 2 5 2 2" xfId="13396"/>
    <cellStyle name="40% - Accent4 5 2 2 5 3" xfId="13397"/>
    <cellStyle name="40% - Accent4 5 2 2 5 4" xfId="13398"/>
    <cellStyle name="40% - Accent4 5 2 2 6" xfId="13399"/>
    <cellStyle name="40% - Accent4 5 2 2 6 2" xfId="13400"/>
    <cellStyle name="40% - Accent4 5 2 2 6 2 2" xfId="13401"/>
    <cellStyle name="40% - Accent4 5 2 2 6 3" xfId="13402"/>
    <cellStyle name="40% - Accent4 5 2 2 6 4" xfId="13403"/>
    <cellStyle name="40% - Accent4 5 2 2 7" xfId="13404"/>
    <cellStyle name="40% - Accent4 5 2 2 7 2" xfId="13405"/>
    <cellStyle name="40% - Accent4 5 2 2 7 2 2" xfId="13406"/>
    <cellStyle name="40% - Accent4 5 2 2 7 3" xfId="13407"/>
    <cellStyle name="40% - Accent4 5 2 2 7 4" xfId="13408"/>
    <cellStyle name="40% - Accent4 5 2 2 8" xfId="13409"/>
    <cellStyle name="40% - Accent4 5 2 2 8 2" xfId="13410"/>
    <cellStyle name="40% - Accent4 5 2 2 9" xfId="13411"/>
    <cellStyle name="40% - Accent4 5 2 3" xfId="13412"/>
    <cellStyle name="40% - Accent4 5 2 3 2" xfId="13413"/>
    <cellStyle name="40% - Accent4 5 2 3 2 2" xfId="13414"/>
    <cellStyle name="40% - Accent4 5 2 3 2 2 2" xfId="13415"/>
    <cellStyle name="40% - Accent4 5 2 3 2 2 2 2" xfId="13416"/>
    <cellStyle name="40% - Accent4 5 2 3 2 2 3" xfId="13417"/>
    <cellStyle name="40% - Accent4 5 2 3 2 2 4" xfId="13418"/>
    <cellStyle name="40% - Accent4 5 2 3 2 3" xfId="13419"/>
    <cellStyle name="40% - Accent4 5 2 3 2 3 2" xfId="13420"/>
    <cellStyle name="40% - Accent4 5 2 3 2 4" xfId="13421"/>
    <cellStyle name="40% - Accent4 5 2 3 2 5" xfId="13422"/>
    <cellStyle name="40% - Accent4 5 2 3 3" xfId="13423"/>
    <cellStyle name="40% - Accent4 5 2 3 3 2" xfId="13424"/>
    <cellStyle name="40% - Accent4 5 2 3 3 2 2" xfId="13425"/>
    <cellStyle name="40% - Accent4 5 2 3 3 2 2 2" xfId="13426"/>
    <cellStyle name="40% - Accent4 5 2 3 3 2 3" xfId="13427"/>
    <cellStyle name="40% - Accent4 5 2 3 3 2 4" xfId="13428"/>
    <cellStyle name="40% - Accent4 5 2 3 3 3" xfId="13429"/>
    <cellStyle name="40% - Accent4 5 2 3 3 3 2" xfId="13430"/>
    <cellStyle name="40% - Accent4 5 2 3 3 4" xfId="13431"/>
    <cellStyle name="40% - Accent4 5 2 3 3 5" xfId="13432"/>
    <cellStyle name="40% - Accent4 5 2 3 4" xfId="13433"/>
    <cellStyle name="40% - Accent4 5 2 3 4 2" xfId="13434"/>
    <cellStyle name="40% - Accent4 5 2 3 4 2 2" xfId="13435"/>
    <cellStyle name="40% - Accent4 5 2 3 4 3" xfId="13436"/>
    <cellStyle name="40% - Accent4 5 2 3 4 4" xfId="13437"/>
    <cellStyle name="40% - Accent4 5 2 3 5" xfId="13438"/>
    <cellStyle name="40% - Accent4 5 2 3 5 2" xfId="13439"/>
    <cellStyle name="40% - Accent4 5 2 3 5 2 2" xfId="13440"/>
    <cellStyle name="40% - Accent4 5 2 3 5 3" xfId="13441"/>
    <cellStyle name="40% - Accent4 5 2 3 5 4" xfId="13442"/>
    <cellStyle name="40% - Accent4 5 2 3 6" xfId="13443"/>
    <cellStyle name="40% - Accent4 5 2 3 6 2" xfId="13444"/>
    <cellStyle name="40% - Accent4 5 2 3 6 2 2" xfId="13445"/>
    <cellStyle name="40% - Accent4 5 2 3 6 3" xfId="13446"/>
    <cellStyle name="40% - Accent4 5 2 3 6 4" xfId="13447"/>
    <cellStyle name="40% - Accent4 5 2 3 7" xfId="13448"/>
    <cellStyle name="40% - Accent4 5 2 3 7 2" xfId="13449"/>
    <cellStyle name="40% - Accent4 5 2 3 8" xfId="13450"/>
    <cellStyle name="40% - Accent4 5 2 3 9" xfId="13451"/>
    <cellStyle name="40% - Accent4 5 2 4" xfId="13452"/>
    <cellStyle name="40% - Accent4 5 2 4 2" xfId="13453"/>
    <cellStyle name="40% - Accent4 5 2 4 2 2" xfId="13454"/>
    <cellStyle name="40% - Accent4 5 2 4 2 2 2" xfId="13455"/>
    <cellStyle name="40% - Accent4 5 2 4 2 3" xfId="13456"/>
    <cellStyle name="40% - Accent4 5 2 4 2 4" xfId="13457"/>
    <cellStyle name="40% - Accent4 5 2 4 3" xfId="13458"/>
    <cellStyle name="40% - Accent4 5 2 4 3 2" xfId="13459"/>
    <cellStyle name="40% - Accent4 5 2 4 4" xfId="13460"/>
    <cellStyle name="40% - Accent4 5 2 4 5" xfId="13461"/>
    <cellStyle name="40% - Accent4 5 2 5" xfId="13462"/>
    <cellStyle name="40% - Accent4 5 2 5 2" xfId="13463"/>
    <cellStyle name="40% - Accent4 5 2 5 2 2" xfId="13464"/>
    <cellStyle name="40% - Accent4 5 2 5 2 2 2" xfId="13465"/>
    <cellStyle name="40% - Accent4 5 2 5 2 3" xfId="13466"/>
    <cellStyle name="40% - Accent4 5 2 5 2 4" xfId="13467"/>
    <cellStyle name="40% - Accent4 5 2 5 3" xfId="13468"/>
    <cellStyle name="40% - Accent4 5 2 5 3 2" xfId="13469"/>
    <cellStyle name="40% - Accent4 5 2 5 4" xfId="13470"/>
    <cellStyle name="40% - Accent4 5 2 5 5" xfId="13471"/>
    <cellStyle name="40% - Accent4 5 2 6" xfId="13472"/>
    <cellStyle name="40% - Accent4 5 2 6 2" xfId="13473"/>
    <cellStyle name="40% - Accent4 5 2 6 2 2" xfId="13474"/>
    <cellStyle name="40% - Accent4 5 2 6 3" xfId="13475"/>
    <cellStyle name="40% - Accent4 5 2 6 4" xfId="13476"/>
    <cellStyle name="40% - Accent4 5 2 7" xfId="13477"/>
    <cellStyle name="40% - Accent4 5 2 7 2" xfId="13478"/>
    <cellStyle name="40% - Accent4 5 2 7 2 2" xfId="13479"/>
    <cellStyle name="40% - Accent4 5 2 7 3" xfId="13480"/>
    <cellStyle name="40% - Accent4 5 2 7 4" xfId="13481"/>
    <cellStyle name="40% - Accent4 5 2 8" xfId="13482"/>
    <cellStyle name="40% - Accent4 5 2 8 2" xfId="13483"/>
    <cellStyle name="40% - Accent4 5 2 8 2 2" xfId="13484"/>
    <cellStyle name="40% - Accent4 5 2 8 3" xfId="13485"/>
    <cellStyle name="40% - Accent4 5 2 8 4" xfId="13486"/>
    <cellStyle name="40% - Accent4 5 2 9" xfId="13487"/>
    <cellStyle name="40% - Accent4 5 2 9 2" xfId="13488"/>
    <cellStyle name="40% - Accent4 5 3" xfId="13489"/>
    <cellStyle name="40% - Accent4 5 3 10" xfId="13490"/>
    <cellStyle name="40% - Accent4 5 3 2" xfId="13491"/>
    <cellStyle name="40% - Accent4 5 3 2 2" xfId="13492"/>
    <cellStyle name="40% - Accent4 5 3 2 2 2" xfId="13493"/>
    <cellStyle name="40% - Accent4 5 3 2 2 2 2" xfId="13494"/>
    <cellStyle name="40% - Accent4 5 3 2 2 2 2 2" xfId="13495"/>
    <cellStyle name="40% - Accent4 5 3 2 2 2 3" xfId="13496"/>
    <cellStyle name="40% - Accent4 5 3 2 2 2 4" xfId="13497"/>
    <cellStyle name="40% - Accent4 5 3 2 2 3" xfId="13498"/>
    <cellStyle name="40% - Accent4 5 3 2 2 3 2" xfId="13499"/>
    <cellStyle name="40% - Accent4 5 3 2 2 4" xfId="13500"/>
    <cellStyle name="40% - Accent4 5 3 2 2 5" xfId="13501"/>
    <cellStyle name="40% - Accent4 5 3 2 3" xfId="13502"/>
    <cellStyle name="40% - Accent4 5 3 2 3 2" xfId="13503"/>
    <cellStyle name="40% - Accent4 5 3 2 3 2 2" xfId="13504"/>
    <cellStyle name="40% - Accent4 5 3 2 3 2 2 2" xfId="13505"/>
    <cellStyle name="40% - Accent4 5 3 2 3 2 3" xfId="13506"/>
    <cellStyle name="40% - Accent4 5 3 2 3 2 4" xfId="13507"/>
    <cellStyle name="40% - Accent4 5 3 2 3 3" xfId="13508"/>
    <cellStyle name="40% - Accent4 5 3 2 3 3 2" xfId="13509"/>
    <cellStyle name="40% - Accent4 5 3 2 3 4" xfId="13510"/>
    <cellStyle name="40% - Accent4 5 3 2 3 5" xfId="13511"/>
    <cellStyle name="40% - Accent4 5 3 2 4" xfId="13512"/>
    <cellStyle name="40% - Accent4 5 3 2 4 2" xfId="13513"/>
    <cellStyle name="40% - Accent4 5 3 2 4 2 2" xfId="13514"/>
    <cellStyle name="40% - Accent4 5 3 2 4 3" xfId="13515"/>
    <cellStyle name="40% - Accent4 5 3 2 4 4" xfId="13516"/>
    <cellStyle name="40% - Accent4 5 3 2 5" xfId="13517"/>
    <cellStyle name="40% - Accent4 5 3 2 5 2" xfId="13518"/>
    <cellStyle name="40% - Accent4 5 3 2 5 2 2" xfId="13519"/>
    <cellStyle name="40% - Accent4 5 3 2 5 3" xfId="13520"/>
    <cellStyle name="40% - Accent4 5 3 2 5 4" xfId="13521"/>
    <cellStyle name="40% - Accent4 5 3 2 6" xfId="13522"/>
    <cellStyle name="40% - Accent4 5 3 2 6 2" xfId="13523"/>
    <cellStyle name="40% - Accent4 5 3 2 6 2 2" xfId="13524"/>
    <cellStyle name="40% - Accent4 5 3 2 6 3" xfId="13525"/>
    <cellStyle name="40% - Accent4 5 3 2 6 4" xfId="13526"/>
    <cellStyle name="40% - Accent4 5 3 2 7" xfId="13527"/>
    <cellStyle name="40% - Accent4 5 3 2 7 2" xfId="13528"/>
    <cellStyle name="40% - Accent4 5 3 2 8" xfId="13529"/>
    <cellStyle name="40% - Accent4 5 3 2 9" xfId="13530"/>
    <cellStyle name="40% - Accent4 5 3 3" xfId="13531"/>
    <cellStyle name="40% - Accent4 5 3 3 2" xfId="13532"/>
    <cellStyle name="40% - Accent4 5 3 3 2 2" xfId="13533"/>
    <cellStyle name="40% - Accent4 5 3 3 2 2 2" xfId="13534"/>
    <cellStyle name="40% - Accent4 5 3 3 2 3" xfId="13535"/>
    <cellStyle name="40% - Accent4 5 3 3 2 4" xfId="13536"/>
    <cellStyle name="40% - Accent4 5 3 3 3" xfId="13537"/>
    <cellStyle name="40% - Accent4 5 3 3 3 2" xfId="13538"/>
    <cellStyle name="40% - Accent4 5 3 3 4" xfId="13539"/>
    <cellStyle name="40% - Accent4 5 3 3 5" xfId="13540"/>
    <cellStyle name="40% - Accent4 5 3 4" xfId="13541"/>
    <cellStyle name="40% - Accent4 5 3 4 2" xfId="13542"/>
    <cellStyle name="40% - Accent4 5 3 4 2 2" xfId="13543"/>
    <cellStyle name="40% - Accent4 5 3 4 2 2 2" xfId="13544"/>
    <cellStyle name="40% - Accent4 5 3 4 2 3" xfId="13545"/>
    <cellStyle name="40% - Accent4 5 3 4 2 4" xfId="13546"/>
    <cellStyle name="40% - Accent4 5 3 4 3" xfId="13547"/>
    <cellStyle name="40% - Accent4 5 3 4 3 2" xfId="13548"/>
    <cellStyle name="40% - Accent4 5 3 4 4" xfId="13549"/>
    <cellStyle name="40% - Accent4 5 3 4 5" xfId="13550"/>
    <cellStyle name="40% - Accent4 5 3 5" xfId="13551"/>
    <cellStyle name="40% - Accent4 5 3 5 2" xfId="13552"/>
    <cellStyle name="40% - Accent4 5 3 5 2 2" xfId="13553"/>
    <cellStyle name="40% - Accent4 5 3 5 3" xfId="13554"/>
    <cellStyle name="40% - Accent4 5 3 5 4" xfId="13555"/>
    <cellStyle name="40% - Accent4 5 3 6" xfId="13556"/>
    <cellStyle name="40% - Accent4 5 3 6 2" xfId="13557"/>
    <cellStyle name="40% - Accent4 5 3 6 2 2" xfId="13558"/>
    <cellStyle name="40% - Accent4 5 3 6 3" xfId="13559"/>
    <cellStyle name="40% - Accent4 5 3 6 4" xfId="13560"/>
    <cellStyle name="40% - Accent4 5 3 7" xfId="13561"/>
    <cellStyle name="40% - Accent4 5 3 7 2" xfId="13562"/>
    <cellStyle name="40% - Accent4 5 3 7 2 2" xfId="13563"/>
    <cellStyle name="40% - Accent4 5 3 7 3" xfId="13564"/>
    <cellStyle name="40% - Accent4 5 3 7 4" xfId="13565"/>
    <cellStyle name="40% - Accent4 5 3 8" xfId="13566"/>
    <cellStyle name="40% - Accent4 5 3 8 2" xfId="13567"/>
    <cellStyle name="40% - Accent4 5 3 9" xfId="13568"/>
    <cellStyle name="40% - Accent4 5 4" xfId="13569"/>
    <cellStyle name="40% - Accent4 5 4 2" xfId="13570"/>
    <cellStyle name="40% - Accent4 5 4 2 2" xfId="13571"/>
    <cellStyle name="40% - Accent4 5 4 2 2 2" xfId="13572"/>
    <cellStyle name="40% - Accent4 5 4 2 2 2 2" xfId="13573"/>
    <cellStyle name="40% - Accent4 5 4 2 2 3" xfId="13574"/>
    <cellStyle name="40% - Accent4 5 4 2 2 4" xfId="13575"/>
    <cellStyle name="40% - Accent4 5 4 2 3" xfId="13576"/>
    <cellStyle name="40% - Accent4 5 4 2 3 2" xfId="13577"/>
    <cellStyle name="40% - Accent4 5 4 2 4" xfId="13578"/>
    <cellStyle name="40% - Accent4 5 4 2 5" xfId="13579"/>
    <cellStyle name="40% - Accent4 5 4 3" xfId="13580"/>
    <cellStyle name="40% - Accent4 5 4 3 2" xfId="13581"/>
    <cellStyle name="40% - Accent4 5 4 3 2 2" xfId="13582"/>
    <cellStyle name="40% - Accent4 5 4 3 2 2 2" xfId="13583"/>
    <cellStyle name="40% - Accent4 5 4 3 2 3" xfId="13584"/>
    <cellStyle name="40% - Accent4 5 4 3 2 4" xfId="13585"/>
    <cellStyle name="40% - Accent4 5 4 3 3" xfId="13586"/>
    <cellStyle name="40% - Accent4 5 4 3 3 2" xfId="13587"/>
    <cellStyle name="40% - Accent4 5 4 3 4" xfId="13588"/>
    <cellStyle name="40% - Accent4 5 4 3 5" xfId="13589"/>
    <cellStyle name="40% - Accent4 5 4 4" xfId="13590"/>
    <cellStyle name="40% - Accent4 5 4 4 2" xfId="13591"/>
    <cellStyle name="40% - Accent4 5 4 4 2 2" xfId="13592"/>
    <cellStyle name="40% - Accent4 5 4 4 3" xfId="13593"/>
    <cellStyle name="40% - Accent4 5 4 4 4" xfId="13594"/>
    <cellStyle name="40% - Accent4 5 4 5" xfId="13595"/>
    <cellStyle name="40% - Accent4 5 4 5 2" xfId="13596"/>
    <cellStyle name="40% - Accent4 5 4 5 2 2" xfId="13597"/>
    <cellStyle name="40% - Accent4 5 4 5 3" xfId="13598"/>
    <cellStyle name="40% - Accent4 5 4 5 4" xfId="13599"/>
    <cellStyle name="40% - Accent4 5 4 6" xfId="13600"/>
    <cellStyle name="40% - Accent4 5 4 6 2" xfId="13601"/>
    <cellStyle name="40% - Accent4 5 4 6 2 2" xfId="13602"/>
    <cellStyle name="40% - Accent4 5 4 6 3" xfId="13603"/>
    <cellStyle name="40% - Accent4 5 4 6 4" xfId="13604"/>
    <cellStyle name="40% - Accent4 5 4 7" xfId="13605"/>
    <cellStyle name="40% - Accent4 5 4 7 2" xfId="13606"/>
    <cellStyle name="40% - Accent4 5 4 8" xfId="13607"/>
    <cellStyle name="40% - Accent4 5 4 9" xfId="13608"/>
    <cellStyle name="40% - Accent4 5 5" xfId="13609"/>
    <cellStyle name="40% - Accent4 5 5 2" xfId="13610"/>
    <cellStyle name="40% - Accent4 5 5 2 2" xfId="13611"/>
    <cellStyle name="40% - Accent4 5 5 2 2 2" xfId="13612"/>
    <cellStyle name="40% - Accent4 5 5 2 2 2 2" xfId="13613"/>
    <cellStyle name="40% - Accent4 5 5 2 2 3" xfId="13614"/>
    <cellStyle name="40% - Accent4 5 5 2 2 4" xfId="13615"/>
    <cellStyle name="40% - Accent4 5 5 2 3" xfId="13616"/>
    <cellStyle name="40% - Accent4 5 5 2 3 2" xfId="13617"/>
    <cellStyle name="40% - Accent4 5 5 2 4" xfId="13618"/>
    <cellStyle name="40% - Accent4 5 5 2 5" xfId="13619"/>
    <cellStyle name="40% - Accent4 5 5 3" xfId="13620"/>
    <cellStyle name="40% - Accent4 5 5 3 2" xfId="13621"/>
    <cellStyle name="40% - Accent4 5 5 3 2 2" xfId="13622"/>
    <cellStyle name="40% - Accent4 5 5 3 3" xfId="13623"/>
    <cellStyle name="40% - Accent4 5 5 3 4" xfId="13624"/>
    <cellStyle name="40% - Accent4 5 5 4" xfId="13625"/>
    <cellStyle name="40% - Accent4 5 5 4 2" xfId="13626"/>
    <cellStyle name="40% - Accent4 5 5 4 2 2" xfId="13627"/>
    <cellStyle name="40% - Accent4 5 5 4 3" xfId="13628"/>
    <cellStyle name="40% - Accent4 5 5 4 4" xfId="13629"/>
    <cellStyle name="40% - Accent4 5 5 5" xfId="13630"/>
    <cellStyle name="40% - Accent4 5 5 5 2" xfId="13631"/>
    <cellStyle name="40% - Accent4 5 5 6" xfId="13632"/>
    <cellStyle name="40% - Accent4 5 5 7" xfId="13633"/>
    <cellStyle name="40% - Accent4 5 6" xfId="13634"/>
    <cellStyle name="40% - Accent4 5 6 2" xfId="13635"/>
    <cellStyle name="40% - Accent4 5 6 2 2" xfId="13636"/>
    <cellStyle name="40% - Accent4 5 6 2 2 2" xfId="13637"/>
    <cellStyle name="40% - Accent4 5 6 2 3" xfId="13638"/>
    <cellStyle name="40% - Accent4 5 6 2 4" xfId="13639"/>
    <cellStyle name="40% - Accent4 5 6 3" xfId="13640"/>
    <cellStyle name="40% - Accent4 5 6 3 2" xfId="13641"/>
    <cellStyle name="40% - Accent4 5 6 4" xfId="13642"/>
    <cellStyle name="40% - Accent4 5 6 5" xfId="13643"/>
    <cellStyle name="40% - Accent4 5 7" xfId="13644"/>
    <cellStyle name="40% - Accent4 5 7 2" xfId="13645"/>
    <cellStyle name="40% - Accent4 5 7 2 2" xfId="13646"/>
    <cellStyle name="40% - Accent4 5 7 3" xfId="13647"/>
    <cellStyle name="40% - Accent4 5 7 4" xfId="13648"/>
    <cellStyle name="40% - Accent4 5 8" xfId="13649"/>
    <cellStyle name="40% - Accent4 5 8 2" xfId="13650"/>
    <cellStyle name="40% - Accent4 5 8 2 2" xfId="13651"/>
    <cellStyle name="40% - Accent4 5 8 3" xfId="13652"/>
    <cellStyle name="40% - Accent4 5 8 4" xfId="13653"/>
    <cellStyle name="40% - Accent4 6" xfId="13654"/>
    <cellStyle name="40% - Accent4 7" xfId="13655"/>
    <cellStyle name="40% - Accent4 8" xfId="13656"/>
    <cellStyle name="40% - Accent4 9" xfId="13657"/>
    <cellStyle name="40% - Accent4 9 2" xfId="13658"/>
    <cellStyle name="40% - Accent4 9 2 2" xfId="13659"/>
    <cellStyle name="40% - Accent4 9 3" xfId="13660"/>
    <cellStyle name="40% - Accent4 9 4" xfId="13661"/>
    <cellStyle name="40% - Accent5" xfId="35701" builtinId="47" customBuiltin="1"/>
    <cellStyle name="40% - Accent5 2" xfId="43"/>
    <cellStyle name="40% - Accent5 2 10" xfId="35514"/>
    <cellStyle name="40% - Accent5 2 11" xfId="13662"/>
    <cellStyle name="40% - Accent5 2 2" xfId="13663"/>
    <cellStyle name="40% - Accent5 2 2 2" xfId="13664"/>
    <cellStyle name="40% - Accent5 2 2 3" xfId="13665"/>
    <cellStyle name="40% - Accent5 2 2 4" xfId="13666"/>
    <cellStyle name="40% - Accent5 2 3" xfId="13667"/>
    <cellStyle name="40% - Accent5 2 3 2" xfId="13668"/>
    <cellStyle name="40% - Accent5 2 3 2 10" xfId="13669"/>
    <cellStyle name="40% - Accent5 2 3 2 2" xfId="13670"/>
    <cellStyle name="40% - Accent5 2 3 2 2 2" xfId="13671"/>
    <cellStyle name="40% - Accent5 2 3 2 2 2 2" xfId="13672"/>
    <cellStyle name="40% - Accent5 2 3 2 2 2 2 2" xfId="13673"/>
    <cellStyle name="40% - Accent5 2 3 2 2 2 2 2 2" xfId="13674"/>
    <cellStyle name="40% - Accent5 2 3 2 2 2 2 3" xfId="13675"/>
    <cellStyle name="40% - Accent5 2 3 2 2 2 2 4" xfId="13676"/>
    <cellStyle name="40% - Accent5 2 3 2 2 2 3" xfId="13677"/>
    <cellStyle name="40% - Accent5 2 3 2 2 2 3 2" xfId="13678"/>
    <cellStyle name="40% - Accent5 2 3 2 2 2 4" xfId="13679"/>
    <cellStyle name="40% - Accent5 2 3 2 2 2 5" xfId="13680"/>
    <cellStyle name="40% - Accent5 2 3 2 2 3" xfId="13681"/>
    <cellStyle name="40% - Accent5 2 3 2 2 3 2" xfId="13682"/>
    <cellStyle name="40% - Accent5 2 3 2 2 3 2 2" xfId="13683"/>
    <cellStyle name="40% - Accent5 2 3 2 2 3 2 2 2" xfId="13684"/>
    <cellStyle name="40% - Accent5 2 3 2 2 3 2 3" xfId="13685"/>
    <cellStyle name="40% - Accent5 2 3 2 2 3 2 4" xfId="13686"/>
    <cellStyle name="40% - Accent5 2 3 2 2 3 3" xfId="13687"/>
    <cellStyle name="40% - Accent5 2 3 2 2 3 3 2" xfId="13688"/>
    <cellStyle name="40% - Accent5 2 3 2 2 3 4" xfId="13689"/>
    <cellStyle name="40% - Accent5 2 3 2 2 3 5" xfId="13690"/>
    <cellStyle name="40% - Accent5 2 3 2 2 4" xfId="13691"/>
    <cellStyle name="40% - Accent5 2 3 2 2 4 2" xfId="13692"/>
    <cellStyle name="40% - Accent5 2 3 2 2 4 2 2" xfId="13693"/>
    <cellStyle name="40% - Accent5 2 3 2 2 4 3" xfId="13694"/>
    <cellStyle name="40% - Accent5 2 3 2 2 4 4" xfId="13695"/>
    <cellStyle name="40% - Accent5 2 3 2 2 5" xfId="13696"/>
    <cellStyle name="40% - Accent5 2 3 2 2 5 2" xfId="13697"/>
    <cellStyle name="40% - Accent5 2 3 2 2 5 2 2" xfId="13698"/>
    <cellStyle name="40% - Accent5 2 3 2 2 5 3" xfId="13699"/>
    <cellStyle name="40% - Accent5 2 3 2 2 5 4" xfId="13700"/>
    <cellStyle name="40% - Accent5 2 3 2 2 6" xfId="13701"/>
    <cellStyle name="40% - Accent5 2 3 2 2 6 2" xfId="13702"/>
    <cellStyle name="40% - Accent5 2 3 2 2 6 2 2" xfId="13703"/>
    <cellStyle name="40% - Accent5 2 3 2 2 6 3" xfId="13704"/>
    <cellStyle name="40% - Accent5 2 3 2 2 6 4" xfId="13705"/>
    <cellStyle name="40% - Accent5 2 3 2 2 7" xfId="13706"/>
    <cellStyle name="40% - Accent5 2 3 2 2 7 2" xfId="13707"/>
    <cellStyle name="40% - Accent5 2 3 2 2 8" xfId="13708"/>
    <cellStyle name="40% - Accent5 2 3 2 2 9" xfId="13709"/>
    <cellStyle name="40% - Accent5 2 3 2 3" xfId="13710"/>
    <cellStyle name="40% - Accent5 2 3 2 3 2" xfId="13711"/>
    <cellStyle name="40% - Accent5 2 3 2 3 2 2" xfId="13712"/>
    <cellStyle name="40% - Accent5 2 3 2 3 2 2 2" xfId="13713"/>
    <cellStyle name="40% - Accent5 2 3 2 3 2 3" xfId="13714"/>
    <cellStyle name="40% - Accent5 2 3 2 3 2 4" xfId="13715"/>
    <cellStyle name="40% - Accent5 2 3 2 3 3" xfId="13716"/>
    <cellStyle name="40% - Accent5 2 3 2 3 3 2" xfId="13717"/>
    <cellStyle name="40% - Accent5 2 3 2 3 4" xfId="13718"/>
    <cellStyle name="40% - Accent5 2 3 2 3 5" xfId="13719"/>
    <cellStyle name="40% - Accent5 2 3 2 4" xfId="13720"/>
    <cellStyle name="40% - Accent5 2 3 2 4 2" xfId="13721"/>
    <cellStyle name="40% - Accent5 2 3 2 4 2 2" xfId="13722"/>
    <cellStyle name="40% - Accent5 2 3 2 4 2 2 2" xfId="13723"/>
    <cellStyle name="40% - Accent5 2 3 2 4 2 3" xfId="13724"/>
    <cellStyle name="40% - Accent5 2 3 2 4 2 4" xfId="13725"/>
    <cellStyle name="40% - Accent5 2 3 2 4 3" xfId="13726"/>
    <cellStyle name="40% - Accent5 2 3 2 4 3 2" xfId="13727"/>
    <cellStyle name="40% - Accent5 2 3 2 4 4" xfId="13728"/>
    <cellStyle name="40% - Accent5 2 3 2 4 5" xfId="13729"/>
    <cellStyle name="40% - Accent5 2 3 2 5" xfId="13730"/>
    <cellStyle name="40% - Accent5 2 3 2 5 2" xfId="13731"/>
    <cellStyle name="40% - Accent5 2 3 2 5 2 2" xfId="13732"/>
    <cellStyle name="40% - Accent5 2 3 2 5 3" xfId="13733"/>
    <cellStyle name="40% - Accent5 2 3 2 5 4" xfId="13734"/>
    <cellStyle name="40% - Accent5 2 3 2 6" xfId="13735"/>
    <cellStyle name="40% - Accent5 2 3 2 6 2" xfId="13736"/>
    <cellStyle name="40% - Accent5 2 3 2 6 2 2" xfId="13737"/>
    <cellStyle name="40% - Accent5 2 3 2 6 3" xfId="13738"/>
    <cellStyle name="40% - Accent5 2 3 2 6 4" xfId="13739"/>
    <cellStyle name="40% - Accent5 2 3 2 7" xfId="13740"/>
    <cellStyle name="40% - Accent5 2 3 2 7 2" xfId="13741"/>
    <cellStyle name="40% - Accent5 2 3 2 7 2 2" xfId="13742"/>
    <cellStyle name="40% - Accent5 2 3 2 7 3" xfId="13743"/>
    <cellStyle name="40% - Accent5 2 3 2 7 4" xfId="13744"/>
    <cellStyle name="40% - Accent5 2 3 2 8" xfId="13745"/>
    <cellStyle name="40% - Accent5 2 3 2 8 2" xfId="13746"/>
    <cellStyle name="40% - Accent5 2 3 2 9" xfId="13747"/>
    <cellStyle name="40% - Accent5 2 3 3" xfId="13748"/>
    <cellStyle name="40% - Accent5 2 3 3 2" xfId="13749"/>
    <cellStyle name="40% - Accent5 2 3 3 2 2" xfId="13750"/>
    <cellStyle name="40% - Accent5 2 3 3 2 2 2" xfId="13751"/>
    <cellStyle name="40% - Accent5 2 3 3 2 2 2 2" xfId="13752"/>
    <cellStyle name="40% - Accent5 2 3 3 2 2 3" xfId="13753"/>
    <cellStyle name="40% - Accent5 2 3 3 2 2 4" xfId="13754"/>
    <cellStyle name="40% - Accent5 2 3 3 2 3" xfId="13755"/>
    <cellStyle name="40% - Accent5 2 3 3 2 3 2" xfId="13756"/>
    <cellStyle name="40% - Accent5 2 3 3 2 4" xfId="13757"/>
    <cellStyle name="40% - Accent5 2 3 3 2 5" xfId="13758"/>
    <cellStyle name="40% - Accent5 2 3 3 3" xfId="13759"/>
    <cellStyle name="40% - Accent5 2 3 3 3 2" xfId="13760"/>
    <cellStyle name="40% - Accent5 2 3 3 3 2 2" xfId="13761"/>
    <cellStyle name="40% - Accent5 2 3 3 3 2 2 2" xfId="13762"/>
    <cellStyle name="40% - Accent5 2 3 3 3 2 3" xfId="13763"/>
    <cellStyle name="40% - Accent5 2 3 3 3 2 4" xfId="13764"/>
    <cellStyle name="40% - Accent5 2 3 3 3 3" xfId="13765"/>
    <cellStyle name="40% - Accent5 2 3 3 3 3 2" xfId="13766"/>
    <cellStyle name="40% - Accent5 2 3 3 3 4" xfId="13767"/>
    <cellStyle name="40% - Accent5 2 3 3 3 5" xfId="13768"/>
    <cellStyle name="40% - Accent5 2 3 3 4" xfId="13769"/>
    <cellStyle name="40% - Accent5 2 3 3 4 2" xfId="13770"/>
    <cellStyle name="40% - Accent5 2 3 3 4 2 2" xfId="13771"/>
    <cellStyle name="40% - Accent5 2 3 3 4 3" xfId="13772"/>
    <cellStyle name="40% - Accent5 2 3 3 4 4" xfId="13773"/>
    <cellStyle name="40% - Accent5 2 3 3 5" xfId="13774"/>
    <cellStyle name="40% - Accent5 2 3 3 5 2" xfId="13775"/>
    <cellStyle name="40% - Accent5 2 3 3 5 2 2" xfId="13776"/>
    <cellStyle name="40% - Accent5 2 3 3 5 3" xfId="13777"/>
    <cellStyle name="40% - Accent5 2 3 3 5 4" xfId="13778"/>
    <cellStyle name="40% - Accent5 2 3 3 6" xfId="13779"/>
    <cellStyle name="40% - Accent5 2 3 3 6 2" xfId="13780"/>
    <cellStyle name="40% - Accent5 2 3 3 6 2 2" xfId="13781"/>
    <cellStyle name="40% - Accent5 2 3 3 6 3" xfId="13782"/>
    <cellStyle name="40% - Accent5 2 3 3 6 4" xfId="13783"/>
    <cellStyle name="40% - Accent5 2 3 3 7" xfId="13784"/>
    <cellStyle name="40% - Accent5 2 3 3 7 2" xfId="13785"/>
    <cellStyle name="40% - Accent5 2 3 3 8" xfId="13786"/>
    <cellStyle name="40% - Accent5 2 3 3 9" xfId="13787"/>
    <cellStyle name="40% - Accent5 2 3 4" xfId="13788"/>
    <cellStyle name="40% - Accent5 2 3 4 2" xfId="13789"/>
    <cellStyle name="40% - Accent5 2 3 4 2 2" xfId="13790"/>
    <cellStyle name="40% - Accent5 2 3 4 2 2 2" xfId="13791"/>
    <cellStyle name="40% - Accent5 2 3 4 2 2 2 2" xfId="13792"/>
    <cellStyle name="40% - Accent5 2 3 4 2 2 3" xfId="13793"/>
    <cellStyle name="40% - Accent5 2 3 4 2 2 4" xfId="13794"/>
    <cellStyle name="40% - Accent5 2 3 4 2 3" xfId="13795"/>
    <cellStyle name="40% - Accent5 2 3 4 2 3 2" xfId="13796"/>
    <cellStyle name="40% - Accent5 2 3 4 2 4" xfId="13797"/>
    <cellStyle name="40% - Accent5 2 3 4 2 5" xfId="13798"/>
    <cellStyle name="40% - Accent5 2 3 4 3" xfId="13799"/>
    <cellStyle name="40% - Accent5 2 3 4 3 2" xfId="13800"/>
    <cellStyle name="40% - Accent5 2 3 4 3 2 2" xfId="13801"/>
    <cellStyle name="40% - Accent5 2 3 4 3 3" xfId="13802"/>
    <cellStyle name="40% - Accent5 2 3 4 3 4" xfId="13803"/>
    <cellStyle name="40% - Accent5 2 3 4 4" xfId="13804"/>
    <cellStyle name="40% - Accent5 2 3 4 5" xfId="13805"/>
    <cellStyle name="40% - Accent5 2 3 4 5 2" xfId="13806"/>
    <cellStyle name="40% - Accent5 2 3 4 6" xfId="13807"/>
    <cellStyle name="40% - Accent5 2 3 4 7" xfId="13808"/>
    <cellStyle name="40% - Accent5 2 3 5" xfId="13809"/>
    <cellStyle name="40% - Accent5 2 3 5 2" xfId="13810"/>
    <cellStyle name="40% - Accent5 2 3 5 2 2" xfId="13811"/>
    <cellStyle name="40% - Accent5 2 3 5 2 2 2" xfId="13812"/>
    <cellStyle name="40% - Accent5 2 3 5 2 3" xfId="13813"/>
    <cellStyle name="40% - Accent5 2 3 5 2 4" xfId="13814"/>
    <cellStyle name="40% - Accent5 2 3 5 3" xfId="13815"/>
    <cellStyle name="40% - Accent5 2 3 5 3 2" xfId="13816"/>
    <cellStyle name="40% - Accent5 2 3 5 4" xfId="13817"/>
    <cellStyle name="40% - Accent5 2 3 5 5" xfId="13818"/>
    <cellStyle name="40% - Accent5 2 3 6" xfId="13819"/>
    <cellStyle name="40% - Accent5 2 3 6 2" xfId="13820"/>
    <cellStyle name="40% - Accent5 2 3 6 2 2" xfId="13821"/>
    <cellStyle name="40% - Accent5 2 3 6 3" xfId="13822"/>
    <cellStyle name="40% - Accent5 2 3 6 4" xfId="13823"/>
    <cellStyle name="40% - Accent5 2 3 7" xfId="13824"/>
    <cellStyle name="40% - Accent5 2 3 7 2" xfId="13825"/>
    <cellStyle name="40% - Accent5 2 3 7 2 2" xfId="13826"/>
    <cellStyle name="40% - Accent5 2 3 7 3" xfId="13827"/>
    <cellStyle name="40% - Accent5 2 3 7 4" xfId="13828"/>
    <cellStyle name="40% - Accent5 2 4" xfId="13829"/>
    <cellStyle name="40% - Accent5 2 4 10" xfId="13830"/>
    <cellStyle name="40% - Accent5 2 4 2" xfId="13831"/>
    <cellStyle name="40% - Accent5 2 4 2 2" xfId="13832"/>
    <cellStyle name="40% - Accent5 2 4 2 2 2" xfId="13833"/>
    <cellStyle name="40% - Accent5 2 4 2 2 2 2" xfId="13834"/>
    <cellStyle name="40% - Accent5 2 4 2 2 2 2 2" xfId="13835"/>
    <cellStyle name="40% - Accent5 2 4 2 2 2 3" xfId="13836"/>
    <cellStyle name="40% - Accent5 2 4 2 2 2 4" xfId="13837"/>
    <cellStyle name="40% - Accent5 2 4 2 2 3" xfId="13838"/>
    <cellStyle name="40% - Accent5 2 4 2 2 3 2" xfId="13839"/>
    <cellStyle name="40% - Accent5 2 4 2 2 4" xfId="13840"/>
    <cellStyle name="40% - Accent5 2 4 2 2 5" xfId="13841"/>
    <cellStyle name="40% - Accent5 2 4 2 3" xfId="13842"/>
    <cellStyle name="40% - Accent5 2 4 2 3 2" xfId="13843"/>
    <cellStyle name="40% - Accent5 2 4 2 3 2 2" xfId="13844"/>
    <cellStyle name="40% - Accent5 2 4 2 3 2 2 2" xfId="13845"/>
    <cellStyle name="40% - Accent5 2 4 2 3 2 3" xfId="13846"/>
    <cellStyle name="40% - Accent5 2 4 2 3 2 4" xfId="13847"/>
    <cellStyle name="40% - Accent5 2 4 2 3 3" xfId="13848"/>
    <cellStyle name="40% - Accent5 2 4 2 3 3 2" xfId="13849"/>
    <cellStyle name="40% - Accent5 2 4 2 3 4" xfId="13850"/>
    <cellStyle name="40% - Accent5 2 4 2 3 5" xfId="13851"/>
    <cellStyle name="40% - Accent5 2 4 2 4" xfId="13852"/>
    <cellStyle name="40% - Accent5 2 4 2 4 2" xfId="13853"/>
    <cellStyle name="40% - Accent5 2 4 2 4 2 2" xfId="13854"/>
    <cellStyle name="40% - Accent5 2 4 2 4 3" xfId="13855"/>
    <cellStyle name="40% - Accent5 2 4 2 4 4" xfId="13856"/>
    <cellStyle name="40% - Accent5 2 4 2 5" xfId="13857"/>
    <cellStyle name="40% - Accent5 2 4 2 5 2" xfId="13858"/>
    <cellStyle name="40% - Accent5 2 4 2 5 2 2" xfId="13859"/>
    <cellStyle name="40% - Accent5 2 4 2 5 3" xfId="13860"/>
    <cellStyle name="40% - Accent5 2 4 2 5 4" xfId="13861"/>
    <cellStyle name="40% - Accent5 2 4 2 6" xfId="13862"/>
    <cellStyle name="40% - Accent5 2 4 2 6 2" xfId="13863"/>
    <cellStyle name="40% - Accent5 2 4 2 6 2 2" xfId="13864"/>
    <cellStyle name="40% - Accent5 2 4 2 6 3" xfId="13865"/>
    <cellStyle name="40% - Accent5 2 4 2 6 4" xfId="13866"/>
    <cellStyle name="40% - Accent5 2 4 2 7" xfId="13867"/>
    <cellStyle name="40% - Accent5 2 4 2 7 2" xfId="13868"/>
    <cellStyle name="40% - Accent5 2 4 2 8" xfId="13869"/>
    <cellStyle name="40% - Accent5 2 4 2 9" xfId="13870"/>
    <cellStyle name="40% - Accent5 2 4 3" xfId="13871"/>
    <cellStyle name="40% - Accent5 2 4 3 2" xfId="13872"/>
    <cellStyle name="40% - Accent5 2 4 3 2 2" xfId="13873"/>
    <cellStyle name="40% - Accent5 2 4 3 2 2 2" xfId="13874"/>
    <cellStyle name="40% - Accent5 2 4 3 2 3" xfId="13875"/>
    <cellStyle name="40% - Accent5 2 4 3 2 4" xfId="13876"/>
    <cellStyle name="40% - Accent5 2 4 3 3" xfId="13877"/>
    <cellStyle name="40% - Accent5 2 4 3 3 2" xfId="13878"/>
    <cellStyle name="40% - Accent5 2 4 3 4" xfId="13879"/>
    <cellStyle name="40% - Accent5 2 4 3 5" xfId="13880"/>
    <cellStyle name="40% - Accent5 2 4 4" xfId="13881"/>
    <cellStyle name="40% - Accent5 2 4 4 2" xfId="13882"/>
    <cellStyle name="40% - Accent5 2 4 4 2 2" xfId="13883"/>
    <cellStyle name="40% - Accent5 2 4 4 2 2 2" xfId="13884"/>
    <cellStyle name="40% - Accent5 2 4 4 2 3" xfId="13885"/>
    <cellStyle name="40% - Accent5 2 4 4 2 4" xfId="13886"/>
    <cellStyle name="40% - Accent5 2 4 4 3" xfId="13887"/>
    <cellStyle name="40% - Accent5 2 4 4 3 2" xfId="13888"/>
    <cellStyle name="40% - Accent5 2 4 4 4" xfId="13889"/>
    <cellStyle name="40% - Accent5 2 4 4 5" xfId="13890"/>
    <cellStyle name="40% - Accent5 2 4 5" xfId="13891"/>
    <cellStyle name="40% - Accent5 2 4 5 2" xfId="13892"/>
    <cellStyle name="40% - Accent5 2 4 5 2 2" xfId="13893"/>
    <cellStyle name="40% - Accent5 2 4 5 3" xfId="13894"/>
    <cellStyle name="40% - Accent5 2 4 5 4" xfId="13895"/>
    <cellStyle name="40% - Accent5 2 4 6" xfId="13896"/>
    <cellStyle name="40% - Accent5 2 4 6 2" xfId="13897"/>
    <cellStyle name="40% - Accent5 2 4 6 2 2" xfId="13898"/>
    <cellStyle name="40% - Accent5 2 4 6 3" xfId="13899"/>
    <cellStyle name="40% - Accent5 2 4 6 4" xfId="13900"/>
    <cellStyle name="40% - Accent5 2 4 7" xfId="13901"/>
    <cellStyle name="40% - Accent5 2 4 7 2" xfId="13902"/>
    <cellStyle name="40% - Accent5 2 4 7 2 2" xfId="13903"/>
    <cellStyle name="40% - Accent5 2 4 7 3" xfId="13904"/>
    <cellStyle name="40% - Accent5 2 4 7 4" xfId="13905"/>
    <cellStyle name="40% - Accent5 2 4 8" xfId="13906"/>
    <cellStyle name="40% - Accent5 2 4 8 2" xfId="13907"/>
    <cellStyle name="40% - Accent5 2 4 9" xfId="13908"/>
    <cellStyle name="40% - Accent5 2 5" xfId="13909"/>
    <cellStyle name="40% - Accent5 2 5 2" xfId="13910"/>
    <cellStyle name="40% - Accent5 2 5 2 2" xfId="13911"/>
    <cellStyle name="40% - Accent5 2 5 2 2 2" xfId="13912"/>
    <cellStyle name="40% - Accent5 2 5 2 2 2 2" xfId="13913"/>
    <cellStyle name="40% - Accent5 2 5 2 2 3" xfId="13914"/>
    <cellStyle name="40% - Accent5 2 5 2 2 4" xfId="13915"/>
    <cellStyle name="40% - Accent5 2 5 2 3" xfId="13916"/>
    <cellStyle name="40% - Accent5 2 5 2 3 2" xfId="13917"/>
    <cellStyle name="40% - Accent5 2 5 2 4" xfId="13918"/>
    <cellStyle name="40% - Accent5 2 5 2 5" xfId="13919"/>
    <cellStyle name="40% - Accent5 2 5 3" xfId="13920"/>
    <cellStyle name="40% - Accent5 2 5 3 2" xfId="13921"/>
    <cellStyle name="40% - Accent5 2 5 3 2 2" xfId="13922"/>
    <cellStyle name="40% - Accent5 2 5 3 2 2 2" xfId="13923"/>
    <cellStyle name="40% - Accent5 2 5 3 2 3" xfId="13924"/>
    <cellStyle name="40% - Accent5 2 5 3 2 4" xfId="13925"/>
    <cellStyle name="40% - Accent5 2 5 3 3" xfId="13926"/>
    <cellStyle name="40% - Accent5 2 5 3 3 2" xfId="13927"/>
    <cellStyle name="40% - Accent5 2 5 3 4" xfId="13928"/>
    <cellStyle name="40% - Accent5 2 5 3 5" xfId="13929"/>
    <cellStyle name="40% - Accent5 2 5 4" xfId="13930"/>
    <cellStyle name="40% - Accent5 2 5 4 2" xfId="13931"/>
    <cellStyle name="40% - Accent5 2 5 4 2 2" xfId="13932"/>
    <cellStyle name="40% - Accent5 2 5 4 3" xfId="13933"/>
    <cellStyle name="40% - Accent5 2 5 4 4" xfId="13934"/>
    <cellStyle name="40% - Accent5 2 5 5" xfId="13935"/>
    <cellStyle name="40% - Accent5 2 5 5 2" xfId="13936"/>
    <cellStyle name="40% - Accent5 2 5 5 2 2" xfId="13937"/>
    <cellStyle name="40% - Accent5 2 5 5 3" xfId="13938"/>
    <cellStyle name="40% - Accent5 2 5 5 4" xfId="13939"/>
    <cellStyle name="40% - Accent5 2 5 6" xfId="13940"/>
    <cellStyle name="40% - Accent5 2 5 6 2" xfId="13941"/>
    <cellStyle name="40% - Accent5 2 5 6 2 2" xfId="13942"/>
    <cellStyle name="40% - Accent5 2 5 6 3" xfId="13943"/>
    <cellStyle name="40% - Accent5 2 5 6 4" xfId="13944"/>
    <cellStyle name="40% - Accent5 2 5 7" xfId="13945"/>
    <cellStyle name="40% - Accent5 2 5 7 2" xfId="13946"/>
    <cellStyle name="40% - Accent5 2 5 8" xfId="13947"/>
    <cellStyle name="40% - Accent5 2 5 9" xfId="13948"/>
    <cellStyle name="40% - Accent5 2 6" xfId="13949"/>
    <cellStyle name="40% - Accent5 2 7" xfId="13950"/>
    <cellStyle name="40% - Accent5 2 8" xfId="13951"/>
    <cellStyle name="40% - Accent5 2 8 2" xfId="13952"/>
    <cellStyle name="40% - Accent5 2 9" xfId="13953"/>
    <cellStyle name="40% - Accent5 3" xfId="113"/>
    <cellStyle name="40% - Accent5 3 10" xfId="35515"/>
    <cellStyle name="40% - Accent5 3 11" xfId="13954"/>
    <cellStyle name="40% - Accent5 3 2" xfId="13955"/>
    <cellStyle name="40% - Accent5 3 2 10" xfId="13956"/>
    <cellStyle name="40% - Accent5 3 2 10 2" xfId="13957"/>
    <cellStyle name="40% - Accent5 3 2 11" xfId="13958"/>
    <cellStyle name="40% - Accent5 3 2 12" xfId="13959"/>
    <cellStyle name="40% - Accent5 3 2 2" xfId="13960"/>
    <cellStyle name="40% - Accent5 3 2 2 10" xfId="13961"/>
    <cellStyle name="40% - Accent5 3 2 2 11" xfId="13962"/>
    <cellStyle name="40% - Accent5 3 2 2 2" xfId="13963"/>
    <cellStyle name="40% - Accent5 3 2 2 2 10" xfId="13964"/>
    <cellStyle name="40% - Accent5 3 2 2 2 2" xfId="13965"/>
    <cellStyle name="40% - Accent5 3 2 2 2 2 2" xfId="13966"/>
    <cellStyle name="40% - Accent5 3 2 2 2 2 2 2" xfId="13967"/>
    <cellStyle name="40% - Accent5 3 2 2 2 2 2 2 2" xfId="13968"/>
    <cellStyle name="40% - Accent5 3 2 2 2 2 2 2 2 2" xfId="13969"/>
    <cellStyle name="40% - Accent5 3 2 2 2 2 2 2 3" xfId="13970"/>
    <cellStyle name="40% - Accent5 3 2 2 2 2 2 2 4" xfId="13971"/>
    <cellStyle name="40% - Accent5 3 2 2 2 2 2 3" xfId="13972"/>
    <cellStyle name="40% - Accent5 3 2 2 2 2 2 3 2" xfId="13973"/>
    <cellStyle name="40% - Accent5 3 2 2 2 2 2 4" xfId="13974"/>
    <cellStyle name="40% - Accent5 3 2 2 2 2 2 5" xfId="13975"/>
    <cellStyle name="40% - Accent5 3 2 2 2 2 3" xfId="13976"/>
    <cellStyle name="40% - Accent5 3 2 2 2 2 3 2" xfId="13977"/>
    <cellStyle name="40% - Accent5 3 2 2 2 2 3 2 2" xfId="13978"/>
    <cellStyle name="40% - Accent5 3 2 2 2 2 3 2 2 2" xfId="13979"/>
    <cellStyle name="40% - Accent5 3 2 2 2 2 3 2 3" xfId="13980"/>
    <cellStyle name="40% - Accent5 3 2 2 2 2 3 2 4" xfId="13981"/>
    <cellStyle name="40% - Accent5 3 2 2 2 2 3 3" xfId="13982"/>
    <cellStyle name="40% - Accent5 3 2 2 2 2 3 3 2" xfId="13983"/>
    <cellStyle name="40% - Accent5 3 2 2 2 2 3 4" xfId="13984"/>
    <cellStyle name="40% - Accent5 3 2 2 2 2 3 5" xfId="13985"/>
    <cellStyle name="40% - Accent5 3 2 2 2 2 4" xfId="13986"/>
    <cellStyle name="40% - Accent5 3 2 2 2 2 4 2" xfId="13987"/>
    <cellStyle name="40% - Accent5 3 2 2 2 2 4 2 2" xfId="13988"/>
    <cellStyle name="40% - Accent5 3 2 2 2 2 4 3" xfId="13989"/>
    <cellStyle name="40% - Accent5 3 2 2 2 2 4 4" xfId="13990"/>
    <cellStyle name="40% - Accent5 3 2 2 2 2 5" xfId="13991"/>
    <cellStyle name="40% - Accent5 3 2 2 2 2 5 2" xfId="13992"/>
    <cellStyle name="40% - Accent5 3 2 2 2 2 5 2 2" xfId="13993"/>
    <cellStyle name="40% - Accent5 3 2 2 2 2 5 3" xfId="13994"/>
    <cellStyle name="40% - Accent5 3 2 2 2 2 5 4" xfId="13995"/>
    <cellStyle name="40% - Accent5 3 2 2 2 2 6" xfId="13996"/>
    <cellStyle name="40% - Accent5 3 2 2 2 2 6 2" xfId="13997"/>
    <cellStyle name="40% - Accent5 3 2 2 2 2 6 2 2" xfId="13998"/>
    <cellStyle name="40% - Accent5 3 2 2 2 2 6 3" xfId="13999"/>
    <cellStyle name="40% - Accent5 3 2 2 2 2 6 4" xfId="14000"/>
    <cellStyle name="40% - Accent5 3 2 2 2 2 7" xfId="14001"/>
    <cellStyle name="40% - Accent5 3 2 2 2 2 7 2" xfId="14002"/>
    <cellStyle name="40% - Accent5 3 2 2 2 2 8" xfId="14003"/>
    <cellStyle name="40% - Accent5 3 2 2 2 2 9" xfId="14004"/>
    <cellStyle name="40% - Accent5 3 2 2 2 3" xfId="14005"/>
    <cellStyle name="40% - Accent5 3 2 2 2 3 2" xfId="14006"/>
    <cellStyle name="40% - Accent5 3 2 2 2 3 2 2" xfId="14007"/>
    <cellStyle name="40% - Accent5 3 2 2 2 3 2 2 2" xfId="14008"/>
    <cellStyle name="40% - Accent5 3 2 2 2 3 2 3" xfId="14009"/>
    <cellStyle name="40% - Accent5 3 2 2 2 3 2 4" xfId="14010"/>
    <cellStyle name="40% - Accent5 3 2 2 2 3 3" xfId="14011"/>
    <cellStyle name="40% - Accent5 3 2 2 2 3 3 2" xfId="14012"/>
    <cellStyle name="40% - Accent5 3 2 2 2 3 4" xfId="14013"/>
    <cellStyle name="40% - Accent5 3 2 2 2 3 5" xfId="14014"/>
    <cellStyle name="40% - Accent5 3 2 2 2 4" xfId="14015"/>
    <cellStyle name="40% - Accent5 3 2 2 2 4 2" xfId="14016"/>
    <cellStyle name="40% - Accent5 3 2 2 2 4 2 2" xfId="14017"/>
    <cellStyle name="40% - Accent5 3 2 2 2 4 2 2 2" xfId="14018"/>
    <cellStyle name="40% - Accent5 3 2 2 2 4 2 3" xfId="14019"/>
    <cellStyle name="40% - Accent5 3 2 2 2 4 2 4" xfId="14020"/>
    <cellStyle name="40% - Accent5 3 2 2 2 4 3" xfId="14021"/>
    <cellStyle name="40% - Accent5 3 2 2 2 4 3 2" xfId="14022"/>
    <cellStyle name="40% - Accent5 3 2 2 2 4 4" xfId="14023"/>
    <cellStyle name="40% - Accent5 3 2 2 2 4 5" xfId="14024"/>
    <cellStyle name="40% - Accent5 3 2 2 2 5" xfId="14025"/>
    <cellStyle name="40% - Accent5 3 2 2 2 5 2" xfId="14026"/>
    <cellStyle name="40% - Accent5 3 2 2 2 5 2 2" xfId="14027"/>
    <cellStyle name="40% - Accent5 3 2 2 2 5 3" xfId="14028"/>
    <cellStyle name="40% - Accent5 3 2 2 2 5 4" xfId="14029"/>
    <cellStyle name="40% - Accent5 3 2 2 2 6" xfId="14030"/>
    <cellStyle name="40% - Accent5 3 2 2 2 6 2" xfId="14031"/>
    <cellStyle name="40% - Accent5 3 2 2 2 6 2 2" xfId="14032"/>
    <cellStyle name="40% - Accent5 3 2 2 2 6 3" xfId="14033"/>
    <cellStyle name="40% - Accent5 3 2 2 2 6 4" xfId="14034"/>
    <cellStyle name="40% - Accent5 3 2 2 2 7" xfId="14035"/>
    <cellStyle name="40% - Accent5 3 2 2 2 7 2" xfId="14036"/>
    <cellStyle name="40% - Accent5 3 2 2 2 7 2 2" xfId="14037"/>
    <cellStyle name="40% - Accent5 3 2 2 2 7 3" xfId="14038"/>
    <cellStyle name="40% - Accent5 3 2 2 2 7 4" xfId="14039"/>
    <cellStyle name="40% - Accent5 3 2 2 2 8" xfId="14040"/>
    <cellStyle name="40% - Accent5 3 2 2 2 8 2" xfId="14041"/>
    <cellStyle name="40% - Accent5 3 2 2 2 9" xfId="14042"/>
    <cellStyle name="40% - Accent5 3 2 2 3" xfId="14043"/>
    <cellStyle name="40% - Accent5 3 2 2 3 2" xfId="14044"/>
    <cellStyle name="40% - Accent5 3 2 2 3 2 2" xfId="14045"/>
    <cellStyle name="40% - Accent5 3 2 2 3 2 2 2" xfId="14046"/>
    <cellStyle name="40% - Accent5 3 2 2 3 2 2 2 2" xfId="14047"/>
    <cellStyle name="40% - Accent5 3 2 2 3 2 2 3" xfId="14048"/>
    <cellStyle name="40% - Accent5 3 2 2 3 2 2 4" xfId="14049"/>
    <cellStyle name="40% - Accent5 3 2 2 3 2 3" xfId="14050"/>
    <cellStyle name="40% - Accent5 3 2 2 3 2 3 2" xfId="14051"/>
    <cellStyle name="40% - Accent5 3 2 2 3 2 4" xfId="14052"/>
    <cellStyle name="40% - Accent5 3 2 2 3 2 5" xfId="14053"/>
    <cellStyle name="40% - Accent5 3 2 2 3 3" xfId="14054"/>
    <cellStyle name="40% - Accent5 3 2 2 3 3 2" xfId="14055"/>
    <cellStyle name="40% - Accent5 3 2 2 3 3 2 2" xfId="14056"/>
    <cellStyle name="40% - Accent5 3 2 2 3 3 2 2 2" xfId="14057"/>
    <cellStyle name="40% - Accent5 3 2 2 3 3 2 3" xfId="14058"/>
    <cellStyle name="40% - Accent5 3 2 2 3 3 2 4" xfId="14059"/>
    <cellStyle name="40% - Accent5 3 2 2 3 3 3" xfId="14060"/>
    <cellStyle name="40% - Accent5 3 2 2 3 3 3 2" xfId="14061"/>
    <cellStyle name="40% - Accent5 3 2 2 3 3 4" xfId="14062"/>
    <cellStyle name="40% - Accent5 3 2 2 3 3 5" xfId="14063"/>
    <cellStyle name="40% - Accent5 3 2 2 3 4" xfId="14064"/>
    <cellStyle name="40% - Accent5 3 2 2 3 4 2" xfId="14065"/>
    <cellStyle name="40% - Accent5 3 2 2 3 4 2 2" xfId="14066"/>
    <cellStyle name="40% - Accent5 3 2 2 3 4 3" xfId="14067"/>
    <cellStyle name="40% - Accent5 3 2 2 3 4 4" xfId="14068"/>
    <cellStyle name="40% - Accent5 3 2 2 3 5" xfId="14069"/>
    <cellStyle name="40% - Accent5 3 2 2 3 5 2" xfId="14070"/>
    <cellStyle name="40% - Accent5 3 2 2 3 5 2 2" xfId="14071"/>
    <cellStyle name="40% - Accent5 3 2 2 3 5 3" xfId="14072"/>
    <cellStyle name="40% - Accent5 3 2 2 3 5 4" xfId="14073"/>
    <cellStyle name="40% - Accent5 3 2 2 3 6" xfId="14074"/>
    <cellStyle name="40% - Accent5 3 2 2 3 6 2" xfId="14075"/>
    <cellStyle name="40% - Accent5 3 2 2 3 6 2 2" xfId="14076"/>
    <cellStyle name="40% - Accent5 3 2 2 3 6 3" xfId="14077"/>
    <cellStyle name="40% - Accent5 3 2 2 3 6 4" xfId="14078"/>
    <cellStyle name="40% - Accent5 3 2 2 3 7" xfId="14079"/>
    <cellStyle name="40% - Accent5 3 2 2 3 7 2" xfId="14080"/>
    <cellStyle name="40% - Accent5 3 2 2 3 8" xfId="14081"/>
    <cellStyle name="40% - Accent5 3 2 2 3 9" xfId="14082"/>
    <cellStyle name="40% - Accent5 3 2 2 4" xfId="14083"/>
    <cellStyle name="40% - Accent5 3 2 2 4 2" xfId="14084"/>
    <cellStyle name="40% - Accent5 3 2 2 4 2 2" xfId="14085"/>
    <cellStyle name="40% - Accent5 3 2 2 4 2 2 2" xfId="14086"/>
    <cellStyle name="40% - Accent5 3 2 2 4 2 3" xfId="14087"/>
    <cellStyle name="40% - Accent5 3 2 2 4 2 4" xfId="14088"/>
    <cellStyle name="40% - Accent5 3 2 2 4 3" xfId="14089"/>
    <cellStyle name="40% - Accent5 3 2 2 4 3 2" xfId="14090"/>
    <cellStyle name="40% - Accent5 3 2 2 4 4" xfId="14091"/>
    <cellStyle name="40% - Accent5 3 2 2 4 5" xfId="14092"/>
    <cellStyle name="40% - Accent5 3 2 2 5" xfId="14093"/>
    <cellStyle name="40% - Accent5 3 2 2 5 2" xfId="14094"/>
    <cellStyle name="40% - Accent5 3 2 2 5 2 2" xfId="14095"/>
    <cellStyle name="40% - Accent5 3 2 2 5 2 2 2" xfId="14096"/>
    <cellStyle name="40% - Accent5 3 2 2 5 2 3" xfId="14097"/>
    <cellStyle name="40% - Accent5 3 2 2 5 2 4" xfId="14098"/>
    <cellStyle name="40% - Accent5 3 2 2 5 3" xfId="14099"/>
    <cellStyle name="40% - Accent5 3 2 2 5 3 2" xfId="14100"/>
    <cellStyle name="40% - Accent5 3 2 2 5 4" xfId="14101"/>
    <cellStyle name="40% - Accent5 3 2 2 5 5" xfId="14102"/>
    <cellStyle name="40% - Accent5 3 2 2 6" xfId="14103"/>
    <cellStyle name="40% - Accent5 3 2 2 6 2" xfId="14104"/>
    <cellStyle name="40% - Accent5 3 2 2 6 2 2" xfId="14105"/>
    <cellStyle name="40% - Accent5 3 2 2 6 3" xfId="14106"/>
    <cellStyle name="40% - Accent5 3 2 2 6 4" xfId="14107"/>
    <cellStyle name="40% - Accent5 3 2 2 7" xfId="14108"/>
    <cellStyle name="40% - Accent5 3 2 2 7 2" xfId="14109"/>
    <cellStyle name="40% - Accent5 3 2 2 7 2 2" xfId="14110"/>
    <cellStyle name="40% - Accent5 3 2 2 7 3" xfId="14111"/>
    <cellStyle name="40% - Accent5 3 2 2 7 4" xfId="14112"/>
    <cellStyle name="40% - Accent5 3 2 2 8" xfId="14113"/>
    <cellStyle name="40% - Accent5 3 2 2 8 2" xfId="14114"/>
    <cellStyle name="40% - Accent5 3 2 2 8 2 2" xfId="14115"/>
    <cellStyle name="40% - Accent5 3 2 2 8 3" xfId="14116"/>
    <cellStyle name="40% - Accent5 3 2 2 8 4" xfId="14117"/>
    <cellStyle name="40% - Accent5 3 2 2 9" xfId="14118"/>
    <cellStyle name="40% - Accent5 3 2 2 9 2" xfId="14119"/>
    <cellStyle name="40% - Accent5 3 2 3" xfId="14120"/>
    <cellStyle name="40% - Accent5 3 2 3 10" xfId="14121"/>
    <cellStyle name="40% - Accent5 3 2 3 2" xfId="14122"/>
    <cellStyle name="40% - Accent5 3 2 3 2 2" xfId="14123"/>
    <cellStyle name="40% - Accent5 3 2 3 2 2 2" xfId="14124"/>
    <cellStyle name="40% - Accent5 3 2 3 2 2 2 2" xfId="14125"/>
    <cellStyle name="40% - Accent5 3 2 3 2 2 2 2 2" xfId="14126"/>
    <cellStyle name="40% - Accent5 3 2 3 2 2 2 3" xfId="14127"/>
    <cellStyle name="40% - Accent5 3 2 3 2 2 2 4" xfId="14128"/>
    <cellStyle name="40% - Accent5 3 2 3 2 2 3" xfId="14129"/>
    <cellStyle name="40% - Accent5 3 2 3 2 2 3 2" xfId="14130"/>
    <cellStyle name="40% - Accent5 3 2 3 2 2 4" xfId="14131"/>
    <cellStyle name="40% - Accent5 3 2 3 2 2 5" xfId="14132"/>
    <cellStyle name="40% - Accent5 3 2 3 2 3" xfId="14133"/>
    <cellStyle name="40% - Accent5 3 2 3 2 3 2" xfId="14134"/>
    <cellStyle name="40% - Accent5 3 2 3 2 3 2 2" xfId="14135"/>
    <cellStyle name="40% - Accent5 3 2 3 2 3 2 2 2" xfId="14136"/>
    <cellStyle name="40% - Accent5 3 2 3 2 3 2 3" xfId="14137"/>
    <cellStyle name="40% - Accent5 3 2 3 2 3 2 4" xfId="14138"/>
    <cellStyle name="40% - Accent5 3 2 3 2 3 3" xfId="14139"/>
    <cellStyle name="40% - Accent5 3 2 3 2 3 3 2" xfId="14140"/>
    <cellStyle name="40% - Accent5 3 2 3 2 3 4" xfId="14141"/>
    <cellStyle name="40% - Accent5 3 2 3 2 3 5" xfId="14142"/>
    <cellStyle name="40% - Accent5 3 2 3 2 4" xfId="14143"/>
    <cellStyle name="40% - Accent5 3 2 3 2 4 2" xfId="14144"/>
    <cellStyle name="40% - Accent5 3 2 3 2 4 2 2" xfId="14145"/>
    <cellStyle name="40% - Accent5 3 2 3 2 4 3" xfId="14146"/>
    <cellStyle name="40% - Accent5 3 2 3 2 4 4" xfId="14147"/>
    <cellStyle name="40% - Accent5 3 2 3 2 5" xfId="14148"/>
    <cellStyle name="40% - Accent5 3 2 3 2 5 2" xfId="14149"/>
    <cellStyle name="40% - Accent5 3 2 3 2 5 2 2" xfId="14150"/>
    <cellStyle name="40% - Accent5 3 2 3 2 5 3" xfId="14151"/>
    <cellStyle name="40% - Accent5 3 2 3 2 5 4" xfId="14152"/>
    <cellStyle name="40% - Accent5 3 2 3 2 6" xfId="14153"/>
    <cellStyle name="40% - Accent5 3 2 3 2 6 2" xfId="14154"/>
    <cellStyle name="40% - Accent5 3 2 3 2 6 2 2" xfId="14155"/>
    <cellStyle name="40% - Accent5 3 2 3 2 6 3" xfId="14156"/>
    <cellStyle name="40% - Accent5 3 2 3 2 6 4" xfId="14157"/>
    <cellStyle name="40% - Accent5 3 2 3 2 7" xfId="14158"/>
    <cellStyle name="40% - Accent5 3 2 3 2 7 2" xfId="14159"/>
    <cellStyle name="40% - Accent5 3 2 3 2 8" xfId="14160"/>
    <cellStyle name="40% - Accent5 3 2 3 2 9" xfId="14161"/>
    <cellStyle name="40% - Accent5 3 2 3 3" xfId="14162"/>
    <cellStyle name="40% - Accent5 3 2 3 3 2" xfId="14163"/>
    <cellStyle name="40% - Accent5 3 2 3 3 2 2" xfId="14164"/>
    <cellStyle name="40% - Accent5 3 2 3 3 2 2 2" xfId="14165"/>
    <cellStyle name="40% - Accent5 3 2 3 3 2 3" xfId="14166"/>
    <cellStyle name="40% - Accent5 3 2 3 3 2 4" xfId="14167"/>
    <cellStyle name="40% - Accent5 3 2 3 3 3" xfId="14168"/>
    <cellStyle name="40% - Accent5 3 2 3 3 3 2" xfId="14169"/>
    <cellStyle name="40% - Accent5 3 2 3 3 4" xfId="14170"/>
    <cellStyle name="40% - Accent5 3 2 3 3 5" xfId="14171"/>
    <cellStyle name="40% - Accent5 3 2 3 4" xfId="14172"/>
    <cellStyle name="40% - Accent5 3 2 3 4 2" xfId="14173"/>
    <cellStyle name="40% - Accent5 3 2 3 4 2 2" xfId="14174"/>
    <cellStyle name="40% - Accent5 3 2 3 4 2 2 2" xfId="14175"/>
    <cellStyle name="40% - Accent5 3 2 3 4 2 3" xfId="14176"/>
    <cellStyle name="40% - Accent5 3 2 3 4 2 4" xfId="14177"/>
    <cellStyle name="40% - Accent5 3 2 3 4 3" xfId="14178"/>
    <cellStyle name="40% - Accent5 3 2 3 4 3 2" xfId="14179"/>
    <cellStyle name="40% - Accent5 3 2 3 4 4" xfId="14180"/>
    <cellStyle name="40% - Accent5 3 2 3 4 5" xfId="14181"/>
    <cellStyle name="40% - Accent5 3 2 3 5" xfId="14182"/>
    <cellStyle name="40% - Accent5 3 2 3 5 2" xfId="14183"/>
    <cellStyle name="40% - Accent5 3 2 3 5 2 2" xfId="14184"/>
    <cellStyle name="40% - Accent5 3 2 3 5 3" xfId="14185"/>
    <cellStyle name="40% - Accent5 3 2 3 5 4" xfId="14186"/>
    <cellStyle name="40% - Accent5 3 2 3 6" xfId="14187"/>
    <cellStyle name="40% - Accent5 3 2 3 6 2" xfId="14188"/>
    <cellStyle name="40% - Accent5 3 2 3 6 2 2" xfId="14189"/>
    <cellStyle name="40% - Accent5 3 2 3 6 3" xfId="14190"/>
    <cellStyle name="40% - Accent5 3 2 3 6 4" xfId="14191"/>
    <cellStyle name="40% - Accent5 3 2 3 7" xfId="14192"/>
    <cellStyle name="40% - Accent5 3 2 3 7 2" xfId="14193"/>
    <cellStyle name="40% - Accent5 3 2 3 7 2 2" xfId="14194"/>
    <cellStyle name="40% - Accent5 3 2 3 7 3" xfId="14195"/>
    <cellStyle name="40% - Accent5 3 2 3 7 4" xfId="14196"/>
    <cellStyle name="40% - Accent5 3 2 3 8" xfId="14197"/>
    <cellStyle name="40% - Accent5 3 2 3 8 2" xfId="14198"/>
    <cellStyle name="40% - Accent5 3 2 3 9" xfId="14199"/>
    <cellStyle name="40% - Accent5 3 2 4" xfId="14200"/>
    <cellStyle name="40% - Accent5 3 2 4 2" xfId="14201"/>
    <cellStyle name="40% - Accent5 3 2 4 2 2" xfId="14202"/>
    <cellStyle name="40% - Accent5 3 2 4 2 2 2" xfId="14203"/>
    <cellStyle name="40% - Accent5 3 2 4 2 2 2 2" xfId="14204"/>
    <cellStyle name="40% - Accent5 3 2 4 2 2 3" xfId="14205"/>
    <cellStyle name="40% - Accent5 3 2 4 2 2 4" xfId="14206"/>
    <cellStyle name="40% - Accent5 3 2 4 2 3" xfId="14207"/>
    <cellStyle name="40% - Accent5 3 2 4 2 3 2" xfId="14208"/>
    <cellStyle name="40% - Accent5 3 2 4 2 4" xfId="14209"/>
    <cellStyle name="40% - Accent5 3 2 4 2 5" xfId="14210"/>
    <cellStyle name="40% - Accent5 3 2 4 3" xfId="14211"/>
    <cellStyle name="40% - Accent5 3 2 4 3 2" xfId="14212"/>
    <cellStyle name="40% - Accent5 3 2 4 3 2 2" xfId="14213"/>
    <cellStyle name="40% - Accent5 3 2 4 3 2 2 2" xfId="14214"/>
    <cellStyle name="40% - Accent5 3 2 4 3 2 3" xfId="14215"/>
    <cellStyle name="40% - Accent5 3 2 4 3 2 4" xfId="14216"/>
    <cellStyle name="40% - Accent5 3 2 4 3 3" xfId="14217"/>
    <cellStyle name="40% - Accent5 3 2 4 3 3 2" xfId="14218"/>
    <cellStyle name="40% - Accent5 3 2 4 3 4" xfId="14219"/>
    <cellStyle name="40% - Accent5 3 2 4 3 5" xfId="14220"/>
    <cellStyle name="40% - Accent5 3 2 4 4" xfId="14221"/>
    <cellStyle name="40% - Accent5 3 2 4 4 2" xfId="14222"/>
    <cellStyle name="40% - Accent5 3 2 4 4 2 2" xfId="14223"/>
    <cellStyle name="40% - Accent5 3 2 4 4 3" xfId="14224"/>
    <cellStyle name="40% - Accent5 3 2 4 4 4" xfId="14225"/>
    <cellStyle name="40% - Accent5 3 2 4 5" xfId="14226"/>
    <cellStyle name="40% - Accent5 3 2 4 5 2" xfId="14227"/>
    <cellStyle name="40% - Accent5 3 2 4 5 2 2" xfId="14228"/>
    <cellStyle name="40% - Accent5 3 2 4 5 3" xfId="14229"/>
    <cellStyle name="40% - Accent5 3 2 4 5 4" xfId="14230"/>
    <cellStyle name="40% - Accent5 3 2 4 6" xfId="14231"/>
    <cellStyle name="40% - Accent5 3 2 4 6 2" xfId="14232"/>
    <cellStyle name="40% - Accent5 3 2 4 6 2 2" xfId="14233"/>
    <cellStyle name="40% - Accent5 3 2 4 6 3" xfId="14234"/>
    <cellStyle name="40% - Accent5 3 2 4 6 4" xfId="14235"/>
    <cellStyle name="40% - Accent5 3 2 4 7" xfId="14236"/>
    <cellStyle name="40% - Accent5 3 2 4 7 2" xfId="14237"/>
    <cellStyle name="40% - Accent5 3 2 4 8" xfId="14238"/>
    <cellStyle name="40% - Accent5 3 2 4 9" xfId="14239"/>
    <cellStyle name="40% - Accent5 3 2 5" xfId="14240"/>
    <cellStyle name="40% - Accent5 3 2 5 2" xfId="14241"/>
    <cellStyle name="40% - Accent5 3 2 5 2 2" xfId="14242"/>
    <cellStyle name="40% - Accent5 3 2 5 2 2 2" xfId="14243"/>
    <cellStyle name="40% - Accent5 3 2 5 2 3" xfId="14244"/>
    <cellStyle name="40% - Accent5 3 2 5 2 4" xfId="14245"/>
    <cellStyle name="40% - Accent5 3 2 5 3" xfId="14246"/>
    <cellStyle name="40% - Accent5 3 2 5 3 2" xfId="14247"/>
    <cellStyle name="40% - Accent5 3 2 5 4" xfId="14248"/>
    <cellStyle name="40% - Accent5 3 2 5 5" xfId="14249"/>
    <cellStyle name="40% - Accent5 3 2 6" xfId="14250"/>
    <cellStyle name="40% - Accent5 3 2 6 2" xfId="14251"/>
    <cellStyle name="40% - Accent5 3 2 6 2 2" xfId="14252"/>
    <cellStyle name="40% - Accent5 3 2 6 2 2 2" xfId="14253"/>
    <cellStyle name="40% - Accent5 3 2 6 2 3" xfId="14254"/>
    <cellStyle name="40% - Accent5 3 2 6 2 4" xfId="14255"/>
    <cellStyle name="40% - Accent5 3 2 6 3" xfId="14256"/>
    <cellStyle name="40% - Accent5 3 2 6 3 2" xfId="14257"/>
    <cellStyle name="40% - Accent5 3 2 6 4" xfId="14258"/>
    <cellStyle name="40% - Accent5 3 2 6 5" xfId="14259"/>
    <cellStyle name="40% - Accent5 3 2 7" xfId="14260"/>
    <cellStyle name="40% - Accent5 3 2 7 2" xfId="14261"/>
    <cellStyle name="40% - Accent5 3 2 7 2 2" xfId="14262"/>
    <cellStyle name="40% - Accent5 3 2 7 3" xfId="14263"/>
    <cellStyle name="40% - Accent5 3 2 7 4" xfId="14264"/>
    <cellStyle name="40% - Accent5 3 2 8" xfId="14265"/>
    <cellStyle name="40% - Accent5 3 2 8 2" xfId="14266"/>
    <cellStyle name="40% - Accent5 3 2 8 2 2" xfId="14267"/>
    <cellStyle name="40% - Accent5 3 2 8 3" xfId="14268"/>
    <cellStyle name="40% - Accent5 3 2 8 4" xfId="14269"/>
    <cellStyle name="40% - Accent5 3 2 9" xfId="14270"/>
    <cellStyle name="40% - Accent5 3 2 9 2" xfId="14271"/>
    <cellStyle name="40% - Accent5 3 2 9 2 2" xfId="14272"/>
    <cellStyle name="40% - Accent5 3 2 9 3" xfId="14273"/>
    <cellStyle name="40% - Accent5 3 2 9 4" xfId="14274"/>
    <cellStyle name="40% - Accent5 3 3" xfId="14275"/>
    <cellStyle name="40% - Accent5 3 4" xfId="14276"/>
    <cellStyle name="40% - Accent5 3 4 2" xfId="14277"/>
    <cellStyle name="40% - Accent5 3 4 2 2" xfId="14278"/>
    <cellStyle name="40% - Accent5 3 4 2 2 2" xfId="14279"/>
    <cellStyle name="40% - Accent5 3 4 2 3" xfId="14280"/>
    <cellStyle name="40% - Accent5 3 4 2 4" xfId="14281"/>
    <cellStyle name="40% - Accent5 3 4 3" xfId="14282"/>
    <cellStyle name="40% - Accent5 3 4 4" xfId="14283"/>
    <cellStyle name="40% - Accent5 3 4 4 2" xfId="14284"/>
    <cellStyle name="40% - Accent5 3 4 5" xfId="14285"/>
    <cellStyle name="40% - Accent5 3 4 6" xfId="14286"/>
    <cellStyle name="40% - Accent5 3 5" xfId="14287"/>
    <cellStyle name="40% - Accent5 3 5 2" xfId="14288"/>
    <cellStyle name="40% - Accent5 3 5 2 2" xfId="14289"/>
    <cellStyle name="40% - Accent5 3 5 3" xfId="14290"/>
    <cellStyle name="40% - Accent5 3 5 4" xfId="14291"/>
    <cellStyle name="40% - Accent5 3 6" xfId="14292"/>
    <cellStyle name="40% - Accent5 3 7" xfId="14293"/>
    <cellStyle name="40% - Accent5 3 7 2" xfId="14294"/>
    <cellStyle name="40% - Accent5 3 8" xfId="14295"/>
    <cellStyle name="40% - Accent5 3 9" xfId="14296"/>
    <cellStyle name="40% - Accent5 4" xfId="221"/>
    <cellStyle name="40% - Accent5 4 10" xfId="14297"/>
    <cellStyle name="40% - Accent5 4 2" xfId="14298"/>
    <cellStyle name="40% - Accent5 4 2 10" xfId="14299"/>
    <cellStyle name="40% - Accent5 4 2 11" xfId="14300"/>
    <cellStyle name="40% - Accent5 4 2 2" xfId="14301"/>
    <cellStyle name="40% - Accent5 4 2 2 10" xfId="14302"/>
    <cellStyle name="40% - Accent5 4 2 2 2" xfId="14303"/>
    <cellStyle name="40% - Accent5 4 2 2 2 2" xfId="14304"/>
    <cellStyle name="40% - Accent5 4 2 2 2 2 2" xfId="14305"/>
    <cellStyle name="40% - Accent5 4 2 2 2 2 2 2" xfId="14306"/>
    <cellStyle name="40% - Accent5 4 2 2 2 2 2 2 2" xfId="14307"/>
    <cellStyle name="40% - Accent5 4 2 2 2 2 2 3" xfId="14308"/>
    <cellStyle name="40% - Accent5 4 2 2 2 2 2 4" xfId="14309"/>
    <cellStyle name="40% - Accent5 4 2 2 2 2 3" xfId="14310"/>
    <cellStyle name="40% - Accent5 4 2 2 2 2 3 2" xfId="14311"/>
    <cellStyle name="40% - Accent5 4 2 2 2 2 4" xfId="14312"/>
    <cellStyle name="40% - Accent5 4 2 2 2 2 5" xfId="14313"/>
    <cellStyle name="40% - Accent5 4 2 2 2 3" xfId="14314"/>
    <cellStyle name="40% - Accent5 4 2 2 2 3 2" xfId="14315"/>
    <cellStyle name="40% - Accent5 4 2 2 2 3 2 2" xfId="14316"/>
    <cellStyle name="40% - Accent5 4 2 2 2 3 2 2 2" xfId="14317"/>
    <cellStyle name="40% - Accent5 4 2 2 2 3 2 3" xfId="14318"/>
    <cellStyle name="40% - Accent5 4 2 2 2 3 2 4" xfId="14319"/>
    <cellStyle name="40% - Accent5 4 2 2 2 3 3" xfId="14320"/>
    <cellStyle name="40% - Accent5 4 2 2 2 3 3 2" xfId="14321"/>
    <cellStyle name="40% - Accent5 4 2 2 2 3 4" xfId="14322"/>
    <cellStyle name="40% - Accent5 4 2 2 2 3 5" xfId="14323"/>
    <cellStyle name="40% - Accent5 4 2 2 2 4" xfId="14324"/>
    <cellStyle name="40% - Accent5 4 2 2 2 4 2" xfId="14325"/>
    <cellStyle name="40% - Accent5 4 2 2 2 4 2 2" xfId="14326"/>
    <cellStyle name="40% - Accent5 4 2 2 2 4 3" xfId="14327"/>
    <cellStyle name="40% - Accent5 4 2 2 2 4 4" xfId="14328"/>
    <cellStyle name="40% - Accent5 4 2 2 2 5" xfId="14329"/>
    <cellStyle name="40% - Accent5 4 2 2 2 5 2" xfId="14330"/>
    <cellStyle name="40% - Accent5 4 2 2 2 5 2 2" xfId="14331"/>
    <cellStyle name="40% - Accent5 4 2 2 2 5 3" xfId="14332"/>
    <cellStyle name="40% - Accent5 4 2 2 2 5 4" xfId="14333"/>
    <cellStyle name="40% - Accent5 4 2 2 2 6" xfId="14334"/>
    <cellStyle name="40% - Accent5 4 2 2 2 6 2" xfId="14335"/>
    <cellStyle name="40% - Accent5 4 2 2 2 6 2 2" xfId="14336"/>
    <cellStyle name="40% - Accent5 4 2 2 2 6 3" xfId="14337"/>
    <cellStyle name="40% - Accent5 4 2 2 2 6 4" xfId="14338"/>
    <cellStyle name="40% - Accent5 4 2 2 2 7" xfId="14339"/>
    <cellStyle name="40% - Accent5 4 2 2 2 7 2" xfId="14340"/>
    <cellStyle name="40% - Accent5 4 2 2 2 8" xfId="14341"/>
    <cellStyle name="40% - Accent5 4 2 2 2 9" xfId="14342"/>
    <cellStyle name="40% - Accent5 4 2 2 3" xfId="14343"/>
    <cellStyle name="40% - Accent5 4 2 2 3 2" xfId="14344"/>
    <cellStyle name="40% - Accent5 4 2 2 3 2 2" xfId="14345"/>
    <cellStyle name="40% - Accent5 4 2 2 3 2 2 2" xfId="14346"/>
    <cellStyle name="40% - Accent5 4 2 2 3 2 3" xfId="14347"/>
    <cellStyle name="40% - Accent5 4 2 2 3 2 4" xfId="14348"/>
    <cellStyle name="40% - Accent5 4 2 2 3 3" xfId="14349"/>
    <cellStyle name="40% - Accent5 4 2 2 3 3 2" xfId="14350"/>
    <cellStyle name="40% - Accent5 4 2 2 3 4" xfId="14351"/>
    <cellStyle name="40% - Accent5 4 2 2 3 5" xfId="14352"/>
    <cellStyle name="40% - Accent5 4 2 2 4" xfId="14353"/>
    <cellStyle name="40% - Accent5 4 2 2 4 2" xfId="14354"/>
    <cellStyle name="40% - Accent5 4 2 2 4 2 2" xfId="14355"/>
    <cellStyle name="40% - Accent5 4 2 2 4 2 2 2" xfId="14356"/>
    <cellStyle name="40% - Accent5 4 2 2 4 2 3" xfId="14357"/>
    <cellStyle name="40% - Accent5 4 2 2 4 2 4" xfId="14358"/>
    <cellStyle name="40% - Accent5 4 2 2 4 3" xfId="14359"/>
    <cellStyle name="40% - Accent5 4 2 2 4 3 2" xfId="14360"/>
    <cellStyle name="40% - Accent5 4 2 2 4 4" xfId="14361"/>
    <cellStyle name="40% - Accent5 4 2 2 4 5" xfId="14362"/>
    <cellStyle name="40% - Accent5 4 2 2 5" xfId="14363"/>
    <cellStyle name="40% - Accent5 4 2 2 5 2" xfId="14364"/>
    <cellStyle name="40% - Accent5 4 2 2 5 2 2" xfId="14365"/>
    <cellStyle name="40% - Accent5 4 2 2 5 3" xfId="14366"/>
    <cellStyle name="40% - Accent5 4 2 2 5 4" xfId="14367"/>
    <cellStyle name="40% - Accent5 4 2 2 6" xfId="14368"/>
    <cellStyle name="40% - Accent5 4 2 2 6 2" xfId="14369"/>
    <cellStyle name="40% - Accent5 4 2 2 6 2 2" xfId="14370"/>
    <cellStyle name="40% - Accent5 4 2 2 6 3" xfId="14371"/>
    <cellStyle name="40% - Accent5 4 2 2 6 4" xfId="14372"/>
    <cellStyle name="40% - Accent5 4 2 2 7" xfId="14373"/>
    <cellStyle name="40% - Accent5 4 2 2 7 2" xfId="14374"/>
    <cellStyle name="40% - Accent5 4 2 2 7 2 2" xfId="14375"/>
    <cellStyle name="40% - Accent5 4 2 2 7 3" xfId="14376"/>
    <cellStyle name="40% - Accent5 4 2 2 7 4" xfId="14377"/>
    <cellStyle name="40% - Accent5 4 2 2 8" xfId="14378"/>
    <cellStyle name="40% - Accent5 4 2 2 8 2" xfId="14379"/>
    <cellStyle name="40% - Accent5 4 2 2 9" xfId="14380"/>
    <cellStyle name="40% - Accent5 4 2 3" xfId="14381"/>
    <cellStyle name="40% - Accent5 4 2 3 2" xfId="14382"/>
    <cellStyle name="40% - Accent5 4 2 3 2 2" xfId="14383"/>
    <cellStyle name="40% - Accent5 4 2 3 2 2 2" xfId="14384"/>
    <cellStyle name="40% - Accent5 4 2 3 2 2 2 2" xfId="14385"/>
    <cellStyle name="40% - Accent5 4 2 3 2 2 3" xfId="14386"/>
    <cellStyle name="40% - Accent5 4 2 3 2 2 4" xfId="14387"/>
    <cellStyle name="40% - Accent5 4 2 3 2 3" xfId="14388"/>
    <cellStyle name="40% - Accent5 4 2 3 2 3 2" xfId="14389"/>
    <cellStyle name="40% - Accent5 4 2 3 2 4" xfId="14390"/>
    <cellStyle name="40% - Accent5 4 2 3 2 5" xfId="14391"/>
    <cellStyle name="40% - Accent5 4 2 3 3" xfId="14392"/>
    <cellStyle name="40% - Accent5 4 2 3 3 2" xfId="14393"/>
    <cellStyle name="40% - Accent5 4 2 3 3 2 2" xfId="14394"/>
    <cellStyle name="40% - Accent5 4 2 3 3 2 2 2" xfId="14395"/>
    <cellStyle name="40% - Accent5 4 2 3 3 2 3" xfId="14396"/>
    <cellStyle name="40% - Accent5 4 2 3 3 2 4" xfId="14397"/>
    <cellStyle name="40% - Accent5 4 2 3 3 3" xfId="14398"/>
    <cellStyle name="40% - Accent5 4 2 3 3 3 2" xfId="14399"/>
    <cellStyle name="40% - Accent5 4 2 3 3 4" xfId="14400"/>
    <cellStyle name="40% - Accent5 4 2 3 3 5" xfId="14401"/>
    <cellStyle name="40% - Accent5 4 2 3 4" xfId="14402"/>
    <cellStyle name="40% - Accent5 4 2 3 4 2" xfId="14403"/>
    <cellStyle name="40% - Accent5 4 2 3 4 2 2" xfId="14404"/>
    <cellStyle name="40% - Accent5 4 2 3 4 3" xfId="14405"/>
    <cellStyle name="40% - Accent5 4 2 3 4 4" xfId="14406"/>
    <cellStyle name="40% - Accent5 4 2 3 5" xfId="14407"/>
    <cellStyle name="40% - Accent5 4 2 3 5 2" xfId="14408"/>
    <cellStyle name="40% - Accent5 4 2 3 5 2 2" xfId="14409"/>
    <cellStyle name="40% - Accent5 4 2 3 5 3" xfId="14410"/>
    <cellStyle name="40% - Accent5 4 2 3 5 4" xfId="14411"/>
    <cellStyle name="40% - Accent5 4 2 3 6" xfId="14412"/>
    <cellStyle name="40% - Accent5 4 2 3 6 2" xfId="14413"/>
    <cellStyle name="40% - Accent5 4 2 3 6 2 2" xfId="14414"/>
    <cellStyle name="40% - Accent5 4 2 3 6 3" xfId="14415"/>
    <cellStyle name="40% - Accent5 4 2 3 6 4" xfId="14416"/>
    <cellStyle name="40% - Accent5 4 2 3 7" xfId="14417"/>
    <cellStyle name="40% - Accent5 4 2 3 7 2" xfId="14418"/>
    <cellStyle name="40% - Accent5 4 2 3 8" xfId="14419"/>
    <cellStyle name="40% - Accent5 4 2 3 9" xfId="14420"/>
    <cellStyle name="40% - Accent5 4 2 4" xfId="14421"/>
    <cellStyle name="40% - Accent5 4 2 4 2" xfId="14422"/>
    <cellStyle name="40% - Accent5 4 2 4 2 2" xfId="14423"/>
    <cellStyle name="40% - Accent5 4 2 4 2 2 2" xfId="14424"/>
    <cellStyle name="40% - Accent5 4 2 4 2 3" xfId="14425"/>
    <cellStyle name="40% - Accent5 4 2 4 2 4" xfId="14426"/>
    <cellStyle name="40% - Accent5 4 2 4 3" xfId="14427"/>
    <cellStyle name="40% - Accent5 4 2 4 3 2" xfId="14428"/>
    <cellStyle name="40% - Accent5 4 2 4 4" xfId="14429"/>
    <cellStyle name="40% - Accent5 4 2 4 5" xfId="14430"/>
    <cellStyle name="40% - Accent5 4 2 5" xfId="14431"/>
    <cellStyle name="40% - Accent5 4 2 5 2" xfId="14432"/>
    <cellStyle name="40% - Accent5 4 2 5 2 2" xfId="14433"/>
    <cellStyle name="40% - Accent5 4 2 5 2 2 2" xfId="14434"/>
    <cellStyle name="40% - Accent5 4 2 5 2 3" xfId="14435"/>
    <cellStyle name="40% - Accent5 4 2 5 2 4" xfId="14436"/>
    <cellStyle name="40% - Accent5 4 2 5 3" xfId="14437"/>
    <cellStyle name="40% - Accent5 4 2 5 3 2" xfId="14438"/>
    <cellStyle name="40% - Accent5 4 2 5 4" xfId="14439"/>
    <cellStyle name="40% - Accent5 4 2 5 5" xfId="14440"/>
    <cellStyle name="40% - Accent5 4 2 6" xfId="14441"/>
    <cellStyle name="40% - Accent5 4 2 6 2" xfId="14442"/>
    <cellStyle name="40% - Accent5 4 2 6 2 2" xfId="14443"/>
    <cellStyle name="40% - Accent5 4 2 6 3" xfId="14444"/>
    <cellStyle name="40% - Accent5 4 2 6 4" xfId="14445"/>
    <cellStyle name="40% - Accent5 4 2 7" xfId="14446"/>
    <cellStyle name="40% - Accent5 4 2 7 2" xfId="14447"/>
    <cellStyle name="40% - Accent5 4 2 7 2 2" xfId="14448"/>
    <cellStyle name="40% - Accent5 4 2 7 3" xfId="14449"/>
    <cellStyle name="40% - Accent5 4 2 7 4" xfId="14450"/>
    <cellStyle name="40% - Accent5 4 2 8" xfId="14451"/>
    <cellStyle name="40% - Accent5 4 2 8 2" xfId="14452"/>
    <cellStyle name="40% - Accent5 4 2 8 2 2" xfId="14453"/>
    <cellStyle name="40% - Accent5 4 2 8 3" xfId="14454"/>
    <cellStyle name="40% - Accent5 4 2 8 4" xfId="14455"/>
    <cellStyle name="40% - Accent5 4 2 9" xfId="14456"/>
    <cellStyle name="40% - Accent5 4 2 9 2" xfId="14457"/>
    <cellStyle name="40% - Accent5 4 3" xfId="14458"/>
    <cellStyle name="40% - Accent5 4 3 10" xfId="14459"/>
    <cellStyle name="40% - Accent5 4 3 2" xfId="14460"/>
    <cellStyle name="40% - Accent5 4 3 2 2" xfId="14461"/>
    <cellStyle name="40% - Accent5 4 3 2 2 2" xfId="14462"/>
    <cellStyle name="40% - Accent5 4 3 2 2 2 2" xfId="14463"/>
    <cellStyle name="40% - Accent5 4 3 2 2 2 2 2" xfId="14464"/>
    <cellStyle name="40% - Accent5 4 3 2 2 2 3" xfId="14465"/>
    <cellStyle name="40% - Accent5 4 3 2 2 2 4" xfId="14466"/>
    <cellStyle name="40% - Accent5 4 3 2 2 3" xfId="14467"/>
    <cellStyle name="40% - Accent5 4 3 2 2 3 2" xfId="14468"/>
    <cellStyle name="40% - Accent5 4 3 2 2 4" xfId="14469"/>
    <cellStyle name="40% - Accent5 4 3 2 2 5" xfId="14470"/>
    <cellStyle name="40% - Accent5 4 3 2 3" xfId="14471"/>
    <cellStyle name="40% - Accent5 4 3 2 3 2" xfId="14472"/>
    <cellStyle name="40% - Accent5 4 3 2 3 2 2" xfId="14473"/>
    <cellStyle name="40% - Accent5 4 3 2 3 2 2 2" xfId="14474"/>
    <cellStyle name="40% - Accent5 4 3 2 3 2 3" xfId="14475"/>
    <cellStyle name="40% - Accent5 4 3 2 3 2 4" xfId="14476"/>
    <cellStyle name="40% - Accent5 4 3 2 3 3" xfId="14477"/>
    <cellStyle name="40% - Accent5 4 3 2 3 3 2" xfId="14478"/>
    <cellStyle name="40% - Accent5 4 3 2 3 4" xfId="14479"/>
    <cellStyle name="40% - Accent5 4 3 2 3 5" xfId="14480"/>
    <cellStyle name="40% - Accent5 4 3 2 4" xfId="14481"/>
    <cellStyle name="40% - Accent5 4 3 2 4 2" xfId="14482"/>
    <cellStyle name="40% - Accent5 4 3 2 4 2 2" xfId="14483"/>
    <cellStyle name="40% - Accent5 4 3 2 4 3" xfId="14484"/>
    <cellStyle name="40% - Accent5 4 3 2 4 4" xfId="14485"/>
    <cellStyle name="40% - Accent5 4 3 2 5" xfId="14486"/>
    <cellStyle name="40% - Accent5 4 3 2 5 2" xfId="14487"/>
    <cellStyle name="40% - Accent5 4 3 2 5 2 2" xfId="14488"/>
    <cellStyle name="40% - Accent5 4 3 2 5 3" xfId="14489"/>
    <cellStyle name="40% - Accent5 4 3 2 5 4" xfId="14490"/>
    <cellStyle name="40% - Accent5 4 3 2 6" xfId="14491"/>
    <cellStyle name="40% - Accent5 4 3 2 6 2" xfId="14492"/>
    <cellStyle name="40% - Accent5 4 3 2 6 2 2" xfId="14493"/>
    <cellStyle name="40% - Accent5 4 3 2 6 3" xfId="14494"/>
    <cellStyle name="40% - Accent5 4 3 2 6 4" xfId="14495"/>
    <cellStyle name="40% - Accent5 4 3 2 7" xfId="14496"/>
    <cellStyle name="40% - Accent5 4 3 2 7 2" xfId="14497"/>
    <cellStyle name="40% - Accent5 4 3 2 8" xfId="14498"/>
    <cellStyle name="40% - Accent5 4 3 2 9" xfId="14499"/>
    <cellStyle name="40% - Accent5 4 3 3" xfId="14500"/>
    <cellStyle name="40% - Accent5 4 3 3 2" xfId="14501"/>
    <cellStyle name="40% - Accent5 4 3 3 2 2" xfId="14502"/>
    <cellStyle name="40% - Accent5 4 3 3 2 2 2" xfId="14503"/>
    <cellStyle name="40% - Accent5 4 3 3 2 3" xfId="14504"/>
    <cellStyle name="40% - Accent5 4 3 3 2 4" xfId="14505"/>
    <cellStyle name="40% - Accent5 4 3 3 3" xfId="14506"/>
    <cellStyle name="40% - Accent5 4 3 3 3 2" xfId="14507"/>
    <cellStyle name="40% - Accent5 4 3 3 4" xfId="14508"/>
    <cellStyle name="40% - Accent5 4 3 3 5" xfId="14509"/>
    <cellStyle name="40% - Accent5 4 3 4" xfId="14510"/>
    <cellStyle name="40% - Accent5 4 3 4 2" xfId="14511"/>
    <cellStyle name="40% - Accent5 4 3 4 2 2" xfId="14512"/>
    <cellStyle name="40% - Accent5 4 3 4 2 2 2" xfId="14513"/>
    <cellStyle name="40% - Accent5 4 3 4 2 3" xfId="14514"/>
    <cellStyle name="40% - Accent5 4 3 4 2 4" xfId="14515"/>
    <cellStyle name="40% - Accent5 4 3 4 3" xfId="14516"/>
    <cellStyle name="40% - Accent5 4 3 4 3 2" xfId="14517"/>
    <cellStyle name="40% - Accent5 4 3 4 4" xfId="14518"/>
    <cellStyle name="40% - Accent5 4 3 4 5" xfId="14519"/>
    <cellStyle name="40% - Accent5 4 3 5" xfId="14520"/>
    <cellStyle name="40% - Accent5 4 3 5 2" xfId="14521"/>
    <cellStyle name="40% - Accent5 4 3 5 2 2" xfId="14522"/>
    <cellStyle name="40% - Accent5 4 3 5 3" xfId="14523"/>
    <cellStyle name="40% - Accent5 4 3 5 4" xfId="14524"/>
    <cellStyle name="40% - Accent5 4 3 6" xfId="14525"/>
    <cellStyle name="40% - Accent5 4 3 6 2" xfId="14526"/>
    <cellStyle name="40% - Accent5 4 3 6 2 2" xfId="14527"/>
    <cellStyle name="40% - Accent5 4 3 6 3" xfId="14528"/>
    <cellStyle name="40% - Accent5 4 3 6 4" xfId="14529"/>
    <cellStyle name="40% - Accent5 4 3 7" xfId="14530"/>
    <cellStyle name="40% - Accent5 4 3 7 2" xfId="14531"/>
    <cellStyle name="40% - Accent5 4 3 7 2 2" xfId="14532"/>
    <cellStyle name="40% - Accent5 4 3 7 3" xfId="14533"/>
    <cellStyle name="40% - Accent5 4 3 7 4" xfId="14534"/>
    <cellStyle name="40% - Accent5 4 3 8" xfId="14535"/>
    <cellStyle name="40% - Accent5 4 3 8 2" xfId="14536"/>
    <cellStyle name="40% - Accent5 4 3 9" xfId="14537"/>
    <cellStyle name="40% - Accent5 4 4" xfId="14538"/>
    <cellStyle name="40% - Accent5 4 4 2" xfId="14539"/>
    <cellStyle name="40% - Accent5 4 4 2 2" xfId="14540"/>
    <cellStyle name="40% - Accent5 4 4 2 2 2" xfId="14541"/>
    <cellStyle name="40% - Accent5 4 4 2 2 2 2" xfId="14542"/>
    <cellStyle name="40% - Accent5 4 4 2 2 3" xfId="14543"/>
    <cellStyle name="40% - Accent5 4 4 2 2 4" xfId="14544"/>
    <cellStyle name="40% - Accent5 4 4 2 3" xfId="14545"/>
    <cellStyle name="40% - Accent5 4 4 2 3 2" xfId="14546"/>
    <cellStyle name="40% - Accent5 4 4 2 4" xfId="14547"/>
    <cellStyle name="40% - Accent5 4 4 2 5" xfId="14548"/>
    <cellStyle name="40% - Accent5 4 4 3" xfId="14549"/>
    <cellStyle name="40% - Accent5 4 4 3 2" xfId="14550"/>
    <cellStyle name="40% - Accent5 4 4 3 2 2" xfId="14551"/>
    <cellStyle name="40% - Accent5 4 4 3 2 2 2" xfId="14552"/>
    <cellStyle name="40% - Accent5 4 4 3 2 3" xfId="14553"/>
    <cellStyle name="40% - Accent5 4 4 3 2 4" xfId="14554"/>
    <cellStyle name="40% - Accent5 4 4 3 3" xfId="14555"/>
    <cellStyle name="40% - Accent5 4 4 3 3 2" xfId="14556"/>
    <cellStyle name="40% - Accent5 4 4 3 4" xfId="14557"/>
    <cellStyle name="40% - Accent5 4 4 3 5" xfId="14558"/>
    <cellStyle name="40% - Accent5 4 4 4" xfId="14559"/>
    <cellStyle name="40% - Accent5 4 4 4 2" xfId="14560"/>
    <cellStyle name="40% - Accent5 4 4 4 2 2" xfId="14561"/>
    <cellStyle name="40% - Accent5 4 4 4 3" xfId="14562"/>
    <cellStyle name="40% - Accent5 4 4 4 4" xfId="14563"/>
    <cellStyle name="40% - Accent5 4 4 5" xfId="14564"/>
    <cellStyle name="40% - Accent5 4 4 5 2" xfId="14565"/>
    <cellStyle name="40% - Accent5 4 4 5 2 2" xfId="14566"/>
    <cellStyle name="40% - Accent5 4 4 5 3" xfId="14567"/>
    <cellStyle name="40% - Accent5 4 4 5 4" xfId="14568"/>
    <cellStyle name="40% - Accent5 4 4 6" xfId="14569"/>
    <cellStyle name="40% - Accent5 4 4 6 2" xfId="14570"/>
    <cellStyle name="40% - Accent5 4 4 6 2 2" xfId="14571"/>
    <cellStyle name="40% - Accent5 4 4 6 3" xfId="14572"/>
    <cellStyle name="40% - Accent5 4 4 6 4" xfId="14573"/>
    <cellStyle name="40% - Accent5 4 4 7" xfId="14574"/>
    <cellStyle name="40% - Accent5 4 4 7 2" xfId="14575"/>
    <cellStyle name="40% - Accent5 4 4 8" xfId="14576"/>
    <cellStyle name="40% - Accent5 4 4 9" xfId="14577"/>
    <cellStyle name="40% - Accent5 4 5" xfId="14578"/>
    <cellStyle name="40% - Accent5 4 5 2" xfId="14579"/>
    <cellStyle name="40% - Accent5 4 5 2 2" xfId="14580"/>
    <cellStyle name="40% - Accent5 4 5 2 2 2" xfId="14581"/>
    <cellStyle name="40% - Accent5 4 5 2 2 2 2" xfId="14582"/>
    <cellStyle name="40% - Accent5 4 5 2 2 3" xfId="14583"/>
    <cellStyle name="40% - Accent5 4 5 2 2 4" xfId="14584"/>
    <cellStyle name="40% - Accent5 4 5 2 3" xfId="14585"/>
    <cellStyle name="40% - Accent5 4 5 2 3 2" xfId="14586"/>
    <cellStyle name="40% - Accent5 4 5 2 4" xfId="14587"/>
    <cellStyle name="40% - Accent5 4 5 2 5" xfId="14588"/>
    <cellStyle name="40% - Accent5 4 5 3" xfId="14589"/>
    <cellStyle name="40% - Accent5 4 5 3 2" xfId="14590"/>
    <cellStyle name="40% - Accent5 4 5 3 2 2" xfId="14591"/>
    <cellStyle name="40% - Accent5 4 5 3 3" xfId="14592"/>
    <cellStyle name="40% - Accent5 4 5 3 4" xfId="14593"/>
    <cellStyle name="40% - Accent5 4 5 4" xfId="14594"/>
    <cellStyle name="40% - Accent5 4 5 5" xfId="14595"/>
    <cellStyle name="40% - Accent5 4 5 5 2" xfId="14596"/>
    <cellStyle name="40% - Accent5 4 5 6" xfId="14597"/>
    <cellStyle name="40% - Accent5 4 5 7" xfId="14598"/>
    <cellStyle name="40% - Accent5 4 6" xfId="14599"/>
    <cellStyle name="40% - Accent5 4 6 2" xfId="14600"/>
    <cellStyle name="40% - Accent5 4 6 2 2" xfId="14601"/>
    <cellStyle name="40% - Accent5 4 6 2 2 2" xfId="14602"/>
    <cellStyle name="40% - Accent5 4 6 2 3" xfId="14603"/>
    <cellStyle name="40% - Accent5 4 6 2 4" xfId="14604"/>
    <cellStyle name="40% - Accent5 4 6 3" xfId="14605"/>
    <cellStyle name="40% - Accent5 4 6 3 2" xfId="14606"/>
    <cellStyle name="40% - Accent5 4 6 3 2 2" xfId="14607"/>
    <cellStyle name="40% - Accent5 4 6 3 3" xfId="14608"/>
    <cellStyle name="40% - Accent5 4 6 3 4" xfId="14609"/>
    <cellStyle name="40% - Accent5 4 6 4" xfId="14610"/>
    <cellStyle name="40% - Accent5 4 6 4 2" xfId="14611"/>
    <cellStyle name="40% - Accent5 4 6 5" xfId="14612"/>
    <cellStyle name="40% - Accent5 4 6 6" xfId="14613"/>
    <cellStyle name="40% - Accent5 4 7" xfId="14614"/>
    <cellStyle name="40% - Accent5 4 7 2" xfId="14615"/>
    <cellStyle name="40% - Accent5 4 7 2 2" xfId="14616"/>
    <cellStyle name="40% - Accent5 4 7 3" xfId="14617"/>
    <cellStyle name="40% - Accent5 4 7 4" xfId="14618"/>
    <cellStyle name="40% - Accent5 4 8" xfId="14619"/>
    <cellStyle name="40% - Accent5 4 8 2" xfId="14620"/>
    <cellStyle name="40% - Accent5 4 8 2 2" xfId="14621"/>
    <cellStyle name="40% - Accent5 4 8 3" xfId="14622"/>
    <cellStyle name="40% - Accent5 4 8 4" xfId="14623"/>
    <cellStyle name="40% - Accent5 4 9" xfId="35516"/>
    <cellStyle name="40% - Accent5 5" xfId="14624"/>
    <cellStyle name="40% - Accent5 5 2" xfId="14625"/>
    <cellStyle name="40% - Accent5 5 2 10" xfId="14626"/>
    <cellStyle name="40% - Accent5 5 2 11" xfId="14627"/>
    <cellStyle name="40% - Accent5 5 2 2" xfId="14628"/>
    <cellStyle name="40% - Accent5 5 2 2 10" xfId="14629"/>
    <cellStyle name="40% - Accent5 5 2 2 2" xfId="14630"/>
    <cellStyle name="40% - Accent5 5 2 2 2 2" xfId="14631"/>
    <cellStyle name="40% - Accent5 5 2 2 2 2 2" xfId="14632"/>
    <cellStyle name="40% - Accent5 5 2 2 2 2 2 2" xfId="14633"/>
    <cellStyle name="40% - Accent5 5 2 2 2 2 2 2 2" xfId="14634"/>
    <cellStyle name="40% - Accent5 5 2 2 2 2 2 3" xfId="14635"/>
    <cellStyle name="40% - Accent5 5 2 2 2 2 2 4" xfId="14636"/>
    <cellStyle name="40% - Accent5 5 2 2 2 2 3" xfId="14637"/>
    <cellStyle name="40% - Accent5 5 2 2 2 2 3 2" xfId="14638"/>
    <cellStyle name="40% - Accent5 5 2 2 2 2 4" xfId="14639"/>
    <cellStyle name="40% - Accent5 5 2 2 2 2 5" xfId="14640"/>
    <cellStyle name="40% - Accent5 5 2 2 2 3" xfId="14641"/>
    <cellStyle name="40% - Accent5 5 2 2 2 3 2" xfId="14642"/>
    <cellStyle name="40% - Accent5 5 2 2 2 3 2 2" xfId="14643"/>
    <cellStyle name="40% - Accent5 5 2 2 2 3 2 2 2" xfId="14644"/>
    <cellStyle name="40% - Accent5 5 2 2 2 3 2 3" xfId="14645"/>
    <cellStyle name="40% - Accent5 5 2 2 2 3 2 4" xfId="14646"/>
    <cellStyle name="40% - Accent5 5 2 2 2 3 3" xfId="14647"/>
    <cellStyle name="40% - Accent5 5 2 2 2 3 3 2" xfId="14648"/>
    <cellStyle name="40% - Accent5 5 2 2 2 3 4" xfId="14649"/>
    <cellStyle name="40% - Accent5 5 2 2 2 3 5" xfId="14650"/>
    <cellStyle name="40% - Accent5 5 2 2 2 4" xfId="14651"/>
    <cellStyle name="40% - Accent5 5 2 2 2 4 2" xfId="14652"/>
    <cellStyle name="40% - Accent5 5 2 2 2 4 2 2" xfId="14653"/>
    <cellStyle name="40% - Accent5 5 2 2 2 4 3" xfId="14654"/>
    <cellStyle name="40% - Accent5 5 2 2 2 4 4" xfId="14655"/>
    <cellStyle name="40% - Accent5 5 2 2 2 5" xfId="14656"/>
    <cellStyle name="40% - Accent5 5 2 2 2 5 2" xfId="14657"/>
    <cellStyle name="40% - Accent5 5 2 2 2 5 2 2" xfId="14658"/>
    <cellStyle name="40% - Accent5 5 2 2 2 5 3" xfId="14659"/>
    <cellStyle name="40% - Accent5 5 2 2 2 5 4" xfId="14660"/>
    <cellStyle name="40% - Accent5 5 2 2 2 6" xfId="14661"/>
    <cellStyle name="40% - Accent5 5 2 2 2 6 2" xfId="14662"/>
    <cellStyle name="40% - Accent5 5 2 2 2 6 2 2" xfId="14663"/>
    <cellStyle name="40% - Accent5 5 2 2 2 6 3" xfId="14664"/>
    <cellStyle name="40% - Accent5 5 2 2 2 6 4" xfId="14665"/>
    <cellStyle name="40% - Accent5 5 2 2 2 7" xfId="14666"/>
    <cellStyle name="40% - Accent5 5 2 2 2 7 2" xfId="14667"/>
    <cellStyle name="40% - Accent5 5 2 2 2 8" xfId="14668"/>
    <cellStyle name="40% - Accent5 5 2 2 2 9" xfId="14669"/>
    <cellStyle name="40% - Accent5 5 2 2 3" xfId="14670"/>
    <cellStyle name="40% - Accent5 5 2 2 3 2" xfId="14671"/>
    <cellStyle name="40% - Accent5 5 2 2 3 2 2" xfId="14672"/>
    <cellStyle name="40% - Accent5 5 2 2 3 2 2 2" xfId="14673"/>
    <cellStyle name="40% - Accent5 5 2 2 3 2 3" xfId="14674"/>
    <cellStyle name="40% - Accent5 5 2 2 3 2 4" xfId="14675"/>
    <cellStyle name="40% - Accent5 5 2 2 3 3" xfId="14676"/>
    <cellStyle name="40% - Accent5 5 2 2 3 3 2" xfId="14677"/>
    <cellStyle name="40% - Accent5 5 2 2 3 4" xfId="14678"/>
    <cellStyle name="40% - Accent5 5 2 2 3 5" xfId="14679"/>
    <cellStyle name="40% - Accent5 5 2 2 4" xfId="14680"/>
    <cellStyle name="40% - Accent5 5 2 2 4 2" xfId="14681"/>
    <cellStyle name="40% - Accent5 5 2 2 4 2 2" xfId="14682"/>
    <cellStyle name="40% - Accent5 5 2 2 4 2 2 2" xfId="14683"/>
    <cellStyle name="40% - Accent5 5 2 2 4 2 3" xfId="14684"/>
    <cellStyle name="40% - Accent5 5 2 2 4 2 4" xfId="14685"/>
    <cellStyle name="40% - Accent5 5 2 2 4 3" xfId="14686"/>
    <cellStyle name="40% - Accent5 5 2 2 4 3 2" xfId="14687"/>
    <cellStyle name="40% - Accent5 5 2 2 4 4" xfId="14688"/>
    <cellStyle name="40% - Accent5 5 2 2 4 5" xfId="14689"/>
    <cellStyle name="40% - Accent5 5 2 2 5" xfId="14690"/>
    <cellStyle name="40% - Accent5 5 2 2 5 2" xfId="14691"/>
    <cellStyle name="40% - Accent5 5 2 2 5 2 2" xfId="14692"/>
    <cellStyle name="40% - Accent5 5 2 2 5 3" xfId="14693"/>
    <cellStyle name="40% - Accent5 5 2 2 5 4" xfId="14694"/>
    <cellStyle name="40% - Accent5 5 2 2 6" xfId="14695"/>
    <cellStyle name="40% - Accent5 5 2 2 6 2" xfId="14696"/>
    <cellStyle name="40% - Accent5 5 2 2 6 2 2" xfId="14697"/>
    <cellStyle name="40% - Accent5 5 2 2 6 3" xfId="14698"/>
    <cellStyle name="40% - Accent5 5 2 2 6 4" xfId="14699"/>
    <cellStyle name="40% - Accent5 5 2 2 7" xfId="14700"/>
    <cellStyle name="40% - Accent5 5 2 2 7 2" xfId="14701"/>
    <cellStyle name="40% - Accent5 5 2 2 7 2 2" xfId="14702"/>
    <cellStyle name="40% - Accent5 5 2 2 7 3" xfId="14703"/>
    <cellStyle name="40% - Accent5 5 2 2 7 4" xfId="14704"/>
    <cellStyle name="40% - Accent5 5 2 2 8" xfId="14705"/>
    <cellStyle name="40% - Accent5 5 2 2 8 2" xfId="14706"/>
    <cellStyle name="40% - Accent5 5 2 2 9" xfId="14707"/>
    <cellStyle name="40% - Accent5 5 2 3" xfId="14708"/>
    <cellStyle name="40% - Accent5 5 2 3 2" xfId="14709"/>
    <cellStyle name="40% - Accent5 5 2 3 2 2" xfId="14710"/>
    <cellStyle name="40% - Accent5 5 2 3 2 2 2" xfId="14711"/>
    <cellStyle name="40% - Accent5 5 2 3 2 2 2 2" xfId="14712"/>
    <cellStyle name="40% - Accent5 5 2 3 2 2 3" xfId="14713"/>
    <cellStyle name="40% - Accent5 5 2 3 2 2 4" xfId="14714"/>
    <cellStyle name="40% - Accent5 5 2 3 2 3" xfId="14715"/>
    <cellStyle name="40% - Accent5 5 2 3 2 3 2" xfId="14716"/>
    <cellStyle name="40% - Accent5 5 2 3 2 4" xfId="14717"/>
    <cellStyle name="40% - Accent5 5 2 3 2 5" xfId="14718"/>
    <cellStyle name="40% - Accent5 5 2 3 3" xfId="14719"/>
    <cellStyle name="40% - Accent5 5 2 3 3 2" xfId="14720"/>
    <cellStyle name="40% - Accent5 5 2 3 3 2 2" xfId="14721"/>
    <cellStyle name="40% - Accent5 5 2 3 3 2 2 2" xfId="14722"/>
    <cellStyle name="40% - Accent5 5 2 3 3 2 3" xfId="14723"/>
    <cellStyle name="40% - Accent5 5 2 3 3 2 4" xfId="14724"/>
    <cellStyle name="40% - Accent5 5 2 3 3 3" xfId="14725"/>
    <cellStyle name="40% - Accent5 5 2 3 3 3 2" xfId="14726"/>
    <cellStyle name="40% - Accent5 5 2 3 3 4" xfId="14727"/>
    <cellStyle name="40% - Accent5 5 2 3 3 5" xfId="14728"/>
    <cellStyle name="40% - Accent5 5 2 3 4" xfId="14729"/>
    <cellStyle name="40% - Accent5 5 2 3 4 2" xfId="14730"/>
    <cellStyle name="40% - Accent5 5 2 3 4 2 2" xfId="14731"/>
    <cellStyle name="40% - Accent5 5 2 3 4 3" xfId="14732"/>
    <cellStyle name="40% - Accent5 5 2 3 4 4" xfId="14733"/>
    <cellStyle name="40% - Accent5 5 2 3 5" xfId="14734"/>
    <cellStyle name="40% - Accent5 5 2 3 5 2" xfId="14735"/>
    <cellStyle name="40% - Accent5 5 2 3 5 2 2" xfId="14736"/>
    <cellStyle name="40% - Accent5 5 2 3 5 3" xfId="14737"/>
    <cellStyle name="40% - Accent5 5 2 3 5 4" xfId="14738"/>
    <cellStyle name="40% - Accent5 5 2 3 6" xfId="14739"/>
    <cellStyle name="40% - Accent5 5 2 3 6 2" xfId="14740"/>
    <cellStyle name="40% - Accent5 5 2 3 6 2 2" xfId="14741"/>
    <cellStyle name="40% - Accent5 5 2 3 6 3" xfId="14742"/>
    <cellStyle name="40% - Accent5 5 2 3 6 4" xfId="14743"/>
    <cellStyle name="40% - Accent5 5 2 3 7" xfId="14744"/>
    <cellStyle name="40% - Accent5 5 2 3 7 2" xfId="14745"/>
    <cellStyle name="40% - Accent5 5 2 3 8" xfId="14746"/>
    <cellStyle name="40% - Accent5 5 2 3 9" xfId="14747"/>
    <cellStyle name="40% - Accent5 5 2 4" xfId="14748"/>
    <cellStyle name="40% - Accent5 5 2 4 2" xfId="14749"/>
    <cellStyle name="40% - Accent5 5 2 4 2 2" xfId="14750"/>
    <cellStyle name="40% - Accent5 5 2 4 2 2 2" xfId="14751"/>
    <cellStyle name="40% - Accent5 5 2 4 2 3" xfId="14752"/>
    <cellStyle name="40% - Accent5 5 2 4 2 4" xfId="14753"/>
    <cellStyle name="40% - Accent5 5 2 4 3" xfId="14754"/>
    <cellStyle name="40% - Accent5 5 2 4 3 2" xfId="14755"/>
    <cellStyle name="40% - Accent5 5 2 4 4" xfId="14756"/>
    <cellStyle name="40% - Accent5 5 2 4 5" xfId="14757"/>
    <cellStyle name="40% - Accent5 5 2 5" xfId="14758"/>
    <cellStyle name="40% - Accent5 5 2 5 2" xfId="14759"/>
    <cellStyle name="40% - Accent5 5 2 5 2 2" xfId="14760"/>
    <cellStyle name="40% - Accent5 5 2 5 2 2 2" xfId="14761"/>
    <cellStyle name="40% - Accent5 5 2 5 2 3" xfId="14762"/>
    <cellStyle name="40% - Accent5 5 2 5 2 4" xfId="14763"/>
    <cellStyle name="40% - Accent5 5 2 5 3" xfId="14764"/>
    <cellStyle name="40% - Accent5 5 2 5 3 2" xfId="14765"/>
    <cellStyle name="40% - Accent5 5 2 5 4" xfId="14766"/>
    <cellStyle name="40% - Accent5 5 2 5 5" xfId="14767"/>
    <cellStyle name="40% - Accent5 5 2 6" xfId="14768"/>
    <cellStyle name="40% - Accent5 5 2 6 2" xfId="14769"/>
    <cellStyle name="40% - Accent5 5 2 6 2 2" xfId="14770"/>
    <cellStyle name="40% - Accent5 5 2 6 3" xfId="14771"/>
    <cellStyle name="40% - Accent5 5 2 6 4" xfId="14772"/>
    <cellStyle name="40% - Accent5 5 2 7" xfId="14773"/>
    <cellStyle name="40% - Accent5 5 2 7 2" xfId="14774"/>
    <cellStyle name="40% - Accent5 5 2 7 2 2" xfId="14775"/>
    <cellStyle name="40% - Accent5 5 2 7 3" xfId="14776"/>
    <cellStyle name="40% - Accent5 5 2 7 4" xfId="14777"/>
    <cellStyle name="40% - Accent5 5 2 8" xfId="14778"/>
    <cellStyle name="40% - Accent5 5 2 8 2" xfId="14779"/>
    <cellStyle name="40% - Accent5 5 2 8 2 2" xfId="14780"/>
    <cellStyle name="40% - Accent5 5 2 8 3" xfId="14781"/>
    <cellStyle name="40% - Accent5 5 2 8 4" xfId="14782"/>
    <cellStyle name="40% - Accent5 5 2 9" xfId="14783"/>
    <cellStyle name="40% - Accent5 5 2 9 2" xfId="14784"/>
    <cellStyle name="40% - Accent5 5 3" xfId="14785"/>
    <cellStyle name="40% - Accent5 5 3 10" xfId="14786"/>
    <cellStyle name="40% - Accent5 5 3 2" xfId="14787"/>
    <cellStyle name="40% - Accent5 5 3 2 2" xfId="14788"/>
    <cellStyle name="40% - Accent5 5 3 2 2 2" xfId="14789"/>
    <cellStyle name="40% - Accent5 5 3 2 2 2 2" xfId="14790"/>
    <cellStyle name="40% - Accent5 5 3 2 2 2 2 2" xfId="14791"/>
    <cellStyle name="40% - Accent5 5 3 2 2 2 3" xfId="14792"/>
    <cellStyle name="40% - Accent5 5 3 2 2 2 4" xfId="14793"/>
    <cellStyle name="40% - Accent5 5 3 2 2 3" xfId="14794"/>
    <cellStyle name="40% - Accent5 5 3 2 2 3 2" xfId="14795"/>
    <cellStyle name="40% - Accent5 5 3 2 2 4" xfId="14796"/>
    <cellStyle name="40% - Accent5 5 3 2 2 5" xfId="14797"/>
    <cellStyle name="40% - Accent5 5 3 2 3" xfId="14798"/>
    <cellStyle name="40% - Accent5 5 3 2 3 2" xfId="14799"/>
    <cellStyle name="40% - Accent5 5 3 2 3 2 2" xfId="14800"/>
    <cellStyle name="40% - Accent5 5 3 2 3 2 2 2" xfId="14801"/>
    <cellStyle name="40% - Accent5 5 3 2 3 2 3" xfId="14802"/>
    <cellStyle name="40% - Accent5 5 3 2 3 2 4" xfId="14803"/>
    <cellStyle name="40% - Accent5 5 3 2 3 3" xfId="14804"/>
    <cellStyle name="40% - Accent5 5 3 2 3 3 2" xfId="14805"/>
    <cellStyle name="40% - Accent5 5 3 2 3 4" xfId="14806"/>
    <cellStyle name="40% - Accent5 5 3 2 3 5" xfId="14807"/>
    <cellStyle name="40% - Accent5 5 3 2 4" xfId="14808"/>
    <cellStyle name="40% - Accent5 5 3 2 4 2" xfId="14809"/>
    <cellStyle name="40% - Accent5 5 3 2 4 2 2" xfId="14810"/>
    <cellStyle name="40% - Accent5 5 3 2 4 3" xfId="14811"/>
    <cellStyle name="40% - Accent5 5 3 2 4 4" xfId="14812"/>
    <cellStyle name="40% - Accent5 5 3 2 5" xfId="14813"/>
    <cellStyle name="40% - Accent5 5 3 2 5 2" xfId="14814"/>
    <cellStyle name="40% - Accent5 5 3 2 5 2 2" xfId="14815"/>
    <cellStyle name="40% - Accent5 5 3 2 5 3" xfId="14816"/>
    <cellStyle name="40% - Accent5 5 3 2 5 4" xfId="14817"/>
    <cellStyle name="40% - Accent5 5 3 2 6" xfId="14818"/>
    <cellStyle name="40% - Accent5 5 3 2 6 2" xfId="14819"/>
    <cellStyle name="40% - Accent5 5 3 2 6 2 2" xfId="14820"/>
    <cellStyle name="40% - Accent5 5 3 2 6 3" xfId="14821"/>
    <cellStyle name="40% - Accent5 5 3 2 6 4" xfId="14822"/>
    <cellStyle name="40% - Accent5 5 3 2 7" xfId="14823"/>
    <cellStyle name="40% - Accent5 5 3 2 7 2" xfId="14824"/>
    <cellStyle name="40% - Accent5 5 3 2 8" xfId="14825"/>
    <cellStyle name="40% - Accent5 5 3 2 9" xfId="14826"/>
    <cellStyle name="40% - Accent5 5 3 3" xfId="14827"/>
    <cellStyle name="40% - Accent5 5 3 3 2" xfId="14828"/>
    <cellStyle name="40% - Accent5 5 3 3 2 2" xfId="14829"/>
    <cellStyle name="40% - Accent5 5 3 3 2 2 2" xfId="14830"/>
    <cellStyle name="40% - Accent5 5 3 3 2 3" xfId="14831"/>
    <cellStyle name="40% - Accent5 5 3 3 2 4" xfId="14832"/>
    <cellStyle name="40% - Accent5 5 3 3 3" xfId="14833"/>
    <cellStyle name="40% - Accent5 5 3 3 3 2" xfId="14834"/>
    <cellStyle name="40% - Accent5 5 3 3 4" xfId="14835"/>
    <cellStyle name="40% - Accent5 5 3 3 5" xfId="14836"/>
    <cellStyle name="40% - Accent5 5 3 4" xfId="14837"/>
    <cellStyle name="40% - Accent5 5 3 4 2" xfId="14838"/>
    <cellStyle name="40% - Accent5 5 3 4 2 2" xfId="14839"/>
    <cellStyle name="40% - Accent5 5 3 4 2 2 2" xfId="14840"/>
    <cellStyle name="40% - Accent5 5 3 4 2 3" xfId="14841"/>
    <cellStyle name="40% - Accent5 5 3 4 2 4" xfId="14842"/>
    <cellStyle name="40% - Accent5 5 3 4 3" xfId="14843"/>
    <cellStyle name="40% - Accent5 5 3 4 3 2" xfId="14844"/>
    <cellStyle name="40% - Accent5 5 3 4 4" xfId="14845"/>
    <cellStyle name="40% - Accent5 5 3 4 5" xfId="14846"/>
    <cellStyle name="40% - Accent5 5 3 5" xfId="14847"/>
    <cellStyle name="40% - Accent5 5 3 5 2" xfId="14848"/>
    <cellStyle name="40% - Accent5 5 3 5 2 2" xfId="14849"/>
    <cellStyle name="40% - Accent5 5 3 5 3" xfId="14850"/>
    <cellStyle name="40% - Accent5 5 3 5 4" xfId="14851"/>
    <cellStyle name="40% - Accent5 5 3 6" xfId="14852"/>
    <cellStyle name="40% - Accent5 5 3 6 2" xfId="14853"/>
    <cellStyle name="40% - Accent5 5 3 6 2 2" xfId="14854"/>
    <cellStyle name="40% - Accent5 5 3 6 3" xfId="14855"/>
    <cellStyle name="40% - Accent5 5 3 6 4" xfId="14856"/>
    <cellStyle name="40% - Accent5 5 3 7" xfId="14857"/>
    <cellStyle name="40% - Accent5 5 3 7 2" xfId="14858"/>
    <cellStyle name="40% - Accent5 5 3 7 2 2" xfId="14859"/>
    <cellStyle name="40% - Accent5 5 3 7 3" xfId="14860"/>
    <cellStyle name="40% - Accent5 5 3 7 4" xfId="14861"/>
    <cellStyle name="40% - Accent5 5 3 8" xfId="14862"/>
    <cellStyle name="40% - Accent5 5 3 8 2" xfId="14863"/>
    <cellStyle name="40% - Accent5 5 3 9" xfId="14864"/>
    <cellStyle name="40% - Accent5 5 4" xfId="14865"/>
    <cellStyle name="40% - Accent5 5 4 2" xfId="14866"/>
    <cellStyle name="40% - Accent5 5 4 2 2" xfId="14867"/>
    <cellStyle name="40% - Accent5 5 4 2 2 2" xfId="14868"/>
    <cellStyle name="40% - Accent5 5 4 2 2 2 2" xfId="14869"/>
    <cellStyle name="40% - Accent5 5 4 2 2 3" xfId="14870"/>
    <cellStyle name="40% - Accent5 5 4 2 2 4" xfId="14871"/>
    <cellStyle name="40% - Accent5 5 4 2 3" xfId="14872"/>
    <cellStyle name="40% - Accent5 5 4 2 3 2" xfId="14873"/>
    <cellStyle name="40% - Accent5 5 4 2 4" xfId="14874"/>
    <cellStyle name="40% - Accent5 5 4 2 5" xfId="14875"/>
    <cellStyle name="40% - Accent5 5 4 3" xfId="14876"/>
    <cellStyle name="40% - Accent5 5 4 3 2" xfId="14877"/>
    <cellStyle name="40% - Accent5 5 4 3 2 2" xfId="14878"/>
    <cellStyle name="40% - Accent5 5 4 3 2 2 2" xfId="14879"/>
    <cellStyle name="40% - Accent5 5 4 3 2 3" xfId="14880"/>
    <cellStyle name="40% - Accent5 5 4 3 2 4" xfId="14881"/>
    <cellStyle name="40% - Accent5 5 4 3 3" xfId="14882"/>
    <cellStyle name="40% - Accent5 5 4 3 3 2" xfId="14883"/>
    <cellStyle name="40% - Accent5 5 4 3 4" xfId="14884"/>
    <cellStyle name="40% - Accent5 5 4 3 5" xfId="14885"/>
    <cellStyle name="40% - Accent5 5 4 4" xfId="14886"/>
    <cellStyle name="40% - Accent5 5 4 4 2" xfId="14887"/>
    <cellStyle name="40% - Accent5 5 4 4 2 2" xfId="14888"/>
    <cellStyle name="40% - Accent5 5 4 4 3" xfId="14889"/>
    <cellStyle name="40% - Accent5 5 4 4 4" xfId="14890"/>
    <cellStyle name="40% - Accent5 5 4 5" xfId="14891"/>
    <cellStyle name="40% - Accent5 5 4 5 2" xfId="14892"/>
    <cellStyle name="40% - Accent5 5 4 5 2 2" xfId="14893"/>
    <cellStyle name="40% - Accent5 5 4 5 3" xfId="14894"/>
    <cellStyle name="40% - Accent5 5 4 5 4" xfId="14895"/>
    <cellStyle name="40% - Accent5 5 4 6" xfId="14896"/>
    <cellStyle name="40% - Accent5 5 4 6 2" xfId="14897"/>
    <cellStyle name="40% - Accent5 5 4 6 2 2" xfId="14898"/>
    <cellStyle name="40% - Accent5 5 4 6 3" xfId="14899"/>
    <cellStyle name="40% - Accent5 5 4 6 4" xfId="14900"/>
    <cellStyle name="40% - Accent5 5 4 7" xfId="14901"/>
    <cellStyle name="40% - Accent5 5 4 7 2" xfId="14902"/>
    <cellStyle name="40% - Accent5 5 4 8" xfId="14903"/>
    <cellStyle name="40% - Accent5 5 4 9" xfId="14904"/>
    <cellStyle name="40% - Accent5 5 5" xfId="14905"/>
    <cellStyle name="40% - Accent5 5 5 2" xfId="14906"/>
    <cellStyle name="40% - Accent5 5 5 2 2" xfId="14907"/>
    <cellStyle name="40% - Accent5 5 5 2 2 2" xfId="14908"/>
    <cellStyle name="40% - Accent5 5 5 2 2 2 2" xfId="14909"/>
    <cellStyle name="40% - Accent5 5 5 2 2 3" xfId="14910"/>
    <cellStyle name="40% - Accent5 5 5 2 2 4" xfId="14911"/>
    <cellStyle name="40% - Accent5 5 5 2 3" xfId="14912"/>
    <cellStyle name="40% - Accent5 5 5 2 3 2" xfId="14913"/>
    <cellStyle name="40% - Accent5 5 5 2 4" xfId="14914"/>
    <cellStyle name="40% - Accent5 5 5 2 5" xfId="14915"/>
    <cellStyle name="40% - Accent5 5 5 3" xfId="14916"/>
    <cellStyle name="40% - Accent5 5 5 3 2" xfId="14917"/>
    <cellStyle name="40% - Accent5 5 5 3 2 2" xfId="14918"/>
    <cellStyle name="40% - Accent5 5 5 3 3" xfId="14919"/>
    <cellStyle name="40% - Accent5 5 5 3 4" xfId="14920"/>
    <cellStyle name="40% - Accent5 5 5 4" xfId="14921"/>
    <cellStyle name="40% - Accent5 5 5 4 2" xfId="14922"/>
    <cellStyle name="40% - Accent5 5 5 4 2 2" xfId="14923"/>
    <cellStyle name="40% - Accent5 5 5 4 3" xfId="14924"/>
    <cellStyle name="40% - Accent5 5 5 4 4" xfId="14925"/>
    <cellStyle name="40% - Accent5 5 5 5" xfId="14926"/>
    <cellStyle name="40% - Accent5 5 5 5 2" xfId="14927"/>
    <cellStyle name="40% - Accent5 5 5 6" xfId="14928"/>
    <cellStyle name="40% - Accent5 5 5 7" xfId="14929"/>
    <cellStyle name="40% - Accent5 5 6" xfId="14930"/>
    <cellStyle name="40% - Accent5 5 6 2" xfId="14931"/>
    <cellStyle name="40% - Accent5 5 6 2 2" xfId="14932"/>
    <cellStyle name="40% - Accent5 5 6 2 2 2" xfId="14933"/>
    <cellStyle name="40% - Accent5 5 6 2 3" xfId="14934"/>
    <cellStyle name="40% - Accent5 5 6 2 4" xfId="14935"/>
    <cellStyle name="40% - Accent5 5 6 3" xfId="14936"/>
    <cellStyle name="40% - Accent5 5 6 3 2" xfId="14937"/>
    <cellStyle name="40% - Accent5 5 6 4" xfId="14938"/>
    <cellStyle name="40% - Accent5 5 6 5" xfId="14939"/>
    <cellStyle name="40% - Accent5 5 7" xfId="14940"/>
    <cellStyle name="40% - Accent5 5 7 2" xfId="14941"/>
    <cellStyle name="40% - Accent5 5 7 2 2" xfId="14942"/>
    <cellStyle name="40% - Accent5 5 7 3" xfId="14943"/>
    <cellStyle name="40% - Accent5 5 7 4" xfId="14944"/>
    <cellStyle name="40% - Accent5 5 8" xfId="14945"/>
    <cellStyle name="40% - Accent5 5 8 2" xfId="14946"/>
    <cellStyle name="40% - Accent5 5 8 2 2" xfId="14947"/>
    <cellStyle name="40% - Accent5 5 8 3" xfId="14948"/>
    <cellStyle name="40% - Accent5 5 8 4" xfId="14949"/>
    <cellStyle name="40% - Accent5 6" xfId="14950"/>
    <cellStyle name="40% - Accent5 7" xfId="14951"/>
    <cellStyle name="40% - Accent5 8" xfId="14952"/>
    <cellStyle name="40% - Accent5 9" xfId="14953"/>
    <cellStyle name="40% - Accent5 9 2" xfId="14954"/>
    <cellStyle name="40% - Accent5 9 2 2" xfId="14955"/>
    <cellStyle name="40% - Accent5 9 3" xfId="14956"/>
    <cellStyle name="40% - Accent5 9 4" xfId="14957"/>
    <cellStyle name="40% - Accent6" xfId="35705" builtinId="51" customBuiltin="1"/>
    <cellStyle name="40% - Accent6 2" xfId="44"/>
    <cellStyle name="40% - Accent6 2 10" xfId="14959"/>
    <cellStyle name="40% - Accent6 2 10 2" xfId="14960"/>
    <cellStyle name="40% - Accent6 2 10 2 2" xfId="14961"/>
    <cellStyle name="40% - Accent6 2 10 3" xfId="14962"/>
    <cellStyle name="40% - Accent6 2 10 4" xfId="14963"/>
    <cellStyle name="40% - Accent6 2 11" xfId="14964"/>
    <cellStyle name="40% - Accent6 2 11 2" xfId="14965"/>
    <cellStyle name="40% - Accent6 2 12" xfId="14966"/>
    <cellStyle name="40% - Accent6 2 13" xfId="14967"/>
    <cellStyle name="40% - Accent6 2 14" xfId="35517"/>
    <cellStyle name="40% - Accent6 2 15" xfId="14958"/>
    <cellStyle name="40% - Accent6 2 2" xfId="14968"/>
    <cellStyle name="40% - Accent6 2 2 2" xfId="14969"/>
    <cellStyle name="40% - Accent6 2 2 3" xfId="14970"/>
    <cellStyle name="40% - Accent6 2 2 4" xfId="14971"/>
    <cellStyle name="40% - Accent6 2 3" xfId="14972"/>
    <cellStyle name="40% - Accent6 2 3 10" xfId="14973"/>
    <cellStyle name="40% - Accent6 2 3 11" xfId="14974"/>
    <cellStyle name="40% - Accent6 2 3 2" xfId="14975"/>
    <cellStyle name="40% - Accent6 2 3 2 10" xfId="14976"/>
    <cellStyle name="40% - Accent6 2 3 2 2" xfId="14977"/>
    <cellStyle name="40% - Accent6 2 3 2 2 2" xfId="14978"/>
    <cellStyle name="40% - Accent6 2 3 2 2 2 2" xfId="14979"/>
    <cellStyle name="40% - Accent6 2 3 2 2 2 2 2" xfId="14980"/>
    <cellStyle name="40% - Accent6 2 3 2 2 2 2 2 2" xfId="14981"/>
    <cellStyle name="40% - Accent6 2 3 2 2 2 2 3" xfId="14982"/>
    <cellStyle name="40% - Accent6 2 3 2 2 2 2 4" xfId="14983"/>
    <cellStyle name="40% - Accent6 2 3 2 2 2 3" xfId="14984"/>
    <cellStyle name="40% - Accent6 2 3 2 2 2 3 2" xfId="14985"/>
    <cellStyle name="40% - Accent6 2 3 2 2 2 4" xfId="14986"/>
    <cellStyle name="40% - Accent6 2 3 2 2 2 5" xfId="14987"/>
    <cellStyle name="40% - Accent6 2 3 2 2 3" xfId="14988"/>
    <cellStyle name="40% - Accent6 2 3 2 2 3 2" xfId="14989"/>
    <cellStyle name="40% - Accent6 2 3 2 2 3 2 2" xfId="14990"/>
    <cellStyle name="40% - Accent6 2 3 2 2 3 2 2 2" xfId="14991"/>
    <cellStyle name="40% - Accent6 2 3 2 2 3 2 3" xfId="14992"/>
    <cellStyle name="40% - Accent6 2 3 2 2 3 2 4" xfId="14993"/>
    <cellStyle name="40% - Accent6 2 3 2 2 3 3" xfId="14994"/>
    <cellStyle name="40% - Accent6 2 3 2 2 3 3 2" xfId="14995"/>
    <cellStyle name="40% - Accent6 2 3 2 2 3 4" xfId="14996"/>
    <cellStyle name="40% - Accent6 2 3 2 2 3 5" xfId="14997"/>
    <cellStyle name="40% - Accent6 2 3 2 2 4" xfId="14998"/>
    <cellStyle name="40% - Accent6 2 3 2 2 4 2" xfId="14999"/>
    <cellStyle name="40% - Accent6 2 3 2 2 4 2 2" xfId="15000"/>
    <cellStyle name="40% - Accent6 2 3 2 2 4 3" xfId="15001"/>
    <cellStyle name="40% - Accent6 2 3 2 2 4 4" xfId="15002"/>
    <cellStyle name="40% - Accent6 2 3 2 2 5" xfId="15003"/>
    <cellStyle name="40% - Accent6 2 3 2 2 5 2" xfId="15004"/>
    <cellStyle name="40% - Accent6 2 3 2 2 5 2 2" xfId="15005"/>
    <cellStyle name="40% - Accent6 2 3 2 2 5 3" xfId="15006"/>
    <cellStyle name="40% - Accent6 2 3 2 2 5 4" xfId="15007"/>
    <cellStyle name="40% - Accent6 2 3 2 2 6" xfId="15008"/>
    <cellStyle name="40% - Accent6 2 3 2 2 6 2" xfId="15009"/>
    <cellStyle name="40% - Accent6 2 3 2 2 6 2 2" xfId="15010"/>
    <cellStyle name="40% - Accent6 2 3 2 2 6 3" xfId="15011"/>
    <cellStyle name="40% - Accent6 2 3 2 2 6 4" xfId="15012"/>
    <cellStyle name="40% - Accent6 2 3 2 2 7" xfId="15013"/>
    <cellStyle name="40% - Accent6 2 3 2 2 7 2" xfId="15014"/>
    <cellStyle name="40% - Accent6 2 3 2 2 8" xfId="15015"/>
    <cellStyle name="40% - Accent6 2 3 2 2 9" xfId="15016"/>
    <cellStyle name="40% - Accent6 2 3 2 3" xfId="15017"/>
    <cellStyle name="40% - Accent6 2 3 2 3 2" xfId="15018"/>
    <cellStyle name="40% - Accent6 2 3 2 3 2 2" xfId="15019"/>
    <cellStyle name="40% - Accent6 2 3 2 3 2 2 2" xfId="15020"/>
    <cellStyle name="40% - Accent6 2 3 2 3 2 3" xfId="15021"/>
    <cellStyle name="40% - Accent6 2 3 2 3 2 4" xfId="15022"/>
    <cellStyle name="40% - Accent6 2 3 2 3 3" xfId="15023"/>
    <cellStyle name="40% - Accent6 2 3 2 3 3 2" xfId="15024"/>
    <cellStyle name="40% - Accent6 2 3 2 3 4" xfId="15025"/>
    <cellStyle name="40% - Accent6 2 3 2 3 5" xfId="15026"/>
    <cellStyle name="40% - Accent6 2 3 2 4" xfId="15027"/>
    <cellStyle name="40% - Accent6 2 3 2 4 2" xfId="15028"/>
    <cellStyle name="40% - Accent6 2 3 2 4 2 2" xfId="15029"/>
    <cellStyle name="40% - Accent6 2 3 2 4 2 2 2" xfId="15030"/>
    <cellStyle name="40% - Accent6 2 3 2 4 2 3" xfId="15031"/>
    <cellStyle name="40% - Accent6 2 3 2 4 2 4" xfId="15032"/>
    <cellStyle name="40% - Accent6 2 3 2 4 3" xfId="15033"/>
    <cellStyle name="40% - Accent6 2 3 2 4 3 2" xfId="15034"/>
    <cellStyle name="40% - Accent6 2 3 2 4 4" xfId="15035"/>
    <cellStyle name="40% - Accent6 2 3 2 4 5" xfId="15036"/>
    <cellStyle name="40% - Accent6 2 3 2 5" xfId="15037"/>
    <cellStyle name="40% - Accent6 2 3 2 5 2" xfId="15038"/>
    <cellStyle name="40% - Accent6 2 3 2 5 2 2" xfId="15039"/>
    <cellStyle name="40% - Accent6 2 3 2 5 3" xfId="15040"/>
    <cellStyle name="40% - Accent6 2 3 2 5 4" xfId="15041"/>
    <cellStyle name="40% - Accent6 2 3 2 6" xfId="15042"/>
    <cellStyle name="40% - Accent6 2 3 2 6 2" xfId="15043"/>
    <cellStyle name="40% - Accent6 2 3 2 6 2 2" xfId="15044"/>
    <cellStyle name="40% - Accent6 2 3 2 6 3" xfId="15045"/>
    <cellStyle name="40% - Accent6 2 3 2 6 4" xfId="15046"/>
    <cellStyle name="40% - Accent6 2 3 2 7" xfId="15047"/>
    <cellStyle name="40% - Accent6 2 3 2 7 2" xfId="15048"/>
    <cellStyle name="40% - Accent6 2 3 2 7 2 2" xfId="15049"/>
    <cellStyle name="40% - Accent6 2 3 2 7 3" xfId="15050"/>
    <cellStyle name="40% - Accent6 2 3 2 7 4" xfId="15051"/>
    <cellStyle name="40% - Accent6 2 3 2 8" xfId="15052"/>
    <cellStyle name="40% - Accent6 2 3 2 8 2" xfId="15053"/>
    <cellStyle name="40% - Accent6 2 3 2 9" xfId="15054"/>
    <cellStyle name="40% - Accent6 2 3 3" xfId="15055"/>
    <cellStyle name="40% - Accent6 2 3 3 2" xfId="15056"/>
    <cellStyle name="40% - Accent6 2 3 3 2 2" xfId="15057"/>
    <cellStyle name="40% - Accent6 2 3 3 2 2 2" xfId="15058"/>
    <cellStyle name="40% - Accent6 2 3 3 2 2 2 2" xfId="15059"/>
    <cellStyle name="40% - Accent6 2 3 3 2 2 3" xfId="15060"/>
    <cellStyle name="40% - Accent6 2 3 3 2 2 4" xfId="15061"/>
    <cellStyle name="40% - Accent6 2 3 3 2 3" xfId="15062"/>
    <cellStyle name="40% - Accent6 2 3 3 2 3 2" xfId="15063"/>
    <cellStyle name="40% - Accent6 2 3 3 2 4" xfId="15064"/>
    <cellStyle name="40% - Accent6 2 3 3 2 5" xfId="15065"/>
    <cellStyle name="40% - Accent6 2 3 3 3" xfId="15066"/>
    <cellStyle name="40% - Accent6 2 3 3 3 2" xfId="15067"/>
    <cellStyle name="40% - Accent6 2 3 3 3 2 2" xfId="15068"/>
    <cellStyle name="40% - Accent6 2 3 3 3 2 2 2" xfId="15069"/>
    <cellStyle name="40% - Accent6 2 3 3 3 2 3" xfId="15070"/>
    <cellStyle name="40% - Accent6 2 3 3 3 2 4" xfId="15071"/>
    <cellStyle name="40% - Accent6 2 3 3 3 3" xfId="15072"/>
    <cellStyle name="40% - Accent6 2 3 3 3 3 2" xfId="15073"/>
    <cellStyle name="40% - Accent6 2 3 3 3 4" xfId="15074"/>
    <cellStyle name="40% - Accent6 2 3 3 3 5" xfId="15075"/>
    <cellStyle name="40% - Accent6 2 3 3 4" xfId="15076"/>
    <cellStyle name="40% - Accent6 2 3 3 4 2" xfId="15077"/>
    <cellStyle name="40% - Accent6 2 3 3 4 2 2" xfId="15078"/>
    <cellStyle name="40% - Accent6 2 3 3 4 3" xfId="15079"/>
    <cellStyle name="40% - Accent6 2 3 3 4 4" xfId="15080"/>
    <cellStyle name="40% - Accent6 2 3 3 5" xfId="15081"/>
    <cellStyle name="40% - Accent6 2 3 3 5 2" xfId="15082"/>
    <cellStyle name="40% - Accent6 2 3 3 5 2 2" xfId="15083"/>
    <cellStyle name="40% - Accent6 2 3 3 5 3" xfId="15084"/>
    <cellStyle name="40% - Accent6 2 3 3 5 4" xfId="15085"/>
    <cellStyle name="40% - Accent6 2 3 3 6" xfId="15086"/>
    <cellStyle name="40% - Accent6 2 3 3 6 2" xfId="15087"/>
    <cellStyle name="40% - Accent6 2 3 3 6 2 2" xfId="15088"/>
    <cellStyle name="40% - Accent6 2 3 3 6 3" xfId="15089"/>
    <cellStyle name="40% - Accent6 2 3 3 6 4" xfId="15090"/>
    <cellStyle name="40% - Accent6 2 3 3 7" xfId="15091"/>
    <cellStyle name="40% - Accent6 2 3 3 7 2" xfId="15092"/>
    <cellStyle name="40% - Accent6 2 3 3 8" xfId="15093"/>
    <cellStyle name="40% - Accent6 2 3 3 9" xfId="15094"/>
    <cellStyle name="40% - Accent6 2 3 4" xfId="15095"/>
    <cellStyle name="40% - Accent6 2 3 4 2" xfId="15096"/>
    <cellStyle name="40% - Accent6 2 3 4 2 2" xfId="15097"/>
    <cellStyle name="40% - Accent6 2 3 4 2 2 2" xfId="15098"/>
    <cellStyle name="40% - Accent6 2 3 4 2 3" xfId="15099"/>
    <cellStyle name="40% - Accent6 2 3 4 2 4" xfId="15100"/>
    <cellStyle name="40% - Accent6 2 3 4 3" xfId="15101"/>
    <cellStyle name="40% - Accent6 2 3 4 4" xfId="15102"/>
    <cellStyle name="40% - Accent6 2 3 4 4 2" xfId="15103"/>
    <cellStyle name="40% - Accent6 2 3 4 5" xfId="15104"/>
    <cellStyle name="40% - Accent6 2 3 4 6" xfId="15105"/>
    <cellStyle name="40% - Accent6 2 3 5" xfId="15106"/>
    <cellStyle name="40% - Accent6 2 3 5 2" xfId="15107"/>
    <cellStyle name="40% - Accent6 2 3 5 2 2" xfId="15108"/>
    <cellStyle name="40% - Accent6 2 3 5 2 2 2" xfId="15109"/>
    <cellStyle name="40% - Accent6 2 3 5 2 3" xfId="15110"/>
    <cellStyle name="40% - Accent6 2 3 5 2 4" xfId="15111"/>
    <cellStyle name="40% - Accent6 2 3 5 3" xfId="15112"/>
    <cellStyle name="40% - Accent6 2 3 5 3 2" xfId="15113"/>
    <cellStyle name="40% - Accent6 2 3 5 4" xfId="15114"/>
    <cellStyle name="40% - Accent6 2 3 5 5" xfId="15115"/>
    <cellStyle name="40% - Accent6 2 3 6" xfId="15116"/>
    <cellStyle name="40% - Accent6 2 3 6 2" xfId="15117"/>
    <cellStyle name="40% - Accent6 2 3 6 2 2" xfId="15118"/>
    <cellStyle name="40% - Accent6 2 3 6 3" xfId="15119"/>
    <cellStyle name="40% - Accent6 2 3 6 4" xfId="15120"/>
    <cellStyle name="40% - Accent6 2 3 7" xfId="15121"/>
    <cellStyle name="40% - Accent6 2 3 7 2" xfId="15122"/>
    <cellStyle name="40% - Accent6 2 3 7 2 2" xfId="15123"/>
    <cellStyle name="40% - Accent6 2 3 7 3" xfId="15124"/>
    <cellStyle name="40% - Accent6 2 3 7 4" xfId="15125"/>
    <cellStyle name="40% - Accent6 2 3 8" xfId="15126"/>
    <cellStyle name="40% - Accent6 2 3 8 2" xfId="15127"/>
    <cellStyle name="40% - Accent6 2 3 8 2 2" xfId="15128"/>
    <cellStyle name="40% - Accent6 2 3 8 3" xfId="15129"/>
    <cellStyle name="40% - Accent6 2 3 8 4" xfId="15130"/>
    <cellStyle name="40% - Accent6 2 3 9" xfId="15131"/>
    <cellStyle name="40% - Accent6 2 3 9 2" xfId="15132"/>
    <cellStyle name="40% - Accent6 2 4" xfId="15133"/>
    <cellStyle name="40% - Accent6 2 4 10" xfId="15134"/>
    <cellStyle name="40% - Accent6 2 4 2" xfId="15135"/>
    <cellStyle name="40% - Accent6 2 4 2 2" xfId="15136"/>
    <cellStyle name="40% - Accent6 2 4 2 2 2" xfId="15137"/>
    <cellStyle name="40% - Accent6 2 4 2 2 2 2" xfId="15138"/>
    <cellStyle name="40% - Accent6 2 4 2 2 2 2 2" xfId="15139"/>
    <cellStyle name="40% - Accent6 2 4 2 2 2 3" xfId="15140"/>
    <cellStyle name="40% - Accent6 2 4 2 2 2 4" xfId="15141"/>
    <cellStyle name="40% - Accent6 2 4 2 2 3" xfId="15142"/>
    <cellStyle name="40% - Accent6 2 4 2 2 3 2" xfId="15143"/>
    <cellStyle name="40% - Accent6 2 4 2 2 4" xfId="15144"/>
    <cellStyle name="40% - Accent6 2 4 2 2 5" xfId="15145"/>
    <cellStyle name="40% - Accent6 2 4 2 3" xfId="15146"/>
    <cellStyle name="40% - Accent6 2 4 2 3 2" xfId="15147"/>
    <cellStyle name="40% - Accent6 2 4 2 3 2 2" xfId="15148"/>
    <cellStyle name="40% - Accent6 2 4 2 3 2 2 2" xfId="15149"/>
    <cellStyle name="40% - Accent6 2 4 2 3 2 3" xfId="15150"/>
    <cellStyle name="40% - Accent6 2 4 2 3 2 4" xfId="15151"/>
    <cellStyle name="40% - Accent6 2 4 2 3 3" xfId="15152"/>
    <cellStyle name="40% - Accent6 2 4 2 3 3 2" xfId="15153"/>
    <cellStyle name="40% - Accent6 2 4 2 3 4" xfId="15154"/>
    <cellStyle name="40% - Accent6 2 4 2 3 5" xfId="15155"/>
    <cellStyle name="40% - Accent6 2 4 2 4" xfId="15156"/>
    <cellStyle name="40% - Accent6 2 4 2 4 2" xfId="15157"/>
    <cellStyle name="40% - Accent6 2 4 2 4 2 2" xfId="15158"/>
    <cellStyle name="40% - Accent6 2 4 2 4 3" xfId="15159"/>
    <cellStyle name="40% - Accent6 2 4 2 4 4" xfId="15160"/>
    <cellStyle name="40% - Accent6 2 4 2 5" xfId="15161"/>
    <cellStyle name="40% - Accent6 2 4 2 5 2" xfId="15162"/>
    <cellStyle name="40% - Accent6 2 4 2 5 2 2" xfId="15163"/>
    <cellStyle name="40% - Accent6 2 4 2 5 3" xfId="15164"/>
    <cellStyle name="40% - Accent6 2 4 2 5 4" xfId="15165"/>
    <cellStyle name="40% - Accent6 2 4 2 6" xfId="15166"/>
    <cellStyle name="40% - Accent6 2 4 2 6 2" xfId="15167"/>
    <cellStyle name="40% - Accent6 2 4 2 6 2 2" xfId="15168"/>
    <cellStyle name="40% - Accent6 2 4 2 6 3" xfId="15169"/>
    <cellStyle name="40% - Accent6 2 4 2 6 4" xfId="15170"/>
    <cellStyle name="40% - Accent6 2 4 2 7" xfId="15171"/>
    <cellStyle name="40% - Accent6 2 4 2 7 2" xfId="15172"/>
    <cellStyle name="40% - Accent6 2 4 2 8" xfId="15173"/>
    <cellStyle name="40% - Accent6 2 4 2 9" xfId="15174"/>
    <cellStyle name="40% - Accent6 2 4 3" xfId="15175"/>
    <cellStyle name="40% - Accent6 2 4 3 2" xfId="15176"/>
    <cellStyle name="40% - Accent6 2 4 3 2 2" xfId="15177"/>
    <cellStyle name="40% - Accent6 2 4 3 2 2 2" xfId="15178"/>
    <cellStyle name="40% - Accent6 2 4 3 2 3" xfId="15179"/>
    <cellStyle name="40% - Accent6 2 4 3 2 4" xfId="15180"/>
    <cellStyle name="40% - Accent6 2 4 3 3" xfId="15181"/>
    <cellStyle name="40% - Accent6 2 4 3 3 2" xfId="15182"/>
    <cellStyle name="40% - Accent6 2 4 3 4" xfId="15183"/>
    <cellStyle name="40% - Accent6 2 4 3 5" xfId="15184"/>
    <cellStyle name="40% - Accent6 2 4 4" xfId="15185"/>
    <cellStyle name="40% - Accent6 2 4 4 2" xfId="15186"/>
    <cellStyle name="40% - Accent6 2 4 4 2 2" xfId="15187"/>
    <cellStyle name="40% - Accent6 2 4 4 2 2 2" xfId="15188"/>
    <cellStyle name="40% - Accent6 2 4 4 2 3" xfId="15189"/>
    <cellStyle name="40% - Accent6 2 4 4 2 4" xfId="15190"/>
    <cellStyle name="40% - Accent6 2 4 4 3" xfId="15191"/>
    <cellStyle name="40% - Accent6 2 4 4 3 2" xfId="15192"/>
    <cellStyle name="40% - Accent6 2 4 4 4" xfId="15193"/>
    <cellStyle name="40% - Accent6 2 4 4 5" xfId="15194"/>
    <cellStyle name="40% - Accent6 2 4 5" xfId="15195"/>
    <cellStyle name="40% - Accent6 2 4 5 2" xfId="15196"/>
    <cellStyle name="40% - Accent6 2 4 5 2 2" xfId="15197"/>
    <cellStyle name="40% - Accent6 2 4 5 3" xfId="15198"/>
    <cellStyle name="40% - Accent6 2 4 5 4" xfId="15199"/>
    <cellStyle name="40% - Accent6 2 4 6" xfId="15200"/>
    <cellStyle name="40% - Accent6 2 4 6 2" xfId="15201"/>
    <cellStyle name="40% - Accent6 2 4 6 2 2" xfId="15202"/>
    <cellStyle name="40% - Accent6 2 4 6 3" xfId="15203"/>
    <cellStyle name="40% - Accent6 2 4 6 4" xfId="15204"/>
    <cellStyle name="40% - Accent6 2 4 7" xfId="15205"/>
    <cellStyle name="40% - Accent6 2 4 7 2" xfId="15206"/>
    <cellStyle name="40% - Accent6 2 4 7 2 2" xfId="15207"/>
    <cellStyle name="40% - Accent6 2 4 7 3" xfId="15208"/>
    <cellStyle name="40% - Accent6 2 4 7 4" xfId="15209"/>
    <cellStyle name="40% - Accent6 2 4 8" xfId="15210"/>
    <cellStyle name="40% - Accent6 2 4 8 2" xfId="15211"/>
    <cellStyle name="40% - Accent6 2 4 9" xfId="15212"/>
    <cellStyle name="40% - Accent6 2 5" xfId="15213"/>
    <cellStyle name="40% - Accent6 2 5 2" xfId="15214"/>
    <cellStyle name="40% - Accent6 2 5 2 2" xfId="15215"/>
    <cellStyle name="40% - Accent6 2 5 2 2 2" xfId="15216"/>
    <cellStyle name="40% - Accent6 2 5 2 2 2 2" xfId="15217"/>
    <cellStyle name="40% - Accent6 2 5 2 2 3" xfId="15218"/>
    <cellStyle name="40% - Accent6 2 5 2 2 4" xfId="15219"/>
    <cellStyle name="40% - Accent6 2 5 2 3" xfId="15220"/>
    <cellStyle name="40% - Accent6 2 5 2 3 2" xfId="15221"/>
    <cellStyle name="40% - Accent6 2 5 2 4" xfId="15222"/>
    <cellStyle name="40% - Accent6 2 5 2 5" xfId="15223"/>
    <cellStyle name="40% - Accent6 2 5 3" xfId="15224"/>
    <cellStyle name="40% - Accent6 2 5 3 2" xfId="15225"/>
    <cellStyle name="40% - Accent6 2 5 3 2 2" xfId="15226"/>
    <cellStyle name="40% - Accent6 2 5 3 2 2 2" xfId="15227"/>
    <cellStyle name="40% - Accent6 2 5 3 2 3" xfId="15228"/>
    <cellStyle name="40% - Accent6 2 5 3 2 4" xfId="15229"/>
    <cellStyle name="40% - Accent6 2 5 3 3" xfId="15230"/>
    <cellStyle name="40% - Accent6 2 5 3 3 2" xfId="15231"/>
    <cellStyle name="40% - Accent6 2 5 3 4" xfId="15232"/>
    <cellStyle name="40% - Accent6 2 5 3 5" xfId="15233"/>
    <cellStyle name="40% - Accent6 2 5 4" xfId="15234"/>
    <cellStyle name="40% - Accent6 2 5 4 2" xfId="15235"/>
    <cellStyle name="40% - Accent6 2 5 4 2 2" xfId="15236"/>
    <cellStyle name="40% - Accent6 2 5 4 3" xfId="15237"/>
    <cellStyle name="40% - Accent6 2 5 4 4" xfId="15238"/>
    <cellStyle name="40% - Accent6 2 5 5" xfId="15239"/>
    <cellStyle name="40% - Accent6 2 5 5 2" xfId="15240"/>
    <cellStyle name="40% - Accent6 2 5 5 2 2" xfId="15241"/>
    <cellStyle name="40% - Accent6 2 5 5 3" xfId="15242"/>
    <cellStyle name="40% - Accent6 2 5 5 4" xfId="15243"/>
    <cellStyle name="40% - Accent6 2 5 6" xfId="15244"/>
    <cellStyle name="40% - Accent6 2 5 6 2" xfId="15245"/>
    <cellStyle name="40% - Accent6 2 5 6 2 2" xfId="15246"/>
    <cellStyle name="40% - Accent6 2 5 6 3" xfId="15247"/>
    <cellStyle name="40% - Accent6 2 5 6 4" xfId="15248"/>
    <cellStyle name="40% - Accent6 2 5 7" xfId="15249"/>
    <cellStyle name="40% - Accent6 2 5 7 2" xfId="15250"/>
    <cellStyle name="40% - Accent6 2 5 8" xfId="15251"/>
    <cellStyle name="40% - Accent6 2 5 9" xfId="15252"/>
    <cellStyle name="40% - Accent6 2 6" xfId="15253"/>
    <cellStyle name="40% - Accent6 2 7" xfId="15254"/>
    <cellStyle name="40% - Accent6 2 8" xfId="15255"/>
    <cellStyle name="40% - Accent6 2 8 2" xfId="15256"/>
    <cellStyle name="40% - Accent6 2 9" xfId="15257"/>
    <cellStyle name="40% - Accent6 2 9 2" xfId="15258"/>
    <cellStyle name="40% - Accent6 2 9 2 2" xfId="15259"/>
    <cellStyle name="40% - Accent6 2 9 2 2 2" xfId="15260"/>
    <cellStyle name="40% - Accent6 2 9 2 3" xfId="15261"/>
    <cellStyle name="40% - Accent6 2 9 2 4" xfId="15262"/>
    <cellStyle name="40% - Accent6 2 9 3" xfId="15263"/>
    <cellStyle name="40% - Accent6 2 9 4" xfId="15264"/>
    <cellStyle name="40% - Accent6 2 9 4 2" xfId="15265"/>
    <cellStyle name="40% - Accent6 2 9 5" xfId="15266"/>
    <cellStyle name="40% - Accent6 2 9 6" xfId="15267"/>
    <cellStyle name="40% - Accent6 3" xfId="114"/>
    <cellStyle name="40% - Accent6 3 2" xfId="15269"/>
    <cellStyle name="40% - Accent6 3 2 10" xfId="15270"/>
    <cellStyle name="40% - Accent6 3 2 10 2" xfId="15271"/>
    <cellStyle name="40% - Accent6 3 2 11" xfId="15272"/>
    <cellStyle name="40% - Accent6 3 2 12" xfId="15273"/>
    <cellStyle name="40% - Accent6 3 2 2" xfId="15274"/>
    <cellStyle name="40% - Accent6 3 2 2 10" xfId="15275"/>
    <cellStyle name="40% - Accent6 3 2 2 11" xfId="15276"/>
    <cellStyle name="40% - Accent6 3 2 2 2" xfId="15277"/>
    <cellStyle name="40% - Accent6 3 2 2 2 10" xfId="15278"/>
    <cellStyle name="40% - Accent6 3 2 2 2 2" xfId="15279"/>
    <cellStyle name="40% - Accent6 3 2 2 2 2 2" xfId="15280"/>
    <cellStyle name="40% - Accent6 3 2 2 2 2 2 2" xfId="15281"/>
    <cellStyle name="40% - Accent6 3 2 2 2 2 2 2 2" xfId="15282"/>
    <cellStyle name="40% - Accent6 3 2 2 2 2 2 2 2 2" xfId="15283"/>
    <cellStyle name="40% - Accent6 3 2 2 2 2 2 2 3" xfId="15284"/>
    <cellStyle name="40% - Accent6 3 2 2 2 2 2 2 4" xfId="15285"/>
    <cellStyle name="40% - Accent6 3 2 2 2 2 2 3" xfId="15286"/>
    <cellStyle name="40% - Accent6 3 2 2 2 2 2 3 2" xfId="15287"/>
    <cellStyle name="40% - Accent6 3 2 2 2 2 2 4" xfId="15288"/>
    <cellStyle name="40% - Accent6 3 2 2 2 2 2 5" xfId="15289"/>
    <cellStyle name="40% - Accent6 3 2 2 2 2 3" xfId="15290"/>
    <cellStyle name="40% - Accent6 3 2 2 2 2 3 2" xfId="15291"/>
    <cellStyle name="40% - Accent6 3 2 2 2 2 3 2 2" xfId="15292"/>
    <cellStyle name="40% - Accent6 3 2 2 2 2 3 2 2 2" xfId="15293"/>
    <cellStyle name="40% - Accent6 3 2 2 2 2 3 2 3" xfId="15294"/>
    <cellStyle name="40% - Accent6 3 2 2 2 2 3 2 4" xfId="15295"/>
    <cellStyle name="40% - Accent6 3 2 2 2 2 3 3" xfId="15296"/>
    <cellStyle name="40% - Accent6 3 2 2 2 2 3 3 2" xfId="15297"/>
    <cellStyle name="40% - Accent6 3 2 2 2 2 3 4" xfId="15298"/>
    <cellStyle name="40% - Accent6 3 2 2 2 2 3 5" xfId="15299"/>
    <cellStyle name="40% - Accent6 3 2 2 2 2 4" xfId="15300"/>
    <cellStyle name="40% - Accent6 3 2 2 2 2 4 2" xfId="15301"/>
    <cellStyle name="40% - Accent6 3 2 2 2 2 4 2 2" xfId="15302"/>
    <cellStyle name="40% - Accent6 3 2 2 2 2 4 3" xfId="15303"/>
    <cellStyle name="40% - Accent6 3 2 2 2 2 4 4" xfId="15304"/>
    <cellStyle name="40% - Accent6 3 2 2 2 2 5" xfId="15305"/>
    <cellStyle name="40% - Accent6 3 2 2 2 2 5 2" xfId="15306"/>
    <cellStyle name="40% - Accent6 3 2 2 2 2 5 2 2" xfId="15307"/>
    <cellStyle name="40% - Accent6 3 2 2 2 2 5 3" xfId="15308"/>
    <cellStyle name="40% - Accent6 3 2 2 2 2 5 4" xfId="15309"/>
    <cellStyle name="40% - Accent6 3 2 2 2 2 6" xfId="15310"/>
    <cellStyle name="40% - Accent6 3 2 2 2 2 6 2" xfId="15311"/>
    <cellStyle name="40% - Accent6 3 2 2 2 2 6 2 2" xfId="15312"/>
    <cellStyle name="40% - Accent6 3 2 2 2 2 6 3" xfId="15313"/>
    <cellStyle name="40% - Accent6 3 2 2 2 2 6 4" xfId="15314"/>
    <cellStyle name="40% - Accent6 3 2 2 2 2 7" xfId="15315"/>
    <cellStyle name="40% - Accent6 3 2 2 2 2 7 2" xfId="15316"/>
    <cellStyle name="40% - Accent6 3 2 2 2 2 8" xfId="15317"/>
    <cellStyle name="40% - Accent6 3 2 2 2 2 9" xfId="15318"/>
    <cellStyle name="40% - Accent6 3 2 2 2 3" xfId="15319"/>
    <cellStyle name="40% - Accent6 3 2 2 2 3 2" xfId="15320"/>
    <cellStyle name="40% - Accent6 3 2 2 2 3 2 2" xfId="15321"/>
    <cellStyle name="40% - Accent6 3 2 2 2 3 2 2 2" xfId="15322"/>
    <cellStyle name="40% - Accent6 3 2 2 2 3 2 3" xfId="15323"/>
    <cellStyle name="40% - Accent6 3 2 2 2 3 2 4" xfId="15324"/>
    <cellStyle name="40% - Accent6 3 2 2 2 3 3" xfId="15325"/>
    <cellStyle name="40% - Accent6 3 2 2 2 3 3 2" xfId="15326"/>
    <cellStyle name="40% - Accent6 3 2 2 2 3 4" xfId="15327"/>
    <cellStyle name="40% - Accent6 3 2 2 2 3 5" xfId="15328"/>
    <cellStyle name="40% - Accent6 3 2 2 2 4" xfId="15329"/>
    <cellStyle name="40% - Accent6 3 2 2 2 4 2" xfId="15330"/>
    <cellStyle name="40% - Accent6 3 2 2 2 4 2 2" xfId="15331"/>
    <cellStyle name="40% - Accent6 3 2 2 2 4 2 2 2" xfId="15332"/>
    <cellStyle name="40% - Accent6 3 2 2 2 4 2 3" xfId="15333"/>
    <cellStyle name="40% - Accent6 3 2 2 2 4 2 4" xfId="15334"/>
    <cellStyle name="40% - Accent6 3 2 2 2 4 3" xfId="15335"/>
    <cellStyle name="40% - Accent6 3 2 2 2 4 3 2" xfId="15336"/>
    <cellStyle name="40% - Accent6 3 2 2 2 4 4" xfId="15337"/>
    <cellStyle name="40% - Accent6 3 2 2 2 4 5" xfId="15338"/>
    <cellStyle name="40% - Accent6 3 2 2 2 5" xfId="15339"/>
    <cellStyle name="40% - Accent6 3 2 2 2 5 2" xfId="15340"/>
    <cellStyle name="40% - Accent6 3 2 2 2 5 2 2" xfId="15341"/>
    <cellStyle name="40% - Accent6 3 2 2 2 5 3" xfId="15342"/>
    <cellStyle name="40% - Accent6 3 2 2 2 5 4" xfId="15343"/>
    <cellStyle name="40% - Accent6 3 2 2 2 6" xfId="15344"/>
    <cellStyle name="40% - Accent6 3 2 2 2 6 2" xfId="15345"/>
    <cellStyle name="40% - Accent6 3 2 2 2 6 2 2" xfId="15346"/>
    <cellStyle name="40% - Accent6 3 2 2 2 6 3" xfId="15347"/>
    <cellStyle name="40% - Accent6 3 2 2 2 6 4" xfId="15348"/>
    <cellStyle name="40% - Accent6 3 2 2 2 7" xfId="15349"/>
    <cellStyle name="40% - Accent6 3 2 2 2 7 2" xfId="15350"/>
    <cellStyle name="40% - Accent6 3 2 2 2 7 2 2" xfId="15351"/>
    <cellStyle name="40% - Accent6 3 2 2 2 7 3" xfId="15352"/>
    <cellStyle name="40% - Accent6 3 2 2 2 7 4" xfId="15353"/>
    <cellStyle name="40% - Accent6 3 2 2 2 8" xfId="15354"/>
    <cellStyle name="40% - Accent6 3 2 2 2 8 2" xfId="15355"/>
    <cellStyle name="40% - Accent6 3 2 2 2 9" xfId="15356"/>
    <cellStyle name="40% - Accent6 3 2 2 3" xfId="15357"/>
    <cellStyle name="40% - Accent6 3 2 2 3 2" xfId="15358"/>
    <cellStyle name="40% - Accent6 3 2 2 3 2 2" xfId="15359"/>
    <cellStyle name="40% - Accent6 3 2 2 3 2 2 2" xfId="15360"/>
    <cellStyle name="40% - Accent6 3 2 2 3 2 2 2 2" xfId="15361"/>
    <cellStyle name="40% - Accent6 3 2 2 3 2 2 3" xfId="15362"/>
    <cellStyle name="40% - Accent6 3 2 2 3 2 2 4" xfId="15363"/>
    <cellStyle name="40% - Accent6 3 2 2 3 2 3" xfId="15364"/>
    <cellStyle name="40% - Accent6 3 2 2 3 2 3 2" xfId="15365"/>
    <cellStyle name="40% - Accent6 3 2 2 3 2 4" xfId="15366"/>
    <cellStyle name="40% - Accent6 3 2 2 3 2 5" xfId="15367"/>
    <cellStyle name="40% - Accent6 3 2 2 3 3" xfId="15368"/>
    <cellStyle name="40% - Accent6 3 2 2 3 3 2" xfId="15369"/>
    <cellStyle name="40% - Accent6 3 2 2 3 3 2 2" xfId="15370"/>
    <cellStyle name="40% - Accent6 3 2 2 3 3 2 2 2" xfId="15371"/>
    <cellStyle name="40% - Accent6 3 2 2 3 3 2 3" xfId="15372"/>
    <cellStyle name="40% - Accent6 3 2 2 3 3 2 4" xfId="15373"/>
    <cellStyle name="40% - Accent6 3 2 2 3 3 3" xfId="15374"/>
    <cellStyle name="40% - Accent6 3 2 2 3 3 3 2" xfId="15375"/>
    <cellStyle name="40% - Accent6 3 2 2 3 3 4" xfId="15376"/>
    <cellStyle name="40% - Accent6 3 2 2 3 3 5" xfId="15377"/>
    <cellStyle name="40% - Accent6 3 2 2 3 4" xfId="15378"/>
    <cellStyle name="40% - Accent6 3 2 2 3 4 2" xfId="15379"/>
    <cellStyle name="40% - Accent6 3 2 2 3 4 2 2" xfId="15380"/>
    <cellStyle name="40% - Accent6 3 2 2 3 4 3" xfId="15381"/>
    <cellStyle name="40% - Accent6 3 2 2 3 4 4" xfId="15382"/>
    <cellStyle name="40% - Accent6 3 2 2 3 5" xfId="15383"/>
    <cellStyle name="40% - Accent6 3 2 2 3 5 2" xfId="15384"/>
    <cellStyle name="40% - Accent6 3 2 2 3 5 2 2" xfId="15385"/>
    <cellStyle name="40% - Accent6 3 2 2 3 5 3" xfId="15386"/>
    <cellStyle name="40% - Accent6 3 2 2 3 5 4" xfId="15387"/>
    <cellStyle name="40% - Accent6 3 2 2 3 6" xfId="15388"/>
    <cellStyle name="40% - Accent6 3 2 2 3 6 2" xfId="15389"/>
    <cellStyle name="40% - Accent6 3 2 2 3 6 2 2" xfId="15390"/>
    <cellStyle name="40% - Accent6 3 2 2 3 6 3" xfId="15391"/>
    <cellStyle name="40% - Accent6 3 2 2 3 6 4" xfId="15392"/>
    <cellStyle name="40% - Accent6 3 2 2 3 7" xfId="15393"/>
    <cellStyle name="40% - Accent6 3 2 2 3 7 2" xfId="15394"/>
    <cellStyle name="40% - Accent6 3 2 2 3 8" xfId="15395"/>
    <cellStyle name="40% - Accent6 3 2 2 3 9" xfId="15396"/>
    <cellStyle name="40% - Accent6 3 2 2 4" xfId="15397"/>
    <cellStyle name="40% - Accent6 3 2 2 4 2" xfId="15398"/>
    <cellStyle name="40% - Accent6 3 2 2 4 2 2" xfId="15399"/>
    <cellStyle name="40% - Accent6 3 2 2 4 2 2 2" xfId="15400"/>
    <cellStyle name="40% - Accent6 3 2 2 4 2 3" xfId="15401"/>
    <cellStyle name="40% - Accent6 3 2 2 4 2 4" xfId="15402"/>
    <cellStyle name="40% - Accent6 3 2 2 4 3" xfId="15403"/>
    <cellStyle name="40% - Accent6 3 2 2 4 3 2" xfId="15404"/>
    <cellStyle name="40% - Accent6 3 2 2 4 4" xfId="15405"/>
    <cellStyle name="40% - Accent6 3 2 2 4 5" xfId="15406"/>
    <cellStyle name="40% - Accent6 3 2 2 5" xfId="15407"/>
    <cellStyle name="40% - Accent6 3 2 2 5 2" xfId="15408"/>
    <cellStyle name="40% - Accent6 3 2 2 5 2 2" xfId="15409"/>
    <cellStyle name="40% - Accent6 3 2 2 5 2 2 2" xfId="15410"/>
    <cellStyle name="40% - Accent6 3 2 2 5 2 3" xfId="15411"/>
    <cellStyle name="40% - Accent6 3 2 2 5 2 4" xfId="15412"/>
    <cellStyle name="40% - Accent6 3 2 2 5 3" xfId="15413"/>
    <cellStyle name="40% - Accent6 3 2 2 5 3 2" xfId="15414"/>
    <cellStyle name="40% - Accent6 3 2 2 5 4" xfId="15415"/>
    <cellStyle name="40% - Accent6 3 2 2 5 5" xfId="15416"/>
    <cellStyle name="40% - Accent6 3 2 2 6" xfId="15417"/>
    <cellStyle name="40% - Accent6 3 2 2 6 2" xfId="15418"/>
    <cellStyle name="40% - Accent6 3 2 2 6 2 2" xfId="15419"/>
    <cellStyle name="40% - Accent6 3 2 2 6 3" xfId="15420"/>
    <cellStyle name="40% - Accent6 3 2 2 6 4" xfId="15421"/>
    <cellStyle name="40% - Accent6 3 2 2 7" xfId="15422"/>
    <cellStyle name="40% - Accent6 3 2 2 7 2" xfId="15423"/>
    <cellStyle name="40% - Accent6 3 2 2 7 2 2" xfId="15424"/>
    <cellStyle name="40% - Accent6 3 2 2 7 3" xfId="15425"/>
    <cellStyle name="40% - Accent6 3 2 2 7 4" xfId="15426"/>
    <cellStyle name="40% - Accent6 3 2 2 8" xfId="15427"/>
    <cellStyle name="40% - Accent6 3 2 2 8 2" xfId="15428"/>
    <cellStyle name="40% - Accent6 3 2 2 8 2 2" xfId="15429"/>
    <cellStyle name="40% - Accent6 3 2 2 8 3" xfId="15430"/>
    <cellStyle name="40% - Accent6 3 2 2 8 4" xfId="15431"/>
    <cellStyle name="40% - Accent6 3 2 2 9" xfId="15432"/>
    <cellStyle name="40% - Accent6 3 2 2 9 2" xfId="15433"/>
    <cellStyle name="40% - Accent6 3 2 3" xfId="15434"/>
    <cellStyle name="40% - Accent6 3 2 3 10" xfId="15435"/>
    <cellStyle name="40% - Accent6 3 2 3 2" xfId="15436"/>
    <cellStyle name="40% - Accent6 3 2 3 2 2" xfId="15437"/>
    <cellStyle name="40% - Accent6 3 2 3 2 2 2" xfId="15438"/>
    <cellStyle name="40% - Accent6 3 2 3 2 2 2 2" xfId="15439"/>
    <cellStyle name="40% - Accent6 3 2 3 2 2 2 2 2" xfId="15440"/>
    <cellStyle name="40% - Accent6 3 2 3 2 2 2 3" xfId="15441"/>
    <cellStyle name="40% - Accent6 3 2 3 2 2 2 4" xfId="15442"/>
    <cellStyle name="40% - Accent6 3 2 3 2 2 3" xfId="15443"/>
    <cellStyle name="40% - Accent6 3 2 3 2 2 3 2" xfId="15444"/>
    <cellStyle name="40% - Accent6 3 2 3 2 2 4" xfId="15445"/>
    <cellStyle name="40% - Accent6 3 2 3 2 2 5" xfId="15446"/>
    <cellStyle name="40% - Accent6 3 2 3 2 3" xfId="15447"/>
    <cellStyle name="40% - Accent6 3 2 3 2 3 2" xfId="15448"/>
    <cellStyle name="40% - Accent6 3 2 3 2 3 2 2" xfId="15449"/>
    <cellStyle name="40% - Accent6 3 2 3 2 3 2 2 2" xfId="15450"/>
    <cellStyle name="40% - Accent6 3 2 3 2 3 2 3" xfId="15451"/>
    <cellStyle name="40% - Accent6 3 2 3 2 3 2 4" xfId="15452"/>
    <cellStyle name="40% - Accent6 3 2 3 2 3 3" xfId="15453"/>
    <cellStyle name="40% - Accent6 3 2 3 2 3 3 2" xfId="15454"/>
    <cellStyle name="40% - Accent6 3 2 3 2 3 4" xfId="15455"/>
    <cellStyle name="40% - Accent6 3 2 3 2 3 5" xfId="15456"/>
    <cellStyle name="40% - Accent6 3 2 3 2 4" xfId="15457"/>
    <cellStyle name="40% - Accent6 3 2 3 2 4 2" xfId="15458"/>
    <cellStyle name="40% - Accent6 3 2 3 2 4 2 2" xfId="15459"/>
    <cellStyle name="40% - Accent6 3 2 3 2 4 3" xfId="15460"/>
    <cellStyle name="40% - Accent6 3 2 3 2 4 4" xfId="15461"/>
    <cellStyle name="40% - Accent6 3 2 3 2 5" xfId="15462"/>
    <cellStyle name="40% - Accent6 3 2 3 2 5 2" xfId="15463"/>
    <cellStyle name="40% - Accent6 3 2 3 2 5 2 2" xfId="15464"/>
    <cellStyle name="40% - Accent6 3 2 3 2 5 3" xfId="15465"/>
    <cellStyle name="40% - Accent6 3 2 3 2 5 4" xfId="15466"/>
    <cellStyle name="40% - Accent6 3 2 3 2 6" xfId="15467"/>
    <cellStyle name="40% - Accent6 3 2 3 2 6 2" xfId="15468"/>
    <cellStyle name="40% - Accent6 3 2 3 2 6 2 2" xfId="15469"/>
    <cellStyle name="40% - Accent6 3 2 3 2 6 3" xfId="15470"/>
    <cellStyle name="40% - Accent6 3 2 3 2 6 4" xfId="15471"/>
    <cellStyle name="40% - Accent6 3 2 3 2 7" xfId="15472"/>
    <cellStyle name="40% - Accent6 3 2 3 2 7 2" xfId="15473"/>
    <cellStyle name="40% - Accent6 3 2 3 2 8" xfId="15474"/>
    <cellStyle name="40% - Accent6 3 2 3 2 9" xfId="15475"/>
    <cellStyle name="40% - Accent6 3 2 3 3" xfId="15476"/>
    <cellStyle name="40% - Accent6 3 2 3 3 2" xfId="15477"/>
    <cellStyle name="40% - Accent6 3 2 3 3 2 2" xfId="15478"/>
    <cellStyle name="40% - Accent6 3 2 3 3 2 2 2" xfId="15479"/>
    <cellStyle name="40% - Accent6 3 2 3 3 2 3" xfId="15480"/>
    <cellStyle name="40% - Accent6 3 2 3 3 2 4" xfId="15481"/>
    <cellStyle name="40% - Accent6 3 2 3 3 3" xfId="15482"/>
    <cellStyle name="40% - Accent6 3 2 3 3 3 2" xfId="15483"/>
    <cellStyle name="40% - Accent6 3 2 3 3 4" xfId="15484"/>
    <cellStyle name="40% - Accent6 3 2 3 3 5" xfId="15485"/>
    <cellStyle name="40% - Accent6 3 2 3 4" xfId="15486"/>
    <cellStyle name="40% - Accent6 3 2 3 4 2" xfId="15487"/>
    <cellStyle name="40% - Accent6 3 2 3 4 2 2" xfId="15488"/>
    <cellStyle name="40% - Accent6 3 2 3 4 2 2 2" xfId="15489"/>
    <cellStyle name="40% - Accent6 3 2 3 4 2 3" xfId="15490"/>
    <cellStyle name="40% - Accent6 3 2 3 4 2 4" xfId="15491"/>
    <cellStyle name="40% - Accent6 3 2 3 4 3" xfId="15492"/>
    <cellStyle name="40% - Accent6 3 2 3 4 3 2" xfId="15493"/>
    <cellStyle name="40% - Accent6 3 2 3 4 4" xfId="15494"/>
    <cellStyle name="40% - Accent6 3 2 3 4 5" xfId="15495"/>
    <cellStyle name="40% - Accent6 3 2 3 5" xfId="15496"/>
    <cellStyle name="40% - Accent6 3 2 3 5 2" xfId="15497"/>
    <cellStyle name="40% - Accent6 3 2 3 5 2 2" xfId="15498"/>
    <cellStyle name="40% - Accent6 3 2 3 5 3" xfId="15499"/>
    <cellStyle name="40% - Accent6 3 2 3 5 4" xfId="15500"/>
    <cellStyle name="40% - Accent6 3 2 3 6" xfId="15501"/>
    <cellStyle name="40% - Accent6 3 2 3 6 2" xfId="15502"/>
    <cellStyle name="40% - Accent6 3 2 3 6 2 2" xfId="15503"/>
    <cellStyle name="40% - Accent6 3 2 3 6 3" xfId="15504"/>
    <cellStyle name="40% - Accent6 3 2 3 6 4" xfId="15505"/>
    <cellStyle name="40% - Accent6 3 2 3 7" xfId="15506"/>
    <cellStyle name="40% - Accent6 3 2 3 7 2" xfId="15507"/>
    <cellStyle name="40% - Accent6 3 2 3 7 2 2" xfId="15508"/>
    <cellStyle name="40% - Accent6 3 2 3 7 3" xfId="15509"/>
    <cellStyle name="40% - Accent6 3 2 3 7 4" xfId="15510"/>
    <cellStyle name="40% - Accent6 3 2 3 8" xfId="15511"/>
    <cellStyle name="40% - Accent6 3 2 3 8 2" xfId="15512"/>
    <cellStyle name="40% - Accent6 3 2 3 9" xfId="15513"/>
    <cellStyle name="40% - Accent6 3 2 4" xfId="15514"/>
    <cellStyle name="40% - Accent6 3 2 4 2" xfId="15515"/>
    <cellStyle name="40% - Accent6 3 2 4 2 2" xfId="15516"/>
    <cellStyle name="40% - Accent6 3 2 4 2 2 2" xfId="15517"/>
    <cellStyle name="40% - Accent6 3 2 4 2 2 2 2" xfId="15518"/>
    <cellStyle name="40% - Accent6 3 2 4 2 2 3" xfId="15519"/>
    <cellStyle name="40% - Accent6 3 2 4 2 2 4" xfId="15520"/>
    <cellStyle name="40% - Accent6 3 2 4 2 3" xfId="15521"/>
    <cellStyle name="40% - Accent6 3 2 4 2 3 2" xfId="15522"/>
    <cellStyle name="40% - Accent6 3 2 4 2 4" xfId="15523"/>
    <cellStyle name="40% - Accent6 3 2 4 2 5" xfId="15524"/>
    <cellStyle name="40% - Accent6 3 2 4 3" xfId="15525"/>
    <cellStyle name="40% - Accent6 3 2 4 3 2" xfId="15526"/>
    <cellStyle name="40% - Accent6 3 2 4 3 2 2" xfId="15527"/>
    <cellStyle name="40% - Accent6 3 2 4 3 2 2 2" xfId="15528"/>
    <cellStyle name="40% - Accent6 3 2 4 3 2 3" xfId="15529"/>
    <cellStyle name="40% - Accent6 3 2 4 3 2 4" xfId="15530"/>
    <cellStyle name="40% - Accent6 3 2 4 3 3" xfId="15531"/>
    <cellStyle name="40% - Accent6 3 2 4 3 3 2" xfId="15532"/>
    <cellStyle name="40% - Accent6 3 2 4 3 4" xfId="15533"/>
    <cellStyle name="40% - Accent6 3 2 4 3 5" xfId="15534"/>
    <cellStyle name="40% - Accent6 3 2 4 4" xfId="15535"/>
    <cellStyle name="40% - Accent6 3 2 4 4 2" xfId="15536"/>
    <cellStyle name="40% - Accent6 3 2 4 4 2 2" xfId="15537"/>
    <cellStyle name="40% - Accent6 3 2 4 4 3" xfId="15538"/>
    <cellStyle name="40% - Accent6 3 2 4 4 4" xfId="15539"/>
    <cellStyle name="40% - Accent6 3 2 4 5" xfId="15540"/>
    <cellStyle name="40% - Accent6 3 2 4 5 2" xfId="15541"/>
    <cellStyle name="40% - Accent6 3 2 4 5 2 2" xfId="15542"/>
    <cellStyle name="40% - Accent6 3 2 4 5 3" xfId="15543"/>
    <cellStyle name="40% - Accent6 3 2 4 5 4" xfId="15544"/>
    <cellStyle name="40% - Accent6 3 2 4 6" xfId="15545"/>
    <cellStyle name="40% - Accent6 3 2 4 6 2" xfId="15546"/>
    <cellStyle name="40% - Accent6 3 2 4 6 2 2" xfId="15547"/>
    <cellStyle name="40% - Accent6 3 2 4 6 3" xfId="15548"/>
    <cellStyle name="40% - Accent6 3 2 4 6 4" xfId="15549"/>
    <cellStyle name="40% - Accent6 3 2 4 7" xfId="15550"/>
    <cellStyle name="40% - Accent6 3 2 4 7 2" xfId="15551"/>
    <cellStyle name="40% - Accent6 3 2 4 8" xfId="15552"/>
    <cellStyle name="40% - Accent6 3 2 4 9" xfId="15553"/>
    <cellStyle name="40% - Accent6 3 2 5" xfId="15554"/>
    <cellStyle name="40% - Accent6 3 2 5 2" xfId="15555"/>
    <cellStyle name="40% - Accent6 3 2 5 2 2" xfId="15556"/>
    <cellStyle name="40% - Accent6 3 2 5 2 2 2" xfId="15557"/>
    <cellStyle name="40% - Accent6 3 2 5 2 3" xfId="15558"/>
    <cellStyle name="40% - Accent6 3 2 5 2 4" xfId="15559"/>
    <cellStyle name="40% - Accent6 3 2 5 3" xfId="15560"/>
    <cellStyle name="40% - Accent6 3 2 5 3 2" xfId="15561"/>
    <cellStyle name="40% - Accent6 3 2 5 4" xfId="15562"/>
    <cellStyle name="40% - Accent6 3 2 5 5" xfId="15563"/>
    <cellStyle name="40% - Accent6 3 2 6" xfId="15564"/>
    <cellStyle name="40% - Accent6 3 2 6 2" xfId="15565"/>
    <cellStyle name="40% - Accent6 3 2 6 2 2" xfId="15566"/>
    <cellStyle name="40% - Accent6 3 2 6 2 2 2" xfId="15567"/>
    <cellStyle name="40% - Accent6 3 2 6 2 3" xfId="15568"/>
    <cellStyle name="40% - Accent6 3 2 6 2 4" xfId="15569"/>
    <cellStyle name="40% - Accent6 3 2 6 3" xfId="15570"/>
    <cellStyle name="40% - Accent6 3 2 6 3 2" xfId="15571"/>
    <cellStyle name="40% - Accent6 3 2 6 4" xfId="15572"/>
    <cellStyle name="40% - Accent6 3 2 6 5" xfId="15573"/>
    <cellStyle name="40% - Accent6 3 2 7" xfId="15574"/>
    <cellStyle name="40% - Accent6 3 2 7 2" xfId="15575"/>
    <cellStyle name="40% - Accent6 3 2 7 2 2" xfId="15576"/>
    <cellStyle name="40% - Accent6 3 2 7 3" xfId="15577"/>
    <cellStyle name="40% - Accent6 3 2 7 4" xfId="15578"/>
    <cellStyle name="40% - Accent6 3 2 8" xfId="15579"/>
    <cellStyle name="40% - Accent6 3 2 8 2" xfId="15580"/>
    <cellStyle name="40% - Accent6 3 2 8 2 2" xfId="15581"/>
    <cellStyle name="40% - Accent6 3 2 8 3" xfId="15582"/>
    <cellStyle name="40% - Accent6 3 2 8 4" xfId="15583"/>
    <cellStyle name="40% - Accent6 3 2 9" xfId="15584"/>
    <cellStyle name="40% - Accent6 3 2 9 2" xfId="15585"/>
    <cellStyle name="40% - Accent6 3 2 9 2 2" xfId="15586"/>
    <cellStyle name="40% - Accent6 3 2 9 3" xfId="15587"/>
    <cellStyle name="40% - Accent6 3 2 9 4" xfId="15588"/>
    <cellStyle name="40% - Accent6 3 3" xfId="15589"/>
    <cellStyle name="40% - Accent6 3 4" xfId="15590"/>
    <cellStyle name="40% - Accent6 3 5" xfId="15591"/>
    <cellStyle name="40% - Accent6 3 6" xfId="35518"/>
    <cellStyle name="40% - Accent6 3 7" xfId="15268"/>
    <cellStyle name="40% - Accent6 4" xfId="222"/>
    <cellStyle name="40% - Accent6 4 10" xfId="15593"/>
    <cellStyle name="40% - Accent6 4 10 2" xfId="15594"/>
    <cellStyle name="40% - Accent6 4 11" xfId="15595"/>
    <cellStyle name="40% - Accent6 4 12" xfId="15596"/>
    <cellStyle name="40% - Accent6 4 13" xfId="35519"/>
    <cellStyle name="40% - Accent6 4 14" xfId="15592"/>
    <cellStyle name="40% - Accent6 4 2" xfId="15597"/>
    <cellStyle name="40% - Accent6 4 2 10" xfId="15598"/>
    <cellStyle name="40% - Accent6 4 2 11" xfId="15599"/>
    <cellStyle name="40% - Accent6 4 2 2" xfId="15600"/>
    <cellStyle name="40% - Accent6 4 2 2 10" xfId="15601"/>
    <cellStyle name="40% - Accent6 4 2 2 2" xfId="15602"/>
    <cellStyle name="40% - Accent6 4 2 2 2 2" xfId="15603"/>
    <cellStyle name="40% - Accent6 4 2 2 2 2 2" xfId="15604"/>
    <cellStyle name="40% - Accent6 4 2 2 2 2 2 2" xfId="15605"/>
    <cellStyle name="40% - Accent6 4 2 2 2 2 2 2 2" xfId="15606"/>
    <cellStyle name="40% - Accent6 4 2 2 2 2 2 3" xfId="15607"/>
    <cellStyle name="40% - Accent6 4 2 2 2 2 2 4" xfId="15608"/>
    <cellStyle name="40% - Accent6 4 2 2 2 2 3" xfId="15609"/>
    <cellStyle name="40% - Accent6 4 2 2 2 2 3 2" xfId="15610"/>
    <cellStyle name="40% - Accent6 4 2 2 2 2 4" xfId="15611"/>
    <cellStyle name="40% - Accent6 4 2 2 2 2 5" xfId="15612"/>
    <cellStyle name="40% - Accent6 4 2 2 2 3" xfId="15613"/>
    <cellStyle name="40% - Accent6 4 2 2 2 3 2" xfId="15614"/>
    <cellStyle name="40% - Accent6 4 2 2 2 3 2 2" xfId="15615"/>
    <cellStyle name="40% - Accent6 4 2 2 2 3 2 2 2" xfId="15616"/>
    <cellStyle name="40% - Accent6 4 2 2 2 3 2 3" xfId="15617"/>
    <cellStyle name="40% - Accent6 4 2 2 2 3 2 4" xfId="15618"/>
    <cellStyle name="40% - Accent6 4 2 2 2 3 3" xfId="15619"/>
    <cellStyle name="40% - Accent6 4 2 2 2 3 3 2" xfId="15620"/>
    <cellStyle name="40% - Accent6 4 2 2 2 3 4" xfId="15621"/>
    <cellStyle name="40% - Accent6 4 2 2 2 3 5" xfId="15622"/>
    <cellStyle name="40% - Accent6 4 2 2 2 4" xfId="15623"/>
    <cellStyle name="40% - Accent6 4 2 2 2 4 2" xfId="15624"/>
    <cellStyle name="40% - Accent6 4 2 2 2 4 2 2" xfId="15625"/>
    <cellStyle name="40% - Accent6 4 2 2 2 4 3" xfId="15626"/>
    <cellStyle name="40% - Accent6 4 2 2 2 4 4" xfId="15627"/>
    <cellStyle name="40% - Accent6 4 2 2 2 5" xfId="15628"/>
    <cellStyle name="40% - Accent6 4 2 2 2 5 2" xfId="15629"/>
    <cellStyle name="40% - Accent6 4 2 2 2 5 2 2" xfId="15630"/>
    <cellStyle name="40% - Accent6 4 2 2 2 5 3" xfId="15631"/>
    <cellStyle name="40% - Accent6 4 2 2 2 5 4" xfId="15632"/>
    <cellStyle name="40% - Accent6 4 2 2 2 6" xfId="15633"/>
    <cellStyle name="40% - Accent6 4 2 2 2 6 2" xfId="15634"/>
    <cellStyle name="40% - Accent6 4 2 2 2 6 2 2" xfId="15635"/>
    <cellStyle name="40% - Accent6 4 2 2 2 6 3" xfId="15636"/>
    <cellStyle name="40% - Accent6 4 2 2 2 6 4" xfId="15637"/>
    <cellStyle name="40% - Accent6 4 2 2 2 7" xfId="15638"/>
    <cellStyle name="40% - Accent6 4 2 2 2 7 2" xfId="15639"/>
    <cellStyle name="40% - Accent6 4 2 2 2 8" xfId="15640"/>
    <cellStyle name="40% - Accent6 4 2 2 2 9" xfId="15641"/>
    <cellStyle name="40% - Accent6 4 2 2 3" xfId="15642"/>
    <cellStyle name="40% - Accent6 4 2 2 3 2" xfId="15643"/>
    <cellStyle name="40% - Accent6 4 2 2 3 2 2" xfId="15644"/>
    <cellStyle name="40% - Accent6 4 2 2 3 2 2 2" xfId="15645"/>
    <cellStyle name="40% - Accent6 4 2 2 3 2 3" xfId="15646"/>
    <cellStyle name="40% - Accent6 4 2 2 3 2 4" xfId="15647"/>
    <cellStyle name="40% - Accent6 4 2 2 3 3" xfId="15648"/>
    <cellStyle name="40% - Accent6 4 2 2 3 3 2" xfId="15649"/>
    <cellStyle name="40% - Accent6 4 2 2 3 4" xfId="15650"/>
    <cellStyle name="40% - Accent6 4 2 2 3 5" xfId="15651"/>
    <cellStyle name="40% - Accent6 4 2 2 4" xfId="15652"/>
    <cellStyle name="40% - Accent6 4 2 2 4 2" xfId="15653"/>
    <cellStyle name="40% - Accent6 4 2 2 4 2 2" xfId="15654"/>
    <cellStyle name="40% - Accent6 4 2 2 4 2 2 2" xfId="15655"/>
    <cellStyle name="40% - Accent6 4 2 2 4 2 3" xfId="15656"/>
    <cellStyle name="40% - Accent6 4 2 2 4 2 4" xfId="15657"/>
    <cellStyle name="40% - Accent6 4 2 2 4 3" xfId="15658"/>
    <cellStyle name="40% - Accent6 4 2 2 4 3 2" xfId="15659"/>
    <cellStyle name="40% - Accent6 4 2 2 4 4" xfId="15660"/>
    <cellStyle name="40% - Accent6 4 2 2 4 5" xfId="15661"/>
    <cellStyle name="40% - Accent6 4 2 2 5" xfId="15662"/>
    <cellStyle name="40% - Accent6 4 2 2 5 2" xfId="15663"/>
    <cellStyle name="40% - Accent6 4 2 2 5 2 2" xfId="15664"/>
    <cellStyle name="40% - Accent6 4 2 2 5 3" xfId="15665"/>
    <cellStyle name="40% - Accent6 4 2 2 5 4" xfId="15666"/>
    <cellStyle name="40% - Accent6 4 2 2 6" xfId="15667"/>
    <cellStyle name="40% - Accent6 4 2 2 6 2" xfId="15668"/>
    <cellStyle name="40% - Accent6 4 2 2 6 2 2" xfId="15669"/>
    <cellStyle name="40% - Accent6 4 2 2 6 3" xfId="15670"/>
    <cellStyle name="40% - Accent6 4 2 2 6 4" xfId="15671"/>
    <cellStyle name="40% - Accent6 4 2 2 7" xfId="15672"/>
    <cellStyle name="40% - Accent6 4 2 2 7 2" xfId="15673"/>
    <cellStyle name="40% - Accent6 4 2 2 7 2 2" xfId="15674"/>
    <cellStyle name="40% - Accent6 4 2 2 7 3" xfId="15675"/>
    <cellStyle name="40% - Accent6 4 2 2 7 4" xfId="15676"/>
    <cellStyle name="40% - Accent6 4 2 2 8" xfId="15677"/>
    <cellStyle name="40% - Accent6 4 2 2 8 2" xfId="15678"/>
    <cellStyle name="40% - Accent6 4 2 2 9" xfId="15679"/>
    <cellStyle name="40% - Accent6 4 2 3" xfId="15680"/>
    <cellStyle name="40% - Accent6 4 2 3 2" xfId="15681"/>
    <cellStyle name="40% - Accent6 4 2 3 2 2" xfId="15682"/>
    <cellStyle name="40% - Accent6 4 2 3 2 2 2" xfId="15683"/>
    <cellStyle name="40% - Accent6 4 2 3 2 2 2 2" xfId="15684"/>
    <cellStyle name="40% - Accent6 4 2 3 2 2 3" xfId="15685"/>
    <cellStyle name="40% - Accent6 4 2 3 2 2 4" xfId="15686"/>
    <cellStyle name="40% - Accent6 4 2 3 2 3" xfId="15687"/>
    <cellStyle name="40% - Accent6 4 2 3 2 3 2" xfId="15688"/>
    <cellStyle name="40% - Accent6 4 2 3 2 4" xfId="15689"/>
    <cellStyle name="40% - Accent6 4 2 3 2 5" xfId="15690"/>
    <cellStyle name="40% - Accent6 4 2 3 3" xfId="15691"/>
    <cellStyle name="40% - Accent6 4 2 3 3 2" xfId="15692"/>
    <cellStyle name="40% - Accent6 4 2 3 3 2 2" xfId="15693"/>
    <cellStyle name="40% - Accent6 4 2 3 3 2 2 2" xfId="15694"/>
    <cellStyle name="40% - Accent6 4 2 3 3 2 3" xfId="15695"/>
    <cellStyle name="40% - Accent6 4 2 3 3 2 4" xfId="15696"/>
    <cellStyle name="40% - Accent6 4 2 3 3 3" xfId="15697"/>
    <cellStyle name="40% - Accent6 4 2 3 3 3 2" xfId="15698"/>
    <cellStyle name="40% - Accent6 4 2 3 3 4" xfId="15699"/>
    <cellStyle name="40% - Accent6 4 2 3 3 5" xfId="15700"/>
    <cellStyle name="40% - Accent6 4 2 3 4" xfId="15701"/>
    <cellStyle name="40% - Accent6 4 2 3 4 2" xfId="15702"/>
    <cellStyle name="40% - Accent6 4 2 3 4 2 2" xfId="15703"/>
    <cellStyle name="40% - Accent6 4 2 3 4 3" xfId="15704"/>
    <cellStyle name="40% - Accent6 4 2 3 4 4" xfId="15705"/>
    <cellStyle name="40% - Accent6 4 2 3 5" xfId="15706"/>
    <cellStyle name="40% - Accent6 4 2 3 5 2" xfId="15707"/>
    <cellStyle name="40% - Accent6 4 2 3 5 2 2" xfId="15708"/>
    <cellStyle name="40% - Accent6 4 2 3 5 3" xfId="15709"/>
    <cellStyle name="40% - Accent6 4 2 3 5 4" xfId="15710"/>
    <cellStyle name="40% - Accent6 4 2 3 6" xfId="15711"/>
    <cellStyle name="40% - Accent6 4 2 3 6 2" xfId="15712"/>
    <cellStyle name="40% - Accent6 4 2 3 6 2 2" xfId="15713"/>
    <cellStyle name="40% - Accent6 4 2 3 6 3" xfId="15714"/>
    <cellStyle name="40% - Accent6 4 2 3 6 4" xfId="15715"/>
    <cellStyle name="40% - Accent6 4 2 3 7" xfId="15716"/>
    <cellStyle name="40% - Accent6 4 2 3 7 2" xfId="15717"/>
    <cellStyle name="40% - Accent6 4 2 3 8" xfId="15718"/>
    <cellStyle name="40% - Accent6 4 2 3 9" xfId="15719"/>
    <cellStyle name="40% - Accent6 4 2 4" xfId="15720"/>
    <cellStyle name="40% - Accent6 4 2 4 2" xfId="15721"/>
    <cellStyle name="40% - Accent6 4 2 4 2 2" xfId="15722"/>
    <cellStyle name="40% - Accent6 4 2 4 2 2 2" xfId="15723"/>
    <cellStyle name="40% - Accent6 4 2 4 2 3" xfId="15724"/>
    <cellStyle name="40% - Accent6 4 2 4 2 4" xfId="15725"/>
    <cellStyle name="40% - Accent6 4 2 4 3" xfId="15726"/>
    <cellStyle name="40% - Accent6 4 2 4 3 2" xfId="15727"/>
    <cellStyle name="40% - Accent6 4 2 4 4" xfId="15728"/>
    <cellStyle name="40% - Accent6 4 2 4 5" xfId="15729"/>
    <cellStyle name="40% - Accent6 4 2 5" xfId="15730"/>
    <cellStyle name="40% - Accent6 4 2 5 2" xfId="15731"/>
    <cellStyle name="40% - Accent6 4 2 5 2 2" xfId="15732"/>
    <cellStyle name="40% - Accent6 4 2 5 2 2 2" xfId="15733"/>
    <cellStyle name="40% - Accent6 4 2 5 2 3" xfId="15734"/>
    <cellStyle name="40% - Accent6 4 2 5 2 4" xfId="15735"/>
    <cellStyle name="40% - Accent6 4 2 5 3" xfId="15736"/>
    <cellStyle name="40% - Accent6 4 2 5 3 2" xfId="15737"/>
    <cellStyle name="40% - Accent6 4 2 5 4" xfId="15738"/>
    <cellStyle name="40% - Accent6 4 2 5 5" xfId="15739"/>
    <cellStyle name="40% - Accent6 4 2 6" xfId="15740"/>
    <cellStyle name="40% - Accent6 4 2 6 2" xfId="15741"/>
    <cellStyle name="40% - Accent6 4 2 6 2 2" xfId="15742"/>
    <cellStyle name="40% - Accent6 4 2 6 3" xfId="15743"/>
    <cellStyle name="40% - Accent6 4 2 6 4" xfId="15744"/>
    <cellStyle name="40% - Accent6 4 2 7" xfId="15745"/>
    <cellStyle name="40% - Accent6 4 2 7 2" xfId="15746"/>
    <cellStyle name="40% - Accent6 4 2 7 2 2" xfId="15747"/>
    <cellStyle name="40% - Accent6 4 2 7 3" xfId="15748"/>
    <cellStyle name="40% - Accent6 4 2 7 4" xfId="15749"/>
    <cellStyle name="40% - Accent6 4 2 8" xfId="15750"/>
    <cellStyle name="40% - Accent6 4 2 8 2" xfId="15751"/>
    <cellStyle name="40% - Accent6 4 2 8 2 2" xfId="15752"/>
    <cellStyle name="40% - Accent6 4 2 8 3" xfId="15753"/>
    <cellStyle name="40% - Accent6 4 2 8 4" xfId="15754"/>
    <cellStyle name="40% - Accent6 4 2 9" xfId="15755"/>
    <cellStyle name="40% - Accent6 4 2 9 2" xfId="15756"/>
    <cellStyle name="40% - Accent6 4 3" xfId="15757"/>
    <cellStyle name="40% - Accent6 4 3 10" xfId="15758"/>
    <cellStyle name="40% - Accent6 4 3 2" xfId="15759"/>
    <cellStyle name="40% - Accent6 4 3 2 2" xfId="15760"/>
    <cellStyle name="40% - Accent6 4 3 2 2 2" xfId="15761"/>
    <cellStyle name="40% - Accent6 4 3 2 2 2 2" xfId="15762"/>
    <cellStyle name="40% - Accent6 4 3 2 2 2 2 2" xfId="15763"/>
    <cellStyle name="40% - Accent6 4 3 2 2 2 3" xfId="15764"/>
    <cellStyle name="40% - Accent6 4 3 2 2 2 4" xfId="15765"/>
    <cellStyle name="40% - Accent6 4 3 2 2 3" xfId="15766"/>
    <cellStyle name="40% - Accent6 4 3 2 2 3 2" xfId="15767"/>
    <cellStyle name="40% - Accent6 4 3 2 2 4" xfId="15768"/>
    <cellStyle name="40% - Accent6 4 3 2 2 5" xfId="15769"/>
    <cellStyle name="40% - Accent6 4 3 2 3" xfId="15770"/>
    <cellStyle name="40% - Accent6 4 3 2 3 2" xfId="15771"/>
    <cellStyle name="40% - Accent6 4 3 2 3 2 2" xfId="15772"/>
    <cellStyle name="40% - Accent6 4 3 2 3 2 2 2" xfId="15773"/>
    <cellStyle name="40% - Accent6 4 3 2 3 2 3" xfId="15774"/>
    <cellStyle name="40% - Accent6 4 3 2 3 2 4" xfId="15775"/>
    <cellStyle name="40% - Accent6 4 3 2 3 3" xfId="15776"/>
    <cellStyle name="40% - Accent6 4 3 2 3 3 2" xfId="15777"/>
    <cellStyle name="40% - Accent6 4 3 2 3 4" xfId="15778"/>
    <cellStyle name="40% - Accent6 4 3 2 3 5" xfId="15779"/>
    <cellStyle name="40% - Accent6 4 3 2 4" xfId="15780"/>
    <cellStyle name="40% - Accent6 4 3 2 4 2" xfId="15781"/>
    <cellStyle name="40% - Accent6 4 3 2 4 2 2" xfId="15782"/>
    <cellStyle name="40% - Accent6 4 3 2 4 3" xfId="15783"/>
    <cellStyle name="40% - Accent6 4 3 2 4 4" xfId="15784"/>
    <cellStyle name="40% - Accent6 4 3 2 5" xfId="15785"/>
    <cellStyle name="40% - Accent6 4 3 2 5 2" xfId="15786"/>
    <cellStyle name="40% - Accent6 4 3 2 5 2 2" xfId="15787"/>
    <cellStyle name="40% - Accent6 4 3 2 5 3" xfId="15788"/>
    <cellStyle name="40% - Accent6 4 3 2 5 4" xfId="15789"/>
    <cellStyle name="40% - Accent6 4 3 2 6" xfId="15790"/>
    <cellStyle name="40% - Accent6 4 3 2 6 2" xfId="15791"/>
    <cellStyle name="40% - Accent6 4 3 2 6 2 2" xfId="15792"/>
    <cellStyle name="40% - Accent6 4 3 2 6 3" xfId="15793"/>
    <cellStyle name="40% - Accent6 4 3 2 6 4" xfId="15794"/>
    <cellStyle name="40% - Accent6 4 3 2 7" xfId="15795"/>
    <cellStyle name="40% - Accent6 4 3 2 7 2" xfId="15796"/>
    <cellStyle name="40% - Accent6 4 3 2 8" xfId="15797"/>
    <cellStyle name="40% - Accent6 4 3 2 9" xfId="15798"/>
    <cellStyle name="40% - Accent6 4 3 3" xfId="15799"/>
    <cellStyle name="40% - Accent6 4 3 3 2" xfId="15800"/>
    <cellStyle name="40% - Accent6 4 3 3 2 2" xfId="15801"/>
    <cellStyle name="40% - Accent6 4 3 3 2 2 2" xfId="15802"/>
    <cellStyle name="40% - Accent6 4 3 3 2 3" xfId="15803"/>
    <cellStyle name="40% - Accent6 4 3 3 2 4" xfId="15804"/>
    <cellStyle name="40% - Accent6 4 3 3 3" xfId="15805"/>
    <cellStyle name="40% - Accent6 4 3 3 3 2" xfId="15806"/>
    <cellStyle name="40% - Accent6 4 3 3 4" xfId="15807"/>
    <cellStyle name="40% - Accent6 4 3 3 5" xfId="15808"/>
    <cellStyle name="40% - Accent6 4 3 4" xfId="15809"/>
    <cellStyle name="40% - Accent6 4 3 4 2" xfId="15810"/>
    <cellStyle name="40% - Accent6 4 3 4 2 2" xfId="15811"/>
    <cellStyle name="40% - Accent6 4 3 4 2 2 2" xfId="15812"/>
    <cellStyle name="40% - Accent6 4 3 4 2 3" xfId="15813"/>
    <cellStyle name="40% - Accent6 4 3 4 2 4" xfId="15814"/>
    <cellStyle name="40% - Accent6 4 3 4 3" xfId="15815"/>
    <cellStyle name="40% - Accent6 4 3 4 3 2" xfId="15816"/>
    <cellStyle name="40% - Accent6 4 3 4 4" xfId="15817"/>
    <cellStyle name="40% - Accent6 4 3 4 5" xfId="15818"/>
    <cellStyle name="40% - Accent6 4 3 5" xfId="15819"/>
    <cellStyle name="40% - Accent6 4 3 5 2" xfId="15820"/>
    <cellStyle name="40% - Accent6 4 3 5 2 2" xfId="15821"/>
    <cellStyle name="40% - Accent6 4 3 5 3" xfId="15822"/>
    <cellStyle name="40% - Accent6 4 3 5 4" xfId="15823"/>
    <cellStyle name="40% - Accent6 4 3 6" xfId="15824"/>
    <cellStyle name="40% - Accent6 4 3 6 2" xfId="15825"/>
    <cellStyle name="40% - Accent6 4 3 6 2 2" xfId="15826"/>
    <cellStyle name="40% - Accent6 4 3 6 3" xfId="15827"/>
    <cellStyle name="40% - Accent6 4 3 6 4" xfId="15828"/>
    <cellStyle name="40% - Accent6 4 3 7" xfId="15829"/>
    <cellStyle name="40% - Accent6 4 3 7 2" xfId="15830"/>
    <cellStyle name="40% - Accent6 4 3 7 2 2" xfId="15831"/>
    <cellStyle name="40% - Accent6 4 3 7 3" xfId="15832"/>
    <cellStyle name="40% - Accent6 4 3 7 4" xfId="15833"/>
    <cellStyle name="40% - Accent6 4 3 8" xfId="15834"/>
    <cellStyle name="40% - Accent6 4 3 8 2" xfId="15835"/>
    <cellStyle name="40% - Accent6 4 3 9" xfId="15836"/>
    <cellStyle name="40% - Accent6 4 4" xfId="15837"/>
    <cellStyle name="40% - Accent6 4 4 2" xfId="15838"/>
    <cellStyle name="40% - Accent6 4 4 2 2" xfId="15839"/>
    <cellStyle name="40% - Accent6 4 4 2 2 2" xfId="15840"/>
    <cellStyle name="40% - Accent6 4 4 2 2 2 2" xfId="15841"/>
    <cellStyle name="40% - Accent6 4 4 2 2 3" xfId="15842"/>
    <cellStyle name="40% - Accent6 4 4 2 2 4" xfId="15843"/>
    <cellStyle name="40% - Accent6 4 4 2 3" xfId="15844"/>
    <cellStyle name="40% - Accent6 4 4 2 3 2" xfId="15845"/>
    <cellStyle name="40% - Accent6 4 4 2 4" xfId="15846"/>
    <cellStyle name="40% - Accent6 4 4 2 5" xfId="15847"/>
    <cellStyle name="40% - Accent6 4 4 3" xfId="15848"/>
    <cellStyle name="40% - Accent6 4 4 3 2" xfId="15849"/>
    <cellStyle name="40% - Accent6 4 4 3 2 2" xfId="15850"/>
    <cellStyle name="40% - Accent6 4 4 3 2 2 2" xfId="15851"/>
    <cellStyle name="40% - Accent6 4 4 3 2 3" xfId="15852"/>
    <cellStyle name="40% - Accent6 4 4 3 2 4" xfId="15853"/>
    <cellStyle name="40% - Accent6 4 4 3 3" xfId="15854"/>
    <cellStyle name="40% - Accent6 4 4 3 3 2" xfId="15855"/>
    <cellStyle name="40% - Accent6 4 4 3 4" xfId="15856"/>
    <cellStyle name="40% - Accent6 4 4 3 5" xfId="15857"/>
    <cellStyle name="40% - Accent6 4 4 4" xfId="15858"/>
    <cellStyle name="40% - Accent6 4 4 4 2" xfId="15859"/>
    <cellStyle name="40% - Accent6 4 4 4 2 2" xfId="15860"/>
    <cellStyle name="40% - Accent6 4 4 4 3" xfId="15861"/>
    <cellStyle name="40% - Accent6 4 4 4 4" xfId="15862"/>
    <cellStyle name="40% - Accent6 4 4 5" xfId="15863"/>
    <cellStyle name="40% - Accent6 4 4 5 2" xfId="15864"/>
    <cellStyle name="40% - Accent6 4 4 5 2 2" xfId="15865"/>
    <cellStyle name="40% - Accent6 4 4 5 3" xfId="15866"/>
    <cellStyle name="40% - Accent6 4 4 5 4" xfId="15867"/>
    <cellStyle name="40% - Accent6 4 4 6" xfId="15868"/>
    <cellStyle name="40% - Accent6 4 4 6 2" xfId="15869"/>
    <cellStyle name="40% - Accent6 4 4 6 2 2" xfId="15870"/>
    <cellStyle name="40% - Accent6 4 4 6 3" xfId="15871"/>
    <cellStyle name="40% - Accent6 4 4 6 4" xfId="15872"/>
    <cellStyle name="40% - Accent6 4 4 7" xfId="15873"/>
    <cellStyle name="40% - Accent6 4 4 7 2" xfId="15874"/>
    <cellStyle name="40% - Accent6 4 4 8" xfId="15875"/>
    <cellStyle name="40% - Accent6 4 4 9" xfId="15876"/>
    <cellStyle name="40% - Accent6 4 5" xfId="15877"/>
    <cellStyle name="40% - Accent6 4 5 2" xfId="15878"/>
    <cellStyle name="40% - Accent6 4 5 2 2" xfId="15879"/>
    <cellStyle name="40% - Accent6 4 5 2 2 2" xfId="15880"/>
    <cellStyle name="40% - Accent6 4 5 2 3" xfId="15881"/>
    <cellStyle name="40% - Accent6 4 5 2 4" xfId="15882"/>
    <cellStyle name="40% - Accent6 4 5 3" xfId="15883"/>
    <cellStyle name="40% - Accent6 4 5 4" xfId="15884"/>
    <cellStyle name="40% - Accent6 4 5 4 2" xfId="15885"/>
    <cellStyle name="40% - Accent6 4 5 5" xfId="15886"/>
    <cellStyle name="40% - Accent6 4 5 6" xfId="15887"/>
    <cellStyle name="40% - Accent6 4 6" xfId="15888"/>
    <cellStyle name="40% - Accent6 4 6 2" xfId="15889"/>
    <cellStyle name="40% - Accent6 4 6 2 2" xfId="15890"/>
    <cellStyle name="40% - Accent6 4 6 2 2 2" xfId="15891"/>
    <cellStyle name="40% - Accent6 4 6 2 3" xfId="15892"/>
    <cellStyle name="40% - Accent6 4 6 2 4" xfId="15893"/>
    <cellStyle name="40% - Accent6 4 6 3" xfId="15894"/>
    <cellStyle name="40% - Accent6 4 6 3 2" xfId="15895"/>
    <cellStyle name="40% - Accent6 4 6 3 2 2" xfId="15896"/>
    <cellStyle name="40% - Accent6 4 6 3 3" xfId="15897"/>
    <cellStyle name="40% - Accent6 4 6 3 4" xfId="15898"/>
    <cellStyle name="40% - Accent6 4 6 4" xfId="15899"/>
    <cellStyle name="40% - Accent6 4 6 4 2" xfId="15900"/>
    <cellStyle name="40% - Accent6 4 6 5" xfId="15901"/>
    <cellStyle name="40% - Accent6 4 6 6" xfId="15902"/>
    <cellStyle name="40% - Accent6 4 7" xfId="15903"/>
    <cellStyle name="40% - Accent6 4 7 2" xfId="15904"/>
    <cellStyle name="40% - Accent6 4 7 2 2" xfId="15905"/>
    <cellStyle name="40% - Accent6 4 7 3" xfId="15906"/>
    <cellStyle name="40% - Accent6 4 7 4" xfId="15907"/>
    <cellStyle name="40% - Accent6 4 8" xfId="15908"/>
    <cellStyle name="40% - Accent6 4 8 2" xfId="15909"/>
    <cellStyle name="40% - Accent6 4 8 2 2" xfId="15910"/>
    <cellStyle name="40% - Accent6 4 8 3" xfId="15911"/>
    <cellStyle name="40% - Accent6 4 8 4" xfId="15912"/>
    <cellStyle name="40% - Accent6 4 9" xfId="15913"/>
    <cellStyle name="40% - Accent6 4 9 2" xfId="15914"/>
    <cellStyle name="40% - Accent6 4 9 2 2" xfId="15915"/>
    <cellStyle name="40% - Accent6 4 9 3" xfId="15916"/>
    <cellStyle name="40% - Accent6 4 9 4" xfId="15917"/>
    <cellStyle name="40% - Accent6 5" xfId="15918"/>
    <cellStyle name="40% - Accent6 5 10" xfId="15919"/>
    <cellStyle name="40% - Accent6 5 10 2" xfId="15920"/>
    <cellStyle name="40% - Accent6 5 11" xfId="15921"/>
    <cellStyle name="40% - Accent6 5 12" xfId="15922"/>
    <cellStyle name="40% - Accent6 5 2" xfId="15923"/>
    <cellStyle name="40% - Accent6 5 2 10" xfId="15924"/>
    <cellStyle name="40% - Accent6 5 2 11" xfId="15925"/>
    <cellStyle name="40% - Accent6 5 2 2" xfId="15926"/>
    <cellStyle name="40% - Accent6 5 2 2 10" xfId="15927"/>
    <cellStyle name="40% - Accent6 5 2 2 2" xfId="15928"/>
    <cellStyle name="40% - Accent6 5 2 2 2 2" xfId="15929"/>
    <cellStyle name="40% - Accent6 5 2 2 2 2 2" xfId="15930"/>
    <cellStyle name="40% - Accent6 5 2 2 2 2 2 2" xfId="15931"/>
    <cellStyle name="40% - Accent6 5 2 2 2 2 2 2 2" xfId="15932"/>
    <cellStyle name="40% - Accent6 5 2 2 2 2 2 3" xfId="15933"/>
    <cellStyle name="40% - Accent6 5 2 2 2 2 2 4" xfId="15934"/>
    <cellStyle name="40% - Accent6 5 2 2 2 2 3" xfId="15935"/>
    <cellStyle name="40% - Accent6 5 2 2 2 2 3 2" xfId="15936"/>
    <cellStyle name="40% - Accent6 5 2 2 2 2 4" xfId="15937"/>
    <cellStyle name="40% - Accent6 5 2 2 2 2 5" xfId="15938"/>
    <cellStyle name="40% - Accent6 5 2 2 2 3" xfId="15939"/>
    <cellStyle name="40% - Accent6 5 2 2 2 3 2" xfId="15940"/>
    <cellStyle name="40% - Accent6 5 2 2 2 3 2 2" xfId="15941"/>
    <cellStyle name="40% - Accent6 5 2 2 2 3 2 2 2" xfId="15942"/>
    <cellStyle name="40% - Accent6 5 2 2 2 3 2 3" xfId="15943"/>
    <cellStyle name="40% - Accent6 5 2 2 2 3 2 4" xfId="15944"/>
    <cellStyle name="40% - Accent6 5 2 2 2 3 3" xfId="15945"/>
    <cellStyle name="40% - Accent6 5 2 2 2 3 3 2" xfId="15946"/>
    <cellStyle name="40% - Accent6 5 2 2 2 3 4" xfId="15947"/>
    <cellStyle name="40% - Accent6 5 2 2 2 3 5" xfId="15948"/>
    <cellStyle name="40% - Accent6 5 2 2 2 4" xfId="15949"/>
    <cellStyle name="40% - Accent6 5 2 2 2 4 2" xfId="15950"/>
    <cellStyle name="40% - Accent6 5 2 2 2 4 2 2" xfId="15951"/>
    <cellStyle name="40% - Accent6 5 2 2 2 4 3" xfId="15952"/>
    <cellStyle name="40% - Accent6 5 2 2 2 4 4" xfId="15953"/>
    <cellStyle name="40% - Accent6 5 2 2 2 5" xfId="15954"/>
    <cellStyle name="40% - Accent6 5 2 2 2 5 2" xfId="15955"/>
    <cellStyle name="40% - Accent6 5 2 2 2 5 2 2" xfId="15956"/>
    <cellStyle name="40% - Accent6 5 2 2 2 5 3" xfId="15957"/>
    <cellStyle name="40% - Accent6 5 2 2 2 5 4" xfId="15958"/>
    <cellStyle name="40% - Accent6 5 2 2 2 6" xfId="15959"/>
    <cellStyle name="40% - Accent6 5 2 2 2 6 2" xfId="15960"/>
    <cellStyle name="40% - Accent6 5 2 2 2 6 2 2" xfId="15961"/>
    <cellStyle name="40% - Accent6 5 2 2 2 6 3" xfId="15962"/>
    <cellStyle name="40% - Accent6 5 2 2 2 6 4" xfId="15963"/>
    <cellStyle name="40% - Accent6 5 2 2 2 7" xfId="15964"/>
    <cellStyle name="40% - Accent6 5 2 2 2 7 2" xfId="15965"/>
    <cellStyle name="40% - Accent6 5 2 2 2 8" xfId="15966"/>
    <cellStyle name="40% - Accent6 5 2 2 2 9" xfId="15967"/>
    <cellStyle name="40% - Accent6 5 2 2 3" xfId="15968"/>
    <cellStyle name="40% - Accent6 5 2 2 3 2" xfId="15969"/>
    <cellStyle name="40% - Accent6 5 2 2 3 2 2" xfId="15970"/>
    <cellStyle name="40% - Accent6 5 2 2 3 2 2 2" xfId="15971"/>
    <cellStyle name="40% - Accent6 5 2 2 3 2 3" xfId="15972"/>
    <cellStyle name="40% - Accent6 5 2 2 3 2 4" xfId="15973"/>
    <cellStyle name="40% - Accent6 5 2 2 3 3" xfId="15974"/>
    <cellStyle name="40% - Accent6 5 2 2 3 3 2" xfId="15975"/>
    <cellStyle name="40% - Accent6 5 2 2 3 4" xfId="15976"/>
    <cellStyle name="40% - Accent6 5 2 2 3 5" xfId="15977"/>
    <cellStyle name="40% - Accent6 5 2 2 4" xfId="15978"/>
    <cellStyle name="40% - Accent6 5 2 2 4 2" xfId="15979"/>
    <cellStyle name="40% - Accent6 5 2 2 4 2 2" xfId="15980"/>
    <cellStyle name="40% - Accent6 5 2 2 4 2 2 2" xfId="15981"/>
    <cellStyle name="40% - Accent6 5 2 2 4 2 3" xfId="15982"/>
    <cellStyle name="40% - Accent6 5 2 2 4 2 4" xfId="15983"/>
    <cellStyle name="40% - Accent6 5 2 2 4 3" xfId="15984"/>
    <cellStyle name="40% - Accent6 5 2 2 4 3 2" xfId="15985"/>
    <cellStyle name="40% - Accent6 5 2 2 4 4" xfId="15986"/>
    <cellStyle name="40% - Accent6 5 2 2 4 5" xfId="15987"/>
    <cellStyle name="40% - Accent6 5 2 2 5" xfId="15988"/>
    <cellStyle name="40% - Accent6 5 2 2 5 2" xfId="15989"/>
    <cellStyle name="40% - Accent6 5 2 2 5 2 2" xfId="15990"/>
    <cellStyle name="40% - Accent6 5 2 2 5 3" xfId="15991"/>
    <cellStyle name="40% - Accent6 5 2 2 5 4" xfId="15992"/>
    <cellStyle name="40% - Accent6 5 2 2 6" xfId="15993"/>
    <cellStyle name="40% - Accent6 5 2 2 6 2" xfId="15994"/>
    <cellStyle name="40% - Accent6 5 2 2 6 2 2" xfId="15995"/>
    <cellStyle name="40% - Accent6 5 2 2 6 3" xfId="15996"/>
    <cellStyle name="40% - Accent6 5 2 2 6 4" xfId="15997"/>
    <cellStyle name="40% - Accent6 5 2 2 7" xfId="15998"/>
    <cellStyle name="40% - Accent6 5 2 2 7 2" xfId="15999"/>
    <cellStyle name="40% - Accent6 5 2 2 7 2 2" xfId="16000"/>
    <cellStyle name="40% - Accent6 5 2 2 7 3" xfId="16001"/>
    <cellStyle name="40% - Accent6 5 2 2 7 4" xfId="16002"/>
    <cellStyle name="40% - Accent6 5 2 2 8" xfId="16003"/>
    <cellStyle name="40% - Accent6 5 2 2 8 2" xfId="16004"/>
    <cellStyle name="40% - Accent6 5 2 2 9" xfId="16005"/>
    <cellStyle name="40% - Accent6 5 2 3" xfId="16006"/>
    <cellStyle name="40% - Accent6 5 2 3 2" xfId="16007"/>
    <cellStyle name="40% - Accent6 5 2 3 2 2" xfId="16008"/>
    <cellStyle name="40% - Accent6 5 2 3 2 2 2" xfId="16009"/>
    <cellStyle name="40% - Accent6 5 2 3 2 2 2 2" xfId="16010"/>
    <cellStyle name="40% - Accent6 5 2 3 2 2 3" xfId="16011"/>
    <cellStyle name="40% - Accent6 5 2 3 2 2 4" xfId="16012"/>
    <cellStyle name="40% - Accent6 5 2 3 2 3" xfId="16013"/>
    <cellStyle name="40% - Accent6 5 2 3 2 3 2" xfId="16014"/>
    <cellStyle name="40% - Accent6 5 2 3 2 4" xfId="16015"/>
    <cellStyle name="40% - Accent6 5 2 3 2 5" xfId="16016"/>
    <cellStyle name="40% - Accent6 5 2 3 3" xfId="16017"/>
    <cellStyle name="40% - Accent6 5 2 3 3 2" xfId="16018"/>
    <cellStyle name="40% - Accent6 5 2 3 3 2 2" xfId="16019"/>
    <cellStyle name="40% - Accent6 5 2 3 3 2 2 2" xfId="16020"/>
    <cellStyle name="40% - Accent6 5 2 3 3 2 3" xfId="16021"/>
    <cellStyle name="40% - Accent6 5 2 3 3 2 4" xfId="16022"/>
    <cellStyle name="40% - Accent6 5 2 3 3 3" xfId="16023"/>
    <cellStyle name="40% - Accent6 5 2 3 3 3 2" xfId="16024"/>
    <cellStyle name="40% - Accent6 5 2 3 3 4" xfId="16025"/>
    <cellStyle name="40% - Accent6 5 2 3 3 5" xfId="16026"/>
    <cellStyle name="40% - Accent6 5 2 3 4" xfId="16027"/>
    <cellStyle name="40% - Accent6 5 2 3 4 2" xfId="16028"/>
    <cellStyle name="40% - Accent6 5 2 3 4 2 2" xfId="16029"/>
    <cellStyle name="40% - Accent6 5 2 3 4 3" xfId="16030"/>
    <cellStyle name="40% - Accent6 5 2 3 4 4" xfId="16031"/>
    <cellStyle name="40% - Accent6 5 2 3 5" xfId="16032"/>
    <cellStyle name="40% - Accent6 5 2 3 5 2" xfId="16033"/>
    <cellStyle name="40% - Accent6 5 2 3 5 2 2" xfId="16034"/>
    <cellStyle name="40% - Accent6 5 2 3 5 3" xfId="16035"/>
    <cellStyle name="40% - Accent6 5 2 3 5 4" xfId="16036"/>
    <cellStyle name="40% - Accent6 5 2 3 6" xfId="16037"/>
    <cellStyle name="40% - Accent6 5 2 3 6 2" xfId="16038"/>
    <cellStyle name="40% - Accent6 5 2 3 6 2 2" xfId="16039"/>
    <cellStyle name="40% - Accent6 5 2 3 6 3" xfId="16040"/>
    <cellStyle name="40% - Accent6 5 2 3 6 4" xfId="16041"/>
    <cellStyle name="40% - Accent6 5 2 3 7" xfId="16042"/>
    <cellStyle name="40% - Accent6 5 2 3 7 2" xfId="16043"/>
    <cellStyle name="40% - Accent6 5 2 3 8" xfId="16044"/>
    <cellStyle name="40% - Accent6 5 2 3 9" xfId="16045"/>
    <cellStyle name="40% - Accent6 5 2 4" xfId="16046"/>
    <cellStyle name="40% - Accent6 5 2 4 2" xfId="16047"/>
    <cellStyle name="40% - Accent6 5 2 4 2 2" xfId="16048"/>
    <cellStyle name="40% - Accent6 5 2 4 2 2 2" xfId="16049"/>
    <cellStyle name="40% - Accent6 5 2 4 2 3" xfId="16050"/>
    <cellStyle name="40% - Accent6 5 2 4 2 4" xfId="16051"/>
    <cellStyle name="40% - Accent6 5 2 4 3" xfId="16052"/>
    <cellStyle name="40% - Accent6 5 2 4 3 2" xfId="16053"/>
    <cellStyle name="40% - Accent6 5 2 4 4" xfId="16054"/>
    <cellStyle name="40% - Accent6 5 2 4 5" xfId="16055"/>
    <cellStyle name="40% - Accent6 5 2 5" xfId="16056"/>
    <cellStyle name="40% - Accent6 5 2 5 2" xfId="16057"/>
    <cellStyle name="40% - Accent6 5 2 5 2 2" xfId="16058"/>
    <cellStyle name="40% - Accent6 5 2 5 2 2 2" xfId="16059"/>
    <cellStyle name="40% - Accent6 5 2 5 2 3" xfId="16060"/>
    <cellStyle name="40% - Accent6 5 2 5 2 4" xfId="16061"/>
    <cellStyle name="40% - Accent6 5 2 5 3" xfId="16062"/>
    <cellStyle name="40% - Accent6 5 2 5 3 2" xfId="16063"/>
    <cellStyle name="40% - Accent6 5 2 5 4" xfId="16064"/>
    <cellStyle name="40% - Accent6 5 2 5 5" xfId="16065"/>
    <cellStyle name="40% - Accent6 5 2 6" xfId="16066"/>
    <cellStyle name="40% - Accent6 5 2 6 2" xfId="16067"/>
    <cellStyle name="40% - Accent6 5 2 6 2 2" xfId="16068"/>
    <cellStyle name="40% - Accent6 5 2 6 3" xfId="16069"/>
    <cellStyle name="40% - Accent6 5 2 6 4" xfId="16070"/>
    <cellStyle name="40% - Accent6 5 2 7" xfId="16071"/>
    <cellStyle name="40% - Accent6 5 2 7 2" xfId="16072"/>
    <cellStyle name="40% - Accent6 5 2 7 2 2" xfId="16073"/>
    <cellStyle name="40% - Accent6 5 2 7 3" xfId="16074"/>
    <cellStyle name="40% - Accent6 5 2 7 4" xfId="16075"/>
    <cellStyle name="40% - Accent6 5 2 8" xfId="16076"/>
    <cellStyle name="40% - Accent6 5 2 8 2" xfId="16077"/>
    <cellStyle name="40% - Accent6 5 2 8 2 2" xfId="16078"/>
    <cellStyle name="40% - Accent6 5 2 8 3" xfId="16079"/>
    <cellStyle name="40% - Accent6 5 2 8 4" xfId="16080"/>
    <cellStyle name="40% - Accent6 5 2 9" xfId="16081"/>
    <cellStyle name="40% - Accent6 5 2 9 2" xfId="16082"/>
    <cellStyle name="40% - Accent6 5 3" xfId="16083"/>
    <cellStyle name="40% - Accent6 5 3 10" xfId="16084"/>
    <cellStyle name="40% - Accent6 5 3 2" xfId="16085"/>
    <cellStyle name="40% - Accent6 5 3 2 2" xfId="16086"/>
    <cellStyle name="40% - Accent6 5 3 2 2 2" xfId="16087"/>
    <cellStyle name="40% - Accent6 5 3 2 2 2 2" xfId="16088"/>
    <cellStyle name="40% - Accent6 5 3 2 2 2 2 2" xfId="16089"/>
    <cellStyle name="40% - Accent6 5 3 2 2 2 3" xfId="16090"/>
    <cellStyle name="40% - Accent6 5 3 2 2 2 4" xfId="16091"/>
    <cellStyle name="40% - Accent6 5 3 2 2 3" xfId="16092"/>
    <cellStyle name="40% - Accent6 5 3 2 2 3 2" xfId="16093"/>
    <cellStyle name="40% - Accent6 5 3 2 2 4" xfId="16094"/>
    <cellStyle name="40% - Accent6 5 3 2 2 5" xfId="16095"/>
    <cellStyle name="40% - Accent6 5 3 2 3" xfId="16096"/>
    <cellStyle name="40% - Accent6 5 3 2 3 2" xfId="16097"/>
    <cellStyle name="40% - Accent6 5 3 2 3 2 2" xfId="16098"/>
    <cellStyle name="40% - Accent6 5 3 2 3 2 2 2" xfId="16099"/>
    <cellStyle name="40% - Accent6 5 3 2 3 2 3" xfId="16100"/>
    <cellStyle name="40% - Accent6 5 3 2 3 2 4" xfId="16101"/>
    <cellStyle name="40% - Accent6 5 3 2 3 3" xfId="16102"/>
    <cellStyle name="40% - Accent6 5 3 2 3 3 2" xfId="16103"/>
    <cellStyle name="40% - Accent6 5 3 2 3 4" xfId="16104"/>
    <cellStyle name="40% - Accent6 5 3 2 3 5" xfId="16105"/>
    <cellStyle name="40% - Accent6 5 3 2 4" xfId="16106"/>
    <cellStyle name="40% - Accent6 5 3 2 4 2" xfId="16107"/>
    <cellStyle name="40% - Accent6 5 3 2 4 2 2" xfId="16108"/>
    <cellStyle name="40% - Accent6 5 3 2 4 3" xfId="16109"/>
    <cellStyle name="40% - Accent6 5 3 2 4 4" xfId="16110"/>
    <cellStyle name="40% - Accent6 5 3 2 5" xfId="16111"/>
    <cellStyle name="40% - Accent6 5 3 2 5 2" xfId="16112"/>
    <cellStyle name="40% - Accent6 5 3 2 5 2 2" xfId="16113"/>
    <cellStyle name="40% - Accent6 5 3 2 5 3" xfId="16114"/>
    <cellStyle name="40% - Accent6 5 3 2 5 4" xfId="16115"/>
    <cellStyle name="40% - Accent6 5 3 2 6" xfId="16116"/>
    <cellStyle name="40% - Accent6 5 3 2 6 2" xfId="16117"/>
    <cellStyle name="40% - Accent6 5 3 2 6 2 2" xfId="16118"/>
    <cellStyle name="40% - Accent6 5 3 2 6 3" xfId="16119"/>
    <cellStyle name="40% - Accent6 5 3 2 6 4" xfId="16120"/>
    <cellStyle name="40% - Accent6 5 3 2 7" xfId="16121"/>
    <cellStyle name="40% - Accent6 5 3 2 7 2" xfId="16122"/>
    <cellStyle name="40% - Accent6 5 3 2 8" xfId="16123"/>
    <cellStyle name="40% - Accent6 5 3 2 9" xfId="16124"/>
    <cellStyle name="40% - Accent6 5 3 3" xfId="16125"/>
    <cellStyle name="40% - Accent6 5 3 3 2" xfId="16126"/>
    <cellStyle name="40% - Accent6 5 3 3 2 2" xfId="16127"/>
    <cellStyle name="40% - Accent6 5 3 3 2 2 2" xfId="16128"/>
    <cellStyle name="40% - Accent6 5 3 3 2 3" xfId="16129"/>
    <cellStyle name="40% - Accent6 5 3 3 2 4" xfId="16130"/>
    <cellStyle name="40% - Accent6 5 3 3 3" xfId="16131"/>
    <cellStyle name="40% - Accent6 5 3 3 3 2" xfId="16132"/>
    <cellStyle name="40% - Accent6 5 3 3 4" xfId="16133"/>
    <cellStyle name="40% - Accent6 5 3 3 5" xfId="16134"/>
    <cellStyle name="40% - Accent6 5 3 4" xfId="16135"/>
    <cellStyle name="40% - Accent6 5 3 4 2" xfId="16136"/>
    <cellStyle name="40% - Accent6 5 3 4 2 2" xfId="16137"/>
    <cellStyle name="40% - Accent6 5 3 4 2 2 2" xfId="16138"/>
    <cellStyle name="40% - Accent6 5 3 4 2 3" xfId="16139"/>
    <cellStyle name="40% - Accent6 5 3 4 2 4" xfId="16140"/>
    <cellStyle name="40% - Accent6 5 3 4 3" xfId="16141"/>
    <cellStyle name="40% - Accent6 5 3 4 3 2" xfId="16142"/>
    <cellStyle name="40% - Accent6 5 3 4 4" xfId="16143"/>
    <cellStyle name="40% - Accent6 5 3 4 5" xfId="16144"/>
    <cellStyle name="40% - Accent6 5 3 5" xfId="16145"/>
    <cellStyle name="40% - Accent6 5 3 5 2" xfId="16146"/>
    <cellStyle name="40% - Accent6 5 3 5 2 2" xfId="16147"/>
    <cellStyle name="40% - Accent6 5 3 5 3" xfId="16148"/>
    <cellStyle name="40% - Accent6 5 3 5 4" xfId="16149"/>
    <cellStyle name="40% - Accent6 5 3 6" xfId="16150"/>
    <cellStyle name="40% - Accent6 5 3 6 2" xfId="16151"/>
    <cellStyle name="40% - Accent6 5 3 6 2 2" xfId="16152"/>
    <cellStyle name="40% - Accent6 5 3 6 3" xfId="16153"/>
    <cellStyle name="40% - Accent6 5 3 6 4" xfId="16154"/>
    <cellStyle name="40% - Accent6 5 3 7" xfId="16155"/>
    <cellStyle name="40% - Accent6 5 3 7 2" xfId="16156"/>
    <cellStyle name="40% - Accent6 5 3 7 2 2" xfId="16157"/>
    <cellStyle name="40% - Accent6 5 3 7 3" xfId="16158"/>
    <cellStyle name="40% - Accent6 5 3 7 4" xfId="16159"/>
    <cellStyle name="40% - Accent6 5 3 8" xfId="16160"/>
    <cellStyle name="40% - Accent6 5 3 8 2" xfId="16161"/>
    <cellStyle name="40% - Accent6 5 3 9" xfId="16162"/>
    <cellStyle name="40% - Accent6 5 4" xfId="16163"/>
    <cellStyle name="40% - Accent6 5 4 2" xfId="16164"/>
    <cellStyle name="40% - Accent6 5 4 2 2" xfId="16165"/>
    <cellStyle name="40% - Accent6 5 4 2 2 2" xfId="16166"/>
    <cellStyle name="40% - Accent6 5 4 2 2 2 2" xfId="16167"/>
    <cellStyle name="40% - Accent6 5 4 2 2 3" xfId="16168"/>
    <cellStyle name="40% - Accent6 5 4 2 2 4" xfId="16169"/>
    <cellStyle name="40% - Accent6 5 4 2 3" xfId="16170"/>
    <cellStyle name="40% - Accent6 5 4 2 3 2" xfId="16171"/>
    <cellStyle name="40% - Accent6 5 4 2 4" xfId="16172"/>
    <cellStyle name="40% - Accent6 5 4 2 5" xfId="16173"/>
    <cellStyle name="40% - Accent6 5 4 3" xfId="16174"/>
    <cellStyle name="40% - Accent6 5 4 3 2" xfId="16175"/>
    <cellStyle name="40% - Accent6 5 4 3 2 2" xfId="16176"/>
    <cellStyle name="40% - Accent6 5 4 3 2 2 2" xfId="16177"/>
    <cellStyle name="40% - Accent6 5 4 3 2 3" xfId="16178"/>
    <cellStyle name="40% - Accent6 5 4 3 2 4" xfId="16179"/>
    <cellStyle name="40% - Accent6 5 4 3 3" xfId="16180"/>
    <cellStyle name="40% - Accent6 5 4 3 3 2" xfId="16181"/>
    <cellStyle name="40% - Accent6 5 4 3 4" xfId="16182"/>
    <cellStyle name="40% - Accent6 5 4 3 5" xfId="16183"/>
    <cellStyle name="40% - Accent6 5 4 4" xfId="16184"/>
    <cellStyle name="40% - Accent6 5 4 4 2" xfId="16185"/>
    <cellStyle name="40% - Accent6 5 4 4 2 2" xfId="16186"/>
    <cellStyle name="40% - Accent6 5 4 4 3" xfId="16187"/>
    <cellStyle name="40% - Accent6 5 4 4 4" xfId="16188"/>
    <cellStyle name="40% - Accent6 5 4 5" xfId="16189"/>
    <cellStyle name="40% - Accent6 5 4 5 2" xfId="16190"/>
    <cellStyle name="40% - Accent6 5 4 5 2 2" xfId="16191"/>
    <cellStyle name="40% - Accent6 5 4 5 3" xfId="16192"/>
    <cellStyle name="40% - Accent6 5 4 5 4" xfId="16193"/>
    <cellStyle name="40% - Accent6 5 4 6" xfId="16194"/>
    <cellStyle name="40% - Accent6 5 4 6 2" xfId="16195"/>
    <cellStyle name="40% - Accent6 5 4 6 2 2" xfId="16196"/>
    <cellStyle name="40% - Accent6 5 4 6 3" xfId="16197"/>
    <cellStyle name="40% - Accent6 5 4 6 4" xfId="16198"/>
    <cellStyle name="40% - Accent6 5 4 7" xfId="16199"/>
    <cellStyle name="40% - Accent6 5 4 7 2" xfId="16200"/>
    <cellStyle name="40% - Accent6 5 4 8" xfId="16201"/>
    <cellStyle name="40% - Accent6 5 4 9" xfId="16202"/>
    <cellStyle name="40% - Accent6 5 5" xfId="16203"/>
    <cellStyle name="40% - Accent6 5 5 2" xfId="16204"/>
    <cellStyle name="40% - Accent6 5 5 2 2" xfId="16205"/>
    <cellStyle name="40% - Accent6 5 5 2 2 2" xfId="16206"/>
    <cellStyle name="40% - Accent6 5 5 2 3" xfId="16207"/>
    <cellStyle name="40% - Accent6 5 5 2 4" xfId="16208"/>
    <cellStyle name="40% - Accent6 5 5 3" xfId="16209"/>
    <cellStyle name="40% - Accent6 5 5 3 2" xfId="16210"/>
    <cellStyle name="40% - Accent6 5 5 3 2 2" xfId="16211"/>
    <cellStyle name="40% - Accent6 5 5 3 3" xfId="16212"/>
    <cellStyle name="40% - Accent6 5 5 3 4" xfId="16213"/>
    <cellStyle name="40% - Accent6 5 5 4" xfId="16214"/>
    <cellStyle name="40% - Accent6 5 5 4 2" xfId="16215"/>
    <cellStyle name="40% - Accent6 5 5 5" xfId="16216"/>
    <cellStyle name="40% - Accent6 5 5 6" xfId="16217"/>
    <cellStyle name="40% - Accent6 5 6" xfId="16218"/>
    <cellStyle name="40% - Accent6 5 6 2" xfId="16219"/>
    <cellStyle name="40% - Accent6 5 6 2 2" xfId="16220"/>
    <cellStyle name="40% - Accent6 5 6 2 2 2" xfId="16221"/>
    <cellStyle name="40% - Accent6 5 6 2 3" xfId="16222"/>
    <cellStyle name="40% - Accent6 5 6 2 4" xfId="16223"/>
    <cellStyle name="40% - Accent6 5 6 3" xfId="16224"/>
    <cellStyle name="40% - Accent6 5 6 3 2" xfId="16225"/>
    <cellStyle name="40% - Accent6 5 6 4" xfId="16226"/>
    <cellStyle name="40% - Accent6 5 6 5" xfId="16227"/>
    <cellStyle name="40% - Accent6 5 7" xfId="16228"/>
    <cellStyle name="40% - Accent6 5 7 2" xfId="16229"/>
    <cellStyle name="40% - Accent6 5 7 2 2" xfId="16230"/>
    <cellStyle name="40% - Accent6 5 7 3" xfId="16231"/>
    <cellStyle name="40% - Accent6 5 7 4" xfId="16232"/>
    <cellStyle name="40% - Accent6 5 8" xfId="16233"/>
    <cellStyle name="40% - Accent6 5 8 2" xfId="16234"/>
    <cellStyle name="40% - Accent6 5 8 2 2" xfId="16235"/>
    <cellStyle name="40% - Accent6 5 8 3" xfId="16236"/>
    <cellStyle name="40% - Accent6 5 8 4" xfId="16237"/>
    <cellStyle name="40% - Accent6 5 9" xfId="16238"/>
    <cellStyle name="40% - Accent6 5 9 2" xfId="16239"/>
    <cellStyle name="40% - Accent6 5 9 2 2" xfId="16240"/>
    <cellStyle name="40% - Accent6 5 9 3" xfId="16241"/>
    <cellStyle name="40% - Accent6 5 9 4" xfId="16242"/>
    <cellStyle name="40% - Accent6 6" xfId="16243"/>
    <cellStyle name="40% - Accent6 7" xfId="16244"/>
    <cellStyle name="40% - Accent6 8" xfId="16245"/>
    <cellStyle name="40% - Accent6 9" xfId="16246"/>
    <cellStyle name="40% - Accent6 9 2" xfId="16247"/>
    <cellStyle name="40% - Accent6 9 2 2" xfId="16248"/>
    <cellStyle name="40% - Accent6 9 3" xfId="16249"/>
    <cellStyle name="40% - Accent6 9 4" xfId="16250"/>
    <cellStyle name="60% - Accent1" xfId="35686" builtinId="32" customBuiltin="1"/>
    <cellStyle name="60% - Accent1 2" xfId="45"/>
    <cellStyle name="60% - Accent1 2 2" xfId="16252"/>
    <cellStyle name="60% - Accent1 2 2 2" xfId="16253"/>
    <cellStyle name="60% - Accent1 2 2 3" xfId="16254"/>
    <cellStyle name="60% - Accent1 2 2 4" xfId="16255"/>
    <cellStyle name="60% - Accent1 2 3" xfId="16256"/>
    <cellStyle name="60% - Accent1 2 3 2" xfId="16257"/>
    <cellStyle name="60% - Accent1 2 4" xfId="16258"/>
    <cellStyle name="60% - Accent1 2 5" xfId="16259"/>
    <cellStyle name="60% - Accent1 2 6" xfId="16260"/>
    <cellStyle name="60% - Accent1 2 6 2" xfId="16261"/>
    <cellStyle name="60% - Accent1 2 7" xfId="16262"/>
    <cellStyle name="60% - Accent1 2 8" xfId="35520"/>
    <cellStyle name="60% - Accent1 2 9" xfId="16251"/>
    <cellStyle name="60% - Accent1 3" xfId="115"/>
    <cellStyle name="60% - Accent1 3 2" xfId="16264"/>
    <cellStyle name="60% - Accent1 3 3" xfId="16265"/>
    <cellStyle name="60% - Accent1 3 4" xfId="16266"/>
    <cellStyle name="60% - Accent1 3 5" xfId="35521"/>
    <cellStyle name="60% - Accent1 3 6" xfId="16263"/>
    <cellStyle name="60% - Accent1 4" xfId="223"/>
    <cellStyle name="60% - Accent1 4 2" xfId="16268"/>
    <cellStyle name="60% - Accent1 4 3" xfId="16269"/>
    <cellStyle name="60% - Accent1 4 4" xfId="35522"/>
    <cellStyle name="60% - Accent1 4 5" xfId="16267"/>
    <cellStyle name="60% - Accent1 5" xfId="16270"/>
    <cellStyle name="60% - Accent1 6" xfId="16271"/>
    <cellStyle name="60% - Accent1 7" xfId="16272"/>
    <cellStyle name="60% - Accent1 8" xfId="16273"/>
    <cellStyle name="60% - Accent2" xfId="35690" builtinId="36" customBuiltin="1"/>
    <cellStyle name="60% - Accent2 2" xfId="46"/>
    <cellStyle name="60% - Accent2 2 2" xfId="16275"/>
    <cellStyle name="60% - Accent2 2 2 2" xfId="16276"/>
    <cellStyle name="60% - Accent2 2 2 3" xfId="16277"/>
    <cellStyle name="60% - Accent2 2 2 4" xfId="16278"/>
    <cellStyle name="60% - Accent2 2 3" xfId="16279"/>
    <cellStyle name="60% - Accent2 2 3 2" xfId="16280"/>
    <cellStyle name="60% - Accent2 2 4" xfId="16281"/>
    <cellStyle name="60% - Accent2 2 5" xfId="16282"/>
    <cellStyle name="60% - Accent2 2 6" xfId="16283"/>
    <cellStyle name="60% - Accent2 2 6 2" xfId="16284"/>
    <cellStyle name="60% - Accent2 2 7" xfId="16285"/>
    <cellStyle name="60% - Accent2 2 8" xfId="35523"/>
    <cellStyle name="60% - Accent2 2 9" xfId="16274"/>
    <cellStyle name="60% - Accent2 3" xfId="116"/>
    <cellStyle name="60% - Accent2 3 2" xfId="16287"/>
    <cellStyle name="60% - Accent2 3 3" xfId="16288"/>
    <cellStyle name="60% - Accent2 3 4" xfId="16289"/>
    <cellStyle name="60% - Accent2 3 5" xfId="35524"/>
    <cellStyle name="60% - Accent2 3 6" xfId="16286"/>
    <cellStyle name="60% - Accent2 4" xfId="224"/>
    <cellStyle name="60% - Accent2 4 2" xfId="16291"/>
    <cellStyle name="60% - Accent2 4 3" xfId="16292"/>
    <cellStyle name="60% - Accent2 4 4" xfId="35525"/>
    <cellStyle name="60% - Accent2 4 5" xfId="16290"/>
    <cellStyle name="60% - Accent2 5" xfId="16293"/>
    <cellStyle name="60% - Accent2 6" xfId="16294"/>
    <cellStyle name="60% - Accent2 7" xfId="16295"/>
    <cellStyle name="60% - Accent2 8" xfId="16296"/>
    <cellStyle name="60% - Accent3" xfId="35694" builtinId="40" customBuiltin="1"/>
    <cellStyle name="60% - Accent3 2" xfId="47"/>
    <cellStyle name="60% - Accent3 2 2" xfId="16298"/>
    <cellStyle name="60% - Accent3 2 2 2" xfId="16299"/>
    <cellStyle name="60% - Accent3 2 2 3" xfId="16300"/>
    <cellStyle name="60% - Accent3 2 2 4" xfId="16301"/>
    <cellStyle name="60% - Accent3 2 3" xfId="16302"/>
    <cellStyle name="60% - Accent3 2 3 2" xfId="16303"/>
    <cellStyle name="60% - Accent3 2 4" xfId="16304"/>
    <cellStyle name="60% - Accent3 2 5" xfId="16305"/>
    <cellStyle name="60% - Accent3 2 6" xfId="16306"/>
    <cellStyle name="60% - Accent3 2 6 2" xfId="16307"/>
    <cellStyle name="60% - Accent3 2 7" xfId="16308"/>
    <cellStyle name="60% - Accent3 2 8" xfId="35526"/>
    <cellStyle name="60% - Accent3 2 9" xfId="16297"/>
    <cellStyle name="60% - Accent3 3" xfId="117"/>
    <cellStyle name="60% - Accent3 3 2" xfId="16310"/>
    <cellStyle name="60% - Accent3 3 3" xfId="16311"/>
    <cellStyle name="60% - Accent3 3 4" xfId="16312"/>
    <cellStyle name="60% - Accent3 3 5" xfId="35527"/>
    <cellStyle name="60% - Accent3 3 6" xfId="16309"/>
    <cellStyle name="60% - Accent3 4" xfId="225"/>
    <cellStyle name="60% - Accent3 4 2" xfId="16314"/>
    <cellStyle name="60% - Accent3 4 3" xfId="16315"/>
    <cellStyle name="60% - Accent3 4 4" xfId="35528"/>
    <cellStyle name="60% - Accent3 4 5" xfId="16313"/>
    <cellStyle name="60% - Accent3 5" xfId="16316"/>
    <cellStyle name="60% - Accent3 6" xfId="16317"/>
    <cellStyle name="60% - Accent3 7" xfId="16318"/>
    <cellStyle name="60% - Accent3 8" xfId="16319"/>
    <cellStyle name="60% - Accent4" xfId="35698" builtinId="44" customBuiltin="1"/>
    <cellStyle name="60% - Accent4 2" xfId="48"/>
    <cellStyle name="60% - Accent4 2 10" xfId="35529"/>
    <cellStyle name="60% - Accent4 2 11" xfId="16320"/>
    <cellStyle name="60% - Accent4 2 2" xfId="16321"/>
    <cellStyle name="60% - Accent4 2 2 2" xfId="16322"/>
    <cellStyle name="60% - Accent4 2 2 3" xfId="16323"/>
    <cellStyle name="60% - Accent4 2 2 4" xfId="16324"/>
    <cellStyle name="60% - Accent4 2 3" xfId="16325"/>
    <cellStyle name="60% - Accent4 2 3 2" xfId="16326"/>
    <cellStyle name="60% - Accent4 2 4" xfId="16327"/>
    <cellStyle name="60% - Accent4 2 5" xfId="16328"/>
    <cellStyle name="60% - Accent4 2 6" xfId="16329"/>
    <cellStyle name="60% - Accent4 2 7" xfId="16330"/>
    <cellStyle name="60% - Accent4 2 8" xfId="16331"/>
    <cellStyle name="60% - Accent4 2 9" xfId="16332"/>
    <cellStyle name="60% - Accent4 3" xfId="118"/>
    <cellStyle name="60% - Accent4 3 2" xfId="16334"/>
    <cellStyle name="60% - Accent4 3 3" xfId="16335"/>
    <cellStyle name="60% - Accent4 3 4" xfId="35530"/>
    <cellStyle name="60% - Accent4 3 5" xfId="16333"/>
    <cellStyle name="60% - Accent4 4" xfId="226"/>
    <cellStyle name="60% - Accent4 4 2" xfId="16337"/>
    <cellStyle name="60% - Accent4 4 3" xfId="16338"/>
    <cellStyle name="60% - Accent4 4 4" xfId="16339"/>
    <cellStyle name="60% - Accent4 4 5" xfId="35531"/>
    <cellStyle name="60% - Accent4 4 6" xfId="16336"/>
    <cellStyle name="60% - Accent4 5" xfId="16340"/>
    <cellStyle name="60% - Accent4 5 2" xfId="16341"/>
    <cellStyle name="60% - Accent4 6" xfId="16342"/>
    <cellStyle name="60% - Accent4 7" xfId="16343"/>
    <cellStyle name="60% - Accent4 8" xfId="16344"/>
    <cellStyle name="60% - Accent5" xfId="35702" builtinId="48" customBuiltin="1"/>
    <cellStyle name="60% - Accent5 2" xfId="49"/>
    <cellStyle name="60% - Accent5 2 2" xfId="16346"/>
    <cellStyle name="60% - Accent5 2 2 2" xfId="16347"/>
    <cellStyle name="60% - Accent5 2 2 3" xfId="16348"/>
    <cellStyle name="60% - Accent5 2 2 4" xfId="16349"/>
    <cellStyle name="60% - Accent5 2 3" xfId="16350"/>
    <cellStyle name="60% - Accent5 2 3 2" xfId="16351"/>
    <cellStyle name="60% - Accent5 2 4" xfId="16352"/>
    <cellStyle name="60% - Accent5 2 5" xfId="16353"/>
    <cellStyle name="60% - Accent5 2 6" xfId="16354"/>
    <cellStyle name="60% - Accent5 2 6 2" xfId="16355"/>
    <cellStyle name="60% - Accent5 2 7" xfId="16356"/>
    <cellStyle name="60% - Accent5 2 8" xfId="35532"/>
    <cellStyle name="60% - Accent5 2 9" xfId="16345"/>
    <cellStyle name="60% - Accent5 3" xfId="119"/>
    <cellStyle name="60% - Accent5 3 2" xfId="16358"/>
    <cellStyle name="60% - Accent5 3 3" xfId="16359"/>
    <cellStyle name="60% - Accent5 3 4" xfId="16360"/>
    <cellStyle name="60% - Accent5 3 5" xfId="35533"/>
    <cellStyle name="60% - Accent5 3 6" xfId="16357"/>
    <cellStyle name="60% - Accent5 4" xfId="227"/>
    <cellStyle name="60% - Accent5 4 2" xfId="16362"/>
    <cellStyle name="60% - Accent5 4 3" xfId="16363"/>
    <cellStyle name="60% - Accent5 4 4" xfId="35534"/>
    <cellStyle name="60% - Accent5 4 5" xfId="16361"/>
    <cellStyle name="60% - Accent5 5" xfId="16364"/>
    <cellStyle name="60% - Accent5 6" xfId="16365"/>
    <cellStyle name="60% - Accent5 7" xfId="16366"/>
    <cellStyle name="60% - Accent5 8" xfId="16367"/>
    <cellStyle name="60% - Accent6" xfId="35706" builtinId="52" customBuiltin="1"/>
    <cellStyle name="60% - Accent6 2" xfId="50"/>
    <cellStyle name="60% - Accent6 2 2" xfId="16369"/>
    <cellStyle name="60% - Accent6 2 2 2" xfId="16370"/>
    <cellStyle name="60% - Accent6 2 2 3" xfId="16371"/>
    <cellStyle name="60% - Accent6 2 2 4" xfId="16372"/>
    <cellStyle name="60% - Accent6 2 3" xfId="16373"/>
    <cellStyle name="60% - Accent6 2 3 2" xfId="16374"/>
    <cellStyle name="60% - Accent6 2 4" xfId="16375"/>
    <cellStyle name="60% - Accent6 2 5" xfId="16376"/>
    <cellStyle name="60% - Accent6 2 6" xfId="16377"/>
    <cellStyle name="60% - Accent6 2 6 2" xfId="16378"/>
    <cellStyle name="60% - Accent6 2 7" xfId="16379"/>
    <cellStyle name="60% - Accent6 2 8" xfId="35535"/>
    <cellStyle name="60% - Accent6 2 9" xfId="16368"/>
    <cellStyle name="60% - Accent6 3" xfId="120"/>
    <cellStyle name="60% - Accent6 3 2" xfId="16381"/>
    <cellStyle name="60% - Accent6 3 3" xfId="16382"/>
    <cellStyle name="60% - Accent6 3 4" xfId="16383"/>
    <cellStyle name="60% - Accent6 3 5" xfId="35536"/>
    <cellStyle name="60% - Accent6 3 6" xfId="16380"/>
    <cellStyle name="60% - Accent6 4" xfId="228"/>
    <cellStyle name="60% - Accent6 4 2" xfId="16385"/>
    <cellStyle name="60% - Accent6 4 3" xfId="16386"/>
    <cellStyle name="60% - Accent6 4 4" xfId="35537"/>
    <cellStyle name="60% - Accent6 4 5" xfId="16384"/>
    <cellStyle name="60% - Accent6 5" xfId="16387"/>
    <cellStyle name="60% - Accent6 6" xfId="16388"/>
    <cellStyle name="60% - Accent6 7" xfId="16389"/>
    <cellStyle name="60% - Accent6 8" xfId="16390"/>
    <cellStyle name="Accent1" xfId="35683" builtinId="29" customBuiltin="1"/>
    <cellStyle name="Accent1 - 20%" xfId="35756"/>
    <cellStyle name="Accent1 - 40%" xfId="35764"/>
    <cellStyle name="Accent1 - 60%" xfId="35778"/>
    <cellStyle name="Accent1 2" xfId="51"/>
    <cellStyle name="Accent1 2 2" xfId="16392"/>
    <cellStyle name="Accent1 2 2 2" xfId="16393"/>
    <cellStyle name="Accent1 2 2 3" xfId="16394"/>
    <cellStyle name="Accent1 2 2 4" xfId="16395"/>
    <cellStyle name="Accent1 2 3" xfId="16396"/>
    <cellStyle name="Accent1 2 3 2" xfId="16397"/>
    <cellStyle name="Accent1 2 4" xfId="16398"/>
    <cellStyle name="Accent1 2 5" xfId="16399"/>
    <cellStyle name="Accent1 2 6" xfId="16400"/>
    <cellStyle name="Accent1 2 6 2" xfId="16401"/>
    <cellStyle name="Accent1 2 7" xfId="16402"/>
    <cellStyle name="Accent1 2 8" xfId="35538"/>
    <cellStyle name="Accent1 2 9" xfId="16391"/>
    <cellStyle name="Accent1 3" xfId="121"/>
    <cellStyle name="Accent1 3 2" xfId="16404"/>
    <cellStyle name="Accent1 3 3" xfId="16405"/>
    <cellStyle name="Accent1 3 4" xfId="16406"/>
    <cellStyle name="Accent1 3 5" xfId="16407"/>
    <cellStyle name="Accent1 3 6" xfId="35539"/>
    <cellStyle name="Accent1 3 7" xfId="16403"/>
    <cellStyle name="Accent1 4" xfId="229"/>
    <cellStyle name="Accent1 4 2" xfId="16409"/>
    <cellStyle name="Accent1 4 3" xfId="16410"/>
    <cellStyle name="Accent1 4 4" xfId="35540"/>
    <cellStyle name="Accent1 4 5" xfId="16408"/>
    <cellStyle name="Accent1 4 6" xfId="36094"/>
    <cellStyle name="Accent1 5" xfId="16411"/>
    <cellStyle name="Accent1 5 2" xfId="36095"/>
    <cellStyle name="Accent1 6" xfId="16412"/>
    <cellStyle name="Accent1 7" xfId="16413"/>
    <cellStyle name="Accent1 8" xfId="16414"/>
    <cellStyle name="Accent1 9" xfId="16415"/>
    <cellStyle name="Accent2" xfId="35687" builtinId="33" customBuiltin="1"/>
    <cellStyle name="Accent2 - 20%" xfId="35772"/>
    <cellStyle name="Accent2 - 40%" xfId="35760"/>
    <cellStyle name="Accent2 - 60%" xfId="35776"/>
    <cellStyle name="Accent2 2" xfId="52"/>
    <cellStyle name="Accent2 2 2" xfId="16417"/>
    <cellStyle name="Accent2 2 2 2" xfId="16418"/>
    <cellStyle name="Accent2 2 2 3" xfId="16419"/>
    <cellStyle name="Accent2 2 2 4" xfId="16420"/>
    <cellStyle name="Accent2 2 3" xfId="16421"/>
    <cellStyle name="Accent2 2 3 2" xfId="16422"/>
    <cellStyle name="Accent2 2 4" xfId="16423"/>
    <cellStyle name="Accent2 2 5" xfId="16424"/>
    <cellStyle name="Accent2 2 6" xfId="16425"/>
    <cellStyle name="Accent2 2 6 2" xfId="16426"/>
    <cellStyle name="Accent2 2 7" xfId="16427"/>
    <cellStyle name="Accent2 2 8" xfId="16416"/>
    <cellStyle name="Accent2 3" xfId="122"/>
    <cellStyle name="Accent2 3 2" xfId="16429"/>
    <cellStyle name="Accent2 3 3" xfId="16430"/>
    <cellStyle name="Accent2 3 4" xfId="16431"/>
    <cellStyle name="Accent2 3 5" xfId="16428"/>
    <cellStyle name="Accent2 4" xfId="16432"/>
    <cellStyle name="Accent2 4 2" xfId="16433"/>
    <cellStyle name="Accent2 4 3" xfId="16434"/>
    <cellStyle name="Accent2 4 4" xfId="36096"/>
    <cellStyle name="Accent2 5" xfId="16435"/>
    <cellStyle name="Accent2 6" xfId="16436"/>
    <cellStyle name="Accent2 7" xfId="16437"/>
    <cellStyle name="Accent2 8" xfId="16438"/>
    <cellStyle name="Accent2 9" xfId="16439"/>
    <cellStyle name="Accent3" xfId="35691" builtinId="37" customBuiltin="1"/>
    <cellStyle name="Accent3 - 20%" xfId="35786"/>
    <cellStyle name="Accent3 - 40%" xfId="35766"/>
    <cellStyle name="Accent3 - 60%" xfId="35783"/>
    <cellStyle name="Accent3 2" xfId="53"/>
    <cellStyle name="Accent3 2 2" xfId="16441"/>
    <cellStyle name="Accent3 2 2 2" xfId="16442"/>
    <cellStyle name="Accent3 2 2 3" xfId="16443"/>
    <cellStyle name="Accent3 2 2 4" xfId="16444"/>
    <cellStyle name="Accent3 2 3" xfId="16445"/>
    <cellStyle name="Accent3 2 3 2" xfId="16446"/>
    <cellStyle name="Accent3 2 4" xfId="16447"/>
    <cellStyle name="Accent3 2 5" xfId="16448"/>
    <cellStyle name="Accent3 2 6" xfId="16449"/>
    <cellStyle name="Accent3 2 6 2" xfId="16450"/>
    <cellStyle name="Accent3 2 7" xfId="16451"/>
    <cellStyle name="Accent3 2 8" xfId="16440"/>
    <cellStyle name="Accent3 3" xfId="123"/>
    <cellStyle name="Accent3 3 2" xfId="16453"/>
    <cellStyle name="Accent3 3 3" xfId="16454"/>
    <cellStyle name="Accent3 3 4" xfId="16455"/>
    <cellStyle name="Accent3 3 5" xfId="16452"/>
    <cellStyle name="Accent3 4" xfId="16456"/>
    <cellStyle name="Accent3 4 2" xfId="16457"/>
    <cellStyle name="Accent3 4 3" xfId="16458"/>
    <cellStyle name="Accent3 4 4" xfId="36097"/>
    <cellStyle name="Accent3 5" xfId="16459"/>
    <cellStyle name="Accent3 6" xfId="16460"/>
    <cellStyle name="Accent3 7" xfId="16461"/>
    <cellStyle name="Accent3 8" xfId="16462"/>
    <cellStyle name="Accent4" xfId="35695" builtinId="41" customBuiltin="1"/>
    <cellStyle name="Accent4 - 20%" xfId="35774"/>
    <cellStyle name="Accent4 - 40%" xfId="35775"/>
    <cellStyle name="Accent4 - 60%" xfId="35765"/>
    <cellStyle name="Accent4 2" xfId="54"/>
    <cellStyle name="Accent4 2 2" xfId="16464"/>
    <cellStyle name="Accent4 2 2 2" xfId="16465"/>
    <cellStyle name="Accent4 2 2 3" xfId="16466"/>
    <cellStyle name="Accent4 2 2 4" xfId="16467"/>
    <cellStyle name="Accent4 2 3" xfId="16468"/>
    <cellStyle name="Accent4 2 3 2" xfId="16469"/>
    <cellStyle name="Accent4 2 4" xfId="16470"/>
    <cellStyle name="Accent4 2 5" xfId="16471"/>
    <cellStyle name="Accent4 2 6" xfId="16472"/>
    <cellStyle name="Accent4 2 6 2" xfId="16473"/>
    <cellStyle name="Accent4 2 7" xfId="16474"/>
    <cellStyle name="Accent4 2 8" xfId="16463"/>
    <cellStyle name="Accent4 3" xfId="125"/>
    <cellStyle name="Accent4 3 2" xfId="16476"/>
    <cellStyle name="Accent4 3 3" xfId="16477"/>
    <cellStyle name="Accent4 3 4" xfId="16478"/>
    <cellStyle name="Accent4 3 5" xfId="16475"/>
    <cellStyle name="Accent4 4" xfId="230"/>
    <cellStyle name="Accent4 4 2" xfId="16480"/>
    <cellStyle name="Accent4 4 3" xfId="16481"/>
    <cellStyle name="Accent4 4 4" xfId="35541"/>
    <cellStyle name="Accent4 4 5" xfId="16479"/>
    <cellStyle name="Accent4 4 6" xfId="36098"/>
    <cellStyle name="Accent4 5" xfId="16482"/>
    <cellStyle name="Accent4 5 2" xfId="36099"/>
    <cellStyle name="Accent4 6" xfId="16483"/>
    <cellStyle name="Accent4 7" xfId="16484"/>
    <cellStyle name="Accent4 8" xfId="16485"/>
    <cellStyle name="Accent5" xfId="35699" builtinId="45" customBuiltin="1"/>
    <cellStyle name="Accent5 - 20%" xfId="35759"/>
    <cellStyle name="Accent5 - 40%" xfId="35758"/>
    <cellStyle name="Accent5 - 60%" xfId="35777"/>
    <cellStyle name="Accent5 2" xfId="55"/>
    <cellStyle name="Accent5 2 2" xfId="16486"/>
    <cellStyle name="Accent5 2 2 2" xfId="16487"/>
    <cellStyle name="Accent5 2 3" xfId="16488"/>
    <cellStyle name="Accent5 2 3 2" xfId="16489"/>
    <cellStyle name="Accent5 2 4" xfId="16490"/>
    <cellStyle name="Accent5 2 4 2" xfId="16491"/>
    <cellStyle name="Accent5 2 5" xfId="16492"/>
    <cellStyle name="Accent5 3" xfId="126"/>
    <cellStyle name="Accent5 3 2" xfId="16494"/>
    <cellStyle name="Accent5 3 3" xfId="16495"/>
    <cellStyle name="Accent5 3 4" xfId="16496"/>
    <cellStyle name="Accent5 3 5" xfId="16493"/>
    <cellStyle name="Accent5 4" xfId="16497"/>
    <cellStyle name="Accent5 4 2" xfId="16498"/>
    <cellStyle name="Accent5 4 3" xfId="16499"/>
    <cellStyle name="Accent5 4 4" xfId="36100"/>
    <cellStyle name="Accent5 5" xfId="16500"/>
    <cellStyle name="Accent5 5 2" xfId="36101"/>
    <cellStyle name="Accent5 6" xfId="16501"/>
    <cellStyle name="Accent6" xfId="35703" builtinId="49" customBuiltin="1"/>
    <cellStyle name="Accent6 - 20%" xfId="35780"/>
    <cellStyle name="Accent6 - 40%" xfId="35770"/>
    <cellStyle name="Accent6 - 60%" xfId="35782"/>
    <cellStyle name="Accent6 2" xfId="56"/>
    <cellStyle name="Accent6 2 2" xfId="16503"/>
    <cellStyle name="Accent6 2 2 2" xfId="16504"/>
    <cellStyle name="Accent6 2 2 3" xfId="16505"/>
    <cellStyle name="Accent6 2 2 4" xfId="16506"/>
    <cellStyle name="Accent6 2 3" xfId="16507"/>
    <cellStyle name="Accent6 2 3 2" xfId="16508"/>
    <cellStyle name="Accent6 2 4" xfId="16509"/>
    <cellStyle name="Accent6 2 5" xfId="16510"/>
    <cellStyle name="Accent6 2 6" xfId="16511"/>
    <cellStyle name="Accent6 2 6 2" xfId="16512"/>
    <cellStyle name="Accent6 2 7" xfId="16513"/>
    <cellStyle name="Accent6 2 8" xfId="16502"/>
    <cellStyle name="Accent6 3" xfId="127"/>
    <cellStyle name="Accent6 3 2" xfId="16515"/>
    <cellStyle name="Accent6 3 3" xfId="16516"/>
    <cellStyle name="Accent6 3 4" xfId="16517"/>
    <cellStyle name="Accent6 3 5" xfId="16514"/>
    <cellStyle name="Accent6 4" xfId="16518"/>
    <cellStyle name="Accent6 4 2" xfId="16519"/>
    <cellStyle name="Accent6 4 3" xfId="16520"/>
    <cellStyle name="Accent6 4 4" xfId="36102"/>
    <cellStyle name="Accent6 5" xfId="16521"/>
    <cellStyle name="Accent6 6" xfId="16522"/>
    <cellStyle name="Accent6 7" xfId="16523"/>
    <cellStyle name="Accent6 8" xfId="16524"/>
    <cellStyle name="Accounting" xfId="16525"/>
    <cellStyle name="Actual" xfId="231"/>
    <cellStyle name="ActualCurrency" xfId="232"/>
    <cellStyle name="ActualPercent" xfId="233"/>
    <cellStyle name="ActualValue" xfId="234"/>
    <cellStyle name="Agara" xfId="35784"/>
    <cellStyle name="Availability" xfId="16526"/>
    <cellStyle name="Availability 2" xfId="16527"/>
    <cellStyle name="Availability 3" xfId="16528"/>
    <cellStyle name="Availability 4" xfId="16529"/>
    <cellStyle name="B79812_.wvu.PrintTitlest" xfId="35781"/>
    <cellStyle name="Bad" xfId="35672" builtinId="27" customBuiltin="1"/>
    <cellStyle name="Bad 2" xfId="57"/>
    <cellStyle name="Bad 2 10" xfId="16530"/>
    <cellStyle name="Bad 2 2" xfId="16531"/>
    <cellStyle name="Bad 2 2 2" xfId="16532"/>
    <cellStyle name="Bad 2 2 3" xfId="16533"/>
    <cellStyle name="Bad 2 2 4" xfId="16534"/>
    <cellStyle name="Bad 2 3" xfId="16535"/>
    <cellStyle name="Bad 2 3 2" xfId="16536"/>
    <cellStyle name="Bad 2 4" xfId="16537"/>
    <cellStyle name="Bad 2 5" xfId="16538"/>
    <cellStyle name="Bad 2 6" xfId="16539"/>
    <cellStyle name="Bad 2 7" xfId="16540"/>
    <cellStyle name="Bad 2 8" xfId="16541"/>
    <cellStyle name="Bad 2 9" xfId="16542"/>
    <cellStyle name="Bad 3" xfId="128"/>
    <cellStyle name="Bad 3 2" xfId="16544"/>
    <cellStyle name="Bad 3 2 2" xfId="16545"/>
    <cellStyle name="Bad 3 3" xfId="16546"/>
    <cellStyle name="Bad 3 4" xfId="16543"/>
    <cellStyle name="Bad 4" xfId="16547"/>
    <cellStyle name="Bad 4 2" xfId="16548"/>
    <cellStyle name="Bad 4 3" xfId="16549"/>
    <cellStyle name="Bad 4 4" xfId="16550"/>
    <cellStyle name="Bad 5" xfId="16551"/>
    <cellStyle name="Bad 5 2" xfId="16552"/>
    <cellStyle name="Bad 6" xfId="16553"/>
    <cellStyle name="Bad 7" xfId="16554"/>
    <cellStyle name="Bad 8" xfId="16555"/>
    <cellStyle name="Bad 9" xfId="16556"/>
    <cellStyle name="Black" xfId="35768"/>
    <cellStyle name="Blockout" xfId="129"/>
    <cellStyle name="Blockout 2" xfId="130"/>
    <cellStyle name="Blockout 3" xfId="35933"/>
    <cellStyle name="Blue" xfId="35788"/>
    <cellStyle name="BLUE TABLE SHADED GREY" xfId="87"/>
    <cellStyle name="Body" xfId="16557"/>
    <cellStyle name="Calc 1" xfId="235"/>
    <cellStyle name="Calc 2" xfId="236"/>
    <cellStyle name="Calc_percent" xfId="16558"/>
    <cellStyle name="CalcRef" xfId="237"/>
    <cellStyle name="CalcRefCurrency" xfId="238"/>
    <cellStyle name="CalcRefPercent" xfId="239"/>
    <cellStyle name="CalcRefValue" xfId="240"/>
    <cellStyle name="Calculated Cell" xfId="16559"/>
    <cellStyle name="Calculated Cell 2" xfId="16560"/>
    <cellStyle name="Calculated Cell 2 10" xfId="16561"/>
    <cellStyle name="Calculated Cell 2 2" xfId="16562"/>
    <cellStyle name="Calculated Cell 2 2 2" xfId="16563"/>
    <cellStyle name="Calculated Cell 2 2 2 2" xfId="16564"/>
    <cellStyle name="Calculated Cell 2 2 2 2 2" xfId="16565"/>
    <cellStyle name="Calculated Cell 2 2 2 3" xfId="16566"/>
    <cellStyle name="Calculated Cell 2 2 3" xfId="16567"/>
    <cellStyle name="Calculated Cell 2 2 3 2" xfId="16568"/>
    <cellStyle name="Calculated Cell 2 2 4" xfId="16569"/>
    <cellStyle name="Calculated Cell 2 2 4 2" xfId="16570"/>
    <cellStyle name="Calculated Cell 2 2 5" xfId="16571"/>
    <cellStyle name="Calculated Cell 2 2 5 2" xfId="16572"/>
    <cellStyle name="Calculated Cell 2 2 5 3" xfId="16573"/>
    <cellStyle name="Calculated Cell 2 2 6" xfId="16574"/>
    <cellStyle name="Calculated Cell 2 3" xfId="16575"/>
    <cellStyle name="Calculated Cell 2 3 2" xfId="16576"/>
    <cellStyle name="Calculated Cell 2 3 2 2" xfId="16577"/>
    <cellStyle name="Calculated Cell 2 3 2 2 2" xfId="16578"/>
    <cellStyle name="Calculated Cell 2 3 2 2 2 2" xfId="16579"/>
    <cellStyle name="Calculated Cell 2 3 2 2 2 3" xfId="16580"/>
    <cellStyle name="Calculated Cell 2 3 2 2 3" xfId="16581"/>
    <cellStyle name="Calculated Cell 2 3 2 2 4" xfId="16582"/>
    <cellStyle name="Calculated Cell 2 3 2 3" xfId="16583"/>
    <cellStyle name="Calculated Cell 2 3 2 4" xfId="16584"/>
    <cellStyle name="Calculated Cell 2 3 3" xfId="16585"/>
    <cellStyle name="Calculated Cell 2 3 3 2" xfId="16586"/>
    <cellStyle name="Calculated Cell 2 3 3 2 2" xfId="16587"/>
    <cellStyle name="Calculated Cell 2 3 3 2 2 2" xfId="16588"/>
    <cellStyle name="Calculated Cell 2 3 3 2 2 3" xfId="16589"/>
    <cellStyle name="Calculated Cell 2 3 3 2 3" xfId="16590"/>
    <cellStyle name="Calculated Cell 2 3 3 2 4" xfId="16591"/>
    <cellStyle name="Calculated Cell 2 3 3 3" xfId="16592"/>
    <cellStyle name="Calculated Cell 2 3 4" xfId="16593"/>
    <cellStyle name="Calculated Cell 2 3 4 2" xfId="16594"/>
    <cellStyle name="Calculated Cell 2 3 4 2 2" xfId="16595"/>
    <cellStyle name="Calculated Cell 2 3 4 2 3" xfId="16596"/>
    <cellStyle name="Calculated Cell 2 3 4 3" xfId="16597"/>
    <cellStyle name="Calculated Cell 2 3 4 4" xfId="16598"/>
    <cellStyle name="Calculated Cell 2 3 5" xfId="16599"/>
    <cellStyle name="Calculated Cell 2 3 5 2" xfId="16600"/>
    <cellStyle name="Calculated Cell 2 3 5 3" xfId="16601"/>
    <cellStyle name="Calculated Cell 2 3 6" xfId="16602"/>
    <cellStyle name="Calculated Cell 2 4" xfId="16603"/>
    <cellStyle name="Calculated Cell 2 4 2" xfId="16604"/>
    <cellStyle name="Calculated Cell 2 4 2 2" xfId="16605"/>
    <cellStyle name="Calculated Cell 2 4 2 2 2" xfId="16606"/>
    <cellStyle name="Calculated Cell 2 4 2 3" xfId="16607"/>
    <cellStyle name="Calculated Cell 2 4 2 4" xfId="16608"/>
    <cellStyle name="Calculated Cell 2 4 3" xfId="16609"/>
    <cellStyle name="Calculated Cell 2 4 3 2" xfId="16610"/>
    <cellStyle name="Calculated Cell 2 4 4" xfId="16611"/>
    <cellStyle name="Calculated Cell 2 4 4 2" xfId="16612"/>
    <cellStyle name="Calculated Cell 2 4 4 2 2" xfId="16613"/>
    <cellStyle name="Calculated Cell 2 4 4 2 3" xfId="16614"/>
    <cellStyle name="Calculated Cell 2 4 4 3" xfId="16615"/>
    <cellStyle name="Calculated Cell 2 4 4 4" xfId="16616"/>
    <cellStyle name="Calculated Cell 2 4 5" xfId="16617"/>
    <cellStyle name="Calculated Cell 2 5" xfId="16618"/>
    <cellStyle name="Calculated Cell 2 5 2" xfId="16619"/>
    <cellStyle name="Calculated Cell 2 5 2 2" xfId="16620"/>
    <cellStyle name="Calculated Cell 2 5 2 2 2" xfId="16621"/>
    <cellStyle name="Calculated Cell 2 5 2 2 3" xfId="16622"/>
    <cellStyle name="Calculated Cell 2 5 2 3" xfId="16623"/>
    <cellStyle name="Calculated Cell 2 5 2 4" xfId="16624"/>
    <cellStyle name="Calculated Cell 2 5 3" xfId="16625"/>
    <cellStyle name="Calculated Cell 2 6" xfId="16626"/>
    <cellStyle name="Calculated Cell 2 6 2" xfId="16627"/>
    <cellStyle name="Calculated Cell 2 7" xfId="16628"/>
    <cellStyle name="Calculated Cell 2 7 2" xfId="16629"/>
    <cellStyle name="Calculated Cell 2 8" xfId="16630"/>
    <cellStyle name="Calculated Cell 2 8 2" xfId="16631"/>
    <cellStyle name="Calculated Cell 2 8 2 2" xfId="16632"/>
    <cellStyle name="Calculated Cell 2 8 2 3" xfId="16633"/>
    <cellStyle name="Calculated Cell 2 8 3" xfId="16634"/>
    <cellStyle name="Calculated Cell 2 8 4" xfId="16635"/>
    <cellStyle name="Calculated Cell 2 9" xfId="16636"/>
    <cellStyle name="Calculated Cell 2 9 2" xfId="16637"/>
    <cellStyle name="Calculated Cell 2 9 3" xfId="16638"/>
    <cellStyle name="Calculated Cell 3" xfId="16639"/>
    <cellStyle name="Calculated Cell 3 2" xfId="16640"/>
    <cellStyle name="Calculated Cell 3 2 2" xfId="16641"/>
    <cellStyle name="Calculated Cell 3 2 2 2" xfId="16642"/>
    <cellStyle name="Calculated Cell 3 2 2 2 2" xfId="16643"/>
    <cellStyle name="Calculated Cell 3 2 2 3" xfId="16644"/>
    <cellStyle name="Calculated Cell 3 2 2 4" xfId="16645"/>
    <cellStyle name="Calculated Cell 3 2 3" xfId="16646"/>
    <cellStyle name="Calculated Cell 3 2 3 2" xfId="16647"/>
    <cellStyle name="Calculated Cell 3 2 4" xfId="16648"/>
    <cellStyle name="Calculated Cell 3 2 4 2" xfId="16649"/>
    <cellStyle name="Calculated Cell 3 2 4 3" xfId="16650"/>
    <cellStyle name="Calculated Cell 3 2 5" xfId="16651"/>
    <cellStyle name="Calculated Cell 3 3" xfId="16652"/>
    <cellStyle name="Calculated Cell 3 3 2" xfId="16653"/>
    <cellStyle name="Calculated Cell 3 4" xfId="16654"/>
    <cellStyle name="Calculated Cell 3 4 2" xfId="16655"/>
    <cellStyle name="Calculated Cell 3 5" xfId="16656"/>
    <cellStyle name="Calculated Cell 4" xfId="16657"/>
    <cellStyle name="Calculated Cell 4 2" xfId="16658"/>
    <cellStyle name="Calculated Cell 4 2 2" xfId="16659"/>
    <cellStyle name="Calculated Cell 4 2 2 2" xfId="16660"/>
    <cellStyle name="Calculated Cell 4 2 2 3" xfId="16661"/>
    <cellStyle name="Calculated Cell 4 2 3" xfId="16662"/>
    <cellStyle name="Calculated Cell 4 3" xfId="16663"/>
    <cellStyle name="Calculated Cell 4 3 2" xfId="16664"/>
    <cellStyle name="Calculated Cell 4 4" xfId="16665"/>
    <cellStyle name="Calculated Cell 4 4 2" xfId="16666"/>
    <cellStyle name="Calculated Cell 4 5" xfId="16667"/>
    <cellStyle name="Calculated Cell 4 5 2" xfId="16668"/>
    <cellStyle name="Calculated Cell 4 5 3" xfId="16669"/>
    <cellStyle name="Calculated Cell 4 6" xfId="16670"/>
    <cellStyle name="Calculated Cell 5" xfId="16671"/>
    <cellStyle name="Calculated Cell 5 2" xfId="16672"/>
    <cellStyle name="Calculated Cell 5 2 2" xfId="16673"/>
    <cellStyle name="Calculated Cell 5 2 2 2" xfId="16674"/>
    <cellStyle name="Calculated Cell 5 2 2 3" xfId="16675"/>
    <cellStyle name="Calculated Cell 5 2 3" xfId="16676"/>
    <cellStyle name="Calculated Cell 5 3" xfId="16677"/>
    <cellStyle name="Calculated Cell 5 3 2" xfId="16678"/>
    <cellStyle name="Calculated Cell 5 4" xfId="16679"/>
    <cellStyle name="Calculated Cell 5 4 2" xfId="16680"/>
    <cellStyle name="Calculated Cell 5 5" xfId="16681"/>
    <cellStyle name="Calculated Cell 5 5 2" xfId="16682"/>
    <cellStyle name="Calculated Cell 5 5 3" xfId="16683"/>
    <cellStyle name="Calculated Cell 5 6" xfId="16684"/>
    <cellStyle name="Calculated Cell 6" xfId="16685"/>
    <cellStyle name="Calculated Cell 6 2" xfId="16686"/>
    <cellStyle name="Calculated Cell 6 2 2" xfId="16687"/>
    <cellStyle name="Calculated Cell 6 3" xfId="16688"/>
    <cellStyle name="Calculated Cell 6 3 2" xfId="16689"/>
    <cellStyle name="Calculated Cell 6 4" xfId="16690"/>
    <cellStyle name="Calculated Cell 7" xfId="16691"/>
    <cellStyle name="Calculated Cell 7 2" xfId="16692"/>
    <cellStyle name="Calculated Cell 8" xfId="16693"/>
    <cellStyle name="Calculated Cell 8 2" xfId="16694"/>
    <cellStyle name="Calculated Cell 9" xfId="16695"/>
    <cellStyle name="Calculation" xfId="35676" builtinId="22" customBuiltin="1"/>
    <cellStyle name="Calculation 10" xfId="16696"/>
    <cellStyle name="Calculation 2" xfId="58"/>
    <cellStyle name="Calculation 2 10" xfId="16697"/>
    <cellStyle name="Calculation 2 2" xfId="80"/>
    <cellStyle name="Calculation 2 2 10" xfId="16699"/>
    <cellStyle name="Calculation 2 2 10 2" xfId="16700"/>
    <cellStyle name="Calculation 2 2 10 2 2" xfId="16701"/>
    <cellStyle name="Calculation 2 2 10 3" xfId="16702"/>
    <cellStyle name="Calculation 2 2 11" xfId="16703"/>
    <cellStyle name="Calculation 2 2 11 2" xfId="16704"/>
    <cellStyle name="Calculation 2 2 12" xfId="16705"/>
    <cellStyle name="Calculation 2 2 13" xfId="16698"/>
    <cellStyle name="Calculation 2 2 14" xfId="35934"/>
    <cellStyle name="Calculation 2 2 2" xfId="16706"/>
    <cellStyle name="Calculation 2 2 2 2" xfId="16707"/>
    <cellStyle name="Calculation 2 2 2 2 2" xfId="16708"/>
    <cellStyle name="Calculation 2 2 2 2 2 2" xfId="16709"/>
    <cellStyle name="Calculation 2 2 2 2 2 2 2" xfId="16710"/>
    <cellStyle name="Calculation 2 2 2 2 2 3" xfId="16711"/>
    <cellStyle name="Calculation 2 2 2 2 2 3 2" xfId="16712"/>
    <cellStyle name="Calculation 2 2 2 2 2 4" xfId="16713"/>
    <cellStyle name="Calculation 2 2 2 2 3" xfId="16714"/>
    <cellStyle name="Calculation 2 2 2 2 3 2" xfId="16715"/>
    <cellStyle name="Calculation 2 2 2 2 3 2 2" xfId="16716"/>
    <cellStyle name="Calculation 2 2 2 2 3 3" xfId="16717"/>
    <cellStyle name="Calculation 2 2 2 2 4" xfId="16718"/>
    <cellStyle name="Calculation 2 2 2 3" xfId="16719"/>
    <cellStyle name="Calculation 2 2 2 3 2" xfId="16720"/>
    <cellStyle name="Calculation 2 2 2 3 2 2" xfId="16721"/>
    <cellStyle name="Calculation 2 2 2 3 3" xfId="16722"/>
    <cellStyle name="Calculation 2 2 2 4" xfId="16723"/>
    <cellStyle name="Calculation 2 2 2 4 2" xfId="16724"/>
    <cellStyle name="Calculation 2 2 2 4 2 2" xfId="16725"/>
    <cellStyle name="Calculation 2 2 2 4 3" xfId="16726"/>
    <cellStyle name="Calculation 2 2 2 4 3 2" xfId="16727"/>
    <cellStyle name="Calculation 2 2 2 4 4" xfId="16728"/>
    <cellStyle name="Calculation 2 2 2 5" xfId="16729"/>
    <cellStyle name="Calculation 2 2 2 5 2" xfId="16730"/>
    <cellStyle name="Calculation 2 2 2 5 2 2" xfId="16731"/>
    <cellStyle name="Calculation 2 2 2 5 3" xfId="16732"/>
    <cellStyle name="Calculation 2 2 2 6" xfId="16733"/>
    <cellStyle name="Calculation 2 2 3" xfId="16734"/>
    <cellStyle name="Calculation 2 2 3 2" xfId="16735"/>
    <cellStyle name="Calculation 2 2 3 2 2" xfId="16736"/>
    <cellStyle name="Calculation 2 2 3 2 2 2" xfId="16737"/>
    <cellStyle name="Calculation 2 2 3 2 2 2 2" xfId="16738"/>
    <cellStyle name="Calculation 2 2 3 2 2 3" xfId="16739"/>
    <cellStyle name="Calculation 2 2 3 2 2 3 2" xfId="16740"/>
    <cellStyle name="Calculation 2 2 3 2 2 4" xfId="16741"/>
    <cellStyle name="Calculation 2 2 3 2 3" xfId="16742"/>
    <cellStyle name="Calculation 2 2 3 2 3 2" xfId="16743"/>
    <cellStyle name="Calculation 2 2 3 2 3 2 2" xfId="16744"/>
    <cellStyle name="Calculation 2 2 3 2 3 3" xfId="16745"/>
    <cellStyle name="Calculation 2 2 3 2 4" xfId="16746"/>
    <cellStyle name="Calculation 2 2 3 3" xfId="16747"/>
    <cellStyle name="Calculation 2 2 3 3 2" xfId="16748"/>
    <cellStyle name="Calculation 2 2 3 3 2 2" xfId="16749"/>
    <cellStyle name="Calculation 2 2 3 3 3" xfId="16750"/>
    <cellStyle name="Calculation 2 2 3 4" xfId="16751"/>
    <cellStyle name="Calculation 2 2 3 4 2" xfId="16752"/>
    <cellStyle name="Calculation 2 2 3 4 2 2" xfId="16753"/>
    <cellStyle name="Calculation 2 2 3 4 3" xfId="16754"/>
    <cellStyle name="Calculation 2 2 3 4 3 2" xfId="16755"/>
    <cellStyle name="Calculation 2 2 3 4 4" xfId="16756"/>
    <cellStyle name="Calculation 2 2 3 5" xfId="16757"/>
    <cellStyle name="Calculation 2 2 3 5 2" xfId="16758"/>
    <cellStyle name="Calculation 2 2 3 5 2 2" xfId="16759"/>
    <cellStyle name="Calculation 2 2 3 5 3" xfId="16760"/>
    <cellStyle name="Calculation 2 2 3 6" xfId="16761"/>
    <cellStyle name="Calculation 2 2 4" xfId="16762"/>
    <cellStyle name="Calculation 2 2 4 2" xfId="16763"/>
    <cellStyle name="Calculation 2 2 4 2 2" xfId="16764"/>
    <cellStyle name="Calculation 2 2 4 2 2 2" xfId="16765"/>
    <cellStyle name="Calculation 2 2 4 2 3" xfId="16766"/>
    <cellStyle name="Calculation 2 2 4 3" xfId="16767"/>
    <cellStyle name="Calculation 2 2 4 3 2" xfId="16768"/>
    <cellStyle name="Calculation 2 2 4 3 2 2" xfId="16769"/>
    <cellStyle name="Calculation 2 2 4 3 3" xfId="16770"/>
    <cellStyle name="Calculation 2 2 4 4" xfId="16771"/>
    <cellStyle name="Calculation 2 2 4 4 2" xfId="16772"/>
    <cellStyle name="Calculation 2 2 4 4 2 2" xfId="16773"/>
    <cellStyle name="Calculation 2 2 4 4 3" xfId="16774"/>
    <cellStyle name="Calculation 2 2 4 4 3 2" xfId="16775"/>
    <cellStyle name="Calculation 2 2 4 4 4" xfId="16776"/>
    <cellStyle name="Calculation 2 2 4 5" xfId="16777"/>
    <cellStyle name="Calculation 2 2 4 5 2" xfId="16778"/>
    <cellStyle name="Calculation 2 2 4 5 2 2" xfId="16779"/>
    <cellStyle name="Calculation 2 2 4 5 3" xfId="16780"/>
    <cellStyle name="Calculation 2 2 4 6" xfId="16781"/>
    <cellStyle name="Calculation 2 2 5" xfId="16782"/>
    <cellStyle name="Calculation 2 2 5 2" xfId="16783"/>
    <cellStyle name="Calculation 2 2 5 2 2" xfId="16784"/>
    <cellStyle name="Calculation 2 2 5 2 2 2" xfId="16785"/>
    <cellStyle name="Calculation 2 2 5 2 3" xfId="16786"/>
    <cellStyle name="Calculation 2 2 5 3" xfId="16787"/>
    <cellStyle name="Calculation 2 2 5 3 2" xfId="16788"/>
    <cellStyle name="Calculation 2 2 5 3 2 2" xfId="16789"/>
    <cellStyle name="Calculation 2 2 5 3 3" xfId="16790"/>
    <cellStyle name="Calculation 2 2 5 4" xfId="16791"/>
    <cellStyle name="Calculation 2 2 5 4 2" xfId="16792"/>
    <cellStyle name="Calculation 2 2 5 5" xfId="16793"/>
    <cellStyle name="Calculation 2 2 6" xfId="16794"/>
    <cellStyle name="Calculation 2 2 6 2" xfId="16795"/>
    <cellStyle name="Calculation 2 2 6 2 2" xfId="16796"/>
    <cellStyle name="Calculation 2 2 6 3" xfId="16797"/>
    <cellStyle name="Calculation 2 2 7" xfId="16798"/>
    <cellStyle name="Calculation 2 2 7 2" xfId="16799"/>
    <cellStyle name="Calculation 2 2 7 2 2" xfId="16800"/>
    <cellStyle name="Calculation 2 2 7 3" xfId="16801"/>
    <cellStyle name="Calculation 2 2 8" xfId="16802"/>
    <cellStyle name="Calculation 2 2 8 2" xfId="16803"/>
    <cellStyle name="Calculation 2 2 8 2 2" xfId="16804"/>
    <cellStyle name="Calculation 2 2 8 3" xfId="16805"/>
    <cellStyle name="Calculation 2 2 9" xfId="16806"/>
    <cellStyle name="Calculation 2 2 9 2" xfId="16807"/>
    <cellStyle name="Calculation 2 2 9 2 2" xfId="16808"/>
    <cellStyle name="Calculation 2 2 9 3" xfId="16809"/>
    <cellStyle name="Calculation 2 2 9 3 2" xfId="16810"/>
    <cellStyle name="Calculation 2 2 9 4" xfId="16811"/>
    <cellStyle name="Calculation 2 3" xfId="179"/>
    <cellStyle name="Calculation 2 3 10" xfId="16812"/>
    <cellStyle name="Calculation 2 3 10 2" xfId="16813"/>
    <cellStyle name="Calculation 2 3 10 2 2" xfId="16814"/>
    <cellStyle name="Calculation 2 3 10 3" xfId="16815"/>
    <cellStyle name="Calculation 2 3 10 3 2" xfId="16816"/>
    <cellStyle name="Calculation 2 3 10 4" xfId="16817"/>
    <cellStyle name="Calculation 2 3 11" xfId="16818"/>
    <cellStyle name="Calculation 2 3 11 2" xfId="16819"/>
    <cellStyle name="Calculation 2 3 11 2 2" xfId="16820"/>
    <cellStyle name="Calculation 2 3 11 3" xfId="16821"/>
    <cellStyle name="Calculation 2 3 12" xfId="16822"/>
    <cellStyle name="Calculation 2 3 12 2" xfId="16823"/>
    <cellStyle name="Calculation 2 3 13" xfId="35935"/>
    <cellStyle name="Calculation 2 3 2" xfId="16824"/>
    <cellStyle name="Calculation 2 3 2 2" xfId="16825"/>
    <cellStyle name="Calculation 2 3 2 2 2" xfId="16826"/>
    <cellStyle name="Calculation 2 3 2 2 2 2" xfId="16827"/>
    <cellStyle name="Calculation 2 3 2 2 2 2 2" xfId="16828"/>
    <cellStyle name="Calculation 2 3 2 2 2 3" xfId="16829"/>
    <cellStyle name="Calculation 2 3 2 2 2 3 2" xfId="16830"/>
    <cellStyle name="Calculation 2 3 2 2 2 4" xfId="16831"/>
    <cellStyle name="Calculation 2 3 2 2 3" xfId="16832"/>
    <cellStyle name="Calculation 2 3 2 2 3 2" xfId="16833"/>
    <cellStyle name="Calculation 2 3 2 2 3 2 2" xfId="16834"/>
    <cellStyle name="Calculation 2 3 2 2 3 3" xfId="16835"/>
    <cellStyle name="Calculation 2 3 2 2 4" xfId="16836"/>
    <cellStyle name="Calculation 2 3 2 3" xfId="16837"/>
    <cellStyle name="Calculation 2 3 2 3 2" xfId="16838"/>
    <cellStyle name="Calculation 2 3 2 3 2 2" xfId="16839"/>
    <cellStyle name="Calculation 2 3 2 3 3" xfId="16840"/>
    <cellStyle name="Calculation 2 3 2 4" xfId="16841"/>
    <cellStyle name="Calculation 2 3 2 4 2" xfId="16842"/>
    <cellStyle name="Calculation 2 3 2 4 2 2" xfId="16843"/>
    <cellStyle name="Calculation 2 3 2 4 3" xfId="16844"/>
    <cellStyle name="Calculation 2 3 2 4 3 2" xfId="16845"/>
    <cellStyle name="Calculation 2 3 2 4 4" xfId="16846"/>
    <cellStyle name="Calculation 2 3 2 5" xfId="16847"/>
    <cellStyle name="Calculation 2 3 2 5 2" xfId="16848"/>
    <cellStyle name="Calculation 2 3 2 5 2 2" xfId="16849"/>
    <cellStyle name="Calculation 2 3 2 5 3" xfId="16850"/>
    <cellStyle name="Calculation 2 3 2 6" xfId="16851"/>
    <cellStyle name="Calculation 2 3 3" xfId="16852"/>
    <cellStyle name="Calculation 2 3 3 2" xfId="16853"/>
    <cellStyle name="Calculation 2 3 3 2 2" xfId="16854"/>
    <cellStyle name="Calculation 2 3 3 2 2 2" xfId="16855"/>
    <cellStyle name="Calculation 2 3 3 2 2 2 2" xfId="16856"/>
    <cellStyle name="Calculation 2 3 3 2 2 3" xfId="16857"/>
    <cellStyle name="Calculation 2 3 3 2 2 3 2" xfId="16858"/>
    <cellStyle name="Calculation 2 3 3 2 2 4" xfId="16859"/>
    <cellStyle name="Calculation 2 3 3 2 3" xfId="16860"/>
    <cellStyle name="Calculation 2 3 3 2 3 2" xfId="16861"/>
    <cellStyle name="Calculation 2 3 3 2 3 2 2" xfId="16862"/>
    <cellStyle name="Calculation 2 3 3 2 3 3" xfId="16863"/>
    <cellStyle name="Calculation 2 3 3 2 4" xfId="16864"/>
    <cellStyle name="Calculation 2 3 3 3" xfId="16865"/>
    <cellStyle name="Calculation 2 3 3 3 2" xfId="16866"/>
    <cellStyle name="Calculation 2 3 3 3 2 2" xfId="16867"/>
    <cellStyle name="Calculation 2 3 3 3 3" xfId="16868"/>
    <cellStyle name="Calculation 2 3 3 4" xfId="16869"/>
    <cellStyle name="Calculation 2 3 3 4 2" xfId="16870"/>
    <cellStyle name="Calculation 2 3 3 4 2 2" xfId="16871"/>
    <cellStyle name="Calculation 2 3 3 4 3" xfId="16872"/>
    <cellStyle name="Calculation 2 3 3 4 3 2" xfId="16873"/>
    <cellStyle name="Calculation 2 3 3 4 4" xfId="16874"/>
    <cellStyle name="Calculation 2 3 3 5" xfId="16875"/>
    <cellStyle name="Calculation 2 3 3 5 2" xfId="16876"/>
    <cellStyle name="Calculation 2 3 3 5 2 2" xfId="16877"/>
    <cellStyle name="Calculation 2 3 3 5 3" xfId="16878"/>
    <cellStyle name="Calculation 2 3 3 6" xfId="16879"/>
    <cellStyle name="Calculation 2 3 4" xfId="16880"/>
    <cellStyle name="Calculation 2 3 4 2" xfId="16881"/>
    <cellStyle name="Calculation 2 3 4 2 2" xfId="16882"/>
    <cellStyle name="Calculation 2 3 4 2 2 2" xfId="16883"/>
    <cellStyle name="Calculation 2 3 4 2 3" xfId="16884"/>
    <cellStyle name="Calculation 2 3 4 3" xfId="16885"/>
    <cellStyle name="Calculation 2 3 4 3 2" xfId="16886"/>
    <cellStyle name="Calculation 2 3 4 3 2 2" xfId="16887"/>
    <cellStyle name="Calculation 2 3 4 3 3" xfId="16888"/>
    <cellStyle name="Calculation 2 3 4 4" xfId="16889"/>
    <cellStyle name="Calculation 2 3 4 4 2" xfId="16890"/>
    <cellStyle name="Calculation 2 3 4 4 2 2" xfId="16891"/>
    <cellStyle name="Calculation 2 3 4 4 3" xfId="16892"/>
    <cellStyle name="Calculation 2 3 4 4 3 2" xfId="16893"/>
    <cellStyle name="Calculation 2 3 4 4 4" xfId="16894"/>
    <cellStyle name="Calculation 2 3 4 5" xfId="16895"/>
    <cellStyle name="Calculation 2 3 4 5 2" xfId="16896"/>
    <cellStyle name="Calculation 2 3 4 5 2 2" xfId="16897"/>
    <cellStyle name="Calculation 2 3 4 5 3" xfId="16898"/>
    <cellStyle name="Calculation 2 3 4 6" xfId="16899"/>
    <cellStyle name="Calculation 2 3 5" xfId="16900"/>
    <cellStyle name="Calculation 2 3 5 2" xfId="16901"/>
    <cellStyle name="Calculation 2 3 5 2 2" xfId="16902"/>
    <cellStyle name="Calculation 2 3 5 2 2 2" xfId="16903"/>
    <cellStyle name="Calculation 2 3 5 2 3" xfId="16904"/>
    <cellStyle name="Calculation 2 3 5 3" xfId="16905"/>
    <cellStyle name="Calculation 2 3 5 3 2" xfId="16906"/>
    <cellStyle name="Calculation 2 3 5 3 2 2" xfId="16907"/>
    <cellStyle name="Calculation 2 3 5 3 3" xfId="16908"/>
    <cellStyle name="Calculation 2 3 5 4" xfId="16909"/>
    <cellStyle name="Calculation 2 3 5 4 2" xfId="16910"/>
    <cellStyle name="Calculation 2 3 5 5" xfId="16911"/>
    <cellStyle name="Calculation 2 3 6" xfId="16912"/>
    <cellStyle name="Calculation 2 3 6 2" xfId="16913"/>
    <cellStyle name="Calculation 2 3 6 2 2" xfId="16914"/>
    <cellStyle name="Calculation 2 3 6 3" xfId="16915"/>
    <cellStyle name="Calculation 2 3 7" xfId="16916"/>
    <cellStyle name="Calculation 2 3 7 2" xfId="16917"/>
    <cellStyle name="Calculation 2 3 7 2 2" xfId="16918"/>
    <cellStyle name="Calculation 2 3 7 3" xfId="16919"/>
    <cellStyle name="Calculation 2 3 8" xfId="16920"/>
    <cellStyle name="Calculation 2 3 9" xfId="16921"/>
    <cellStyle name="Calculation 2 3 9 2" xfId="16922"/>
    <cellStyle name="Calculation 2 3 9 2 2" xfId="16923"/>
    <cellStyle name="Calculation 2 3 9 3" xfId="16924"/>
    <cellStyle name="Calculation 2 4" xfId="16925"/>
    <cellStyle name="Calculation 2 4 2" xfId="16926"/>
    <cellStyle name="Calculation 2 4 2 2" xfId="16927"/>
    <cellStyle name="Calculation 2 4 2 2 2" xfId="16928"/>
    <cellStyle name="Calculation 2 4 2 2 2 2" xfId="16929"/>
    <cellStyle name="Calculation 2 4 2 2 3" xfId="16930"/>
    <cellStyle name="Calculation 2 4 2 3" xfId="16931"/>
    <cellStyle name="Calculation 2 4 2 3 2" xfId="16932"/>
    <cellStyle name="Calculation 2 4 2 3 2 2" xfId="16933"/>
    <cellStyle name="Calculation 2 4 2 3 3" xfId="16934"/>
    <cellStyle name="Calculation 2 4 2 4" xfId="16935"/>
    <cellStyle name="Calculation 2 4 2 4 2" xfId="16936"/>
    <cellStyle name="Calculation 2 4 2 5" xfId="16937"/>
    <cellStyle name="Calculation 2 4 3" xfId="16938"/>
    <cellStyle name="Calculation 2 4 3 2" xfId="16939"/>
    <cellStyle name="Calculation 2 4 3 2 2" xfId="16940"/>
    <cellStyle name="Calculation 2 4 3 3" xfId="16941"/>
    <cellStyle name="Calculation 2 4 4" xfId="16942"/>
    <cellStyle name="Calculation 2 4 4 2" xfId="16943"/>
    <cellStyle name="Calculation 2 4 4 2 2" xfId="16944"/>
    <cellStyle name="Calculation 2 4 4 3" xfId="16945"/>
    <cellStyle name="Calculation 2 4 5" xfId="16946"/>
    <cellStyle name="Calculation 2 4 5 2" xfId="16947"/>
    <cellStyle name="Calculation 2 4 5 2 2" xfId="16948"/>
    <cellStyle name="Calculation 2 4 5 3" xfId="16949"/>
    <cellStyle name="Calculation 2 4 6" xfId="16950"/>
    <cellStyle name="Calculation 2 4 6 2" xfId="16951"/>
    <cellStyle name="Calculation 2 4 7" xfId="16952"/>
    <cellStyle name="Calculation 2 5" xfId="16953"/>
    <cellStyle name="Calculation 2 5 2" xfId="16954"/>
    <cellStyle name="Calculation 2 5 2 2" xfId="16955"/>
    <cellStyle name="Calculation 2 5 3" xfId="16956"/>
    <cellStyle name="Calculation 2 6" xfId="16957"/>
    <cellStyle name="Calculation 2 6 2" xfId="16958"/>
    <cellStyle name="Calculation 2 6 2 2" xfId="16959"/>
    <cellStyle name="Calculation 2 6 3" xfId="16960"/>
    <cellStyle name="Calculation 2 7" xfId="16961"/>
    <cellStyle name="Calculation 2 7 2" xfId="16962"/>
    <cellStyle name="Calculation 2 7 2 2" xfId="16963"/>
    <cellStyle name="Calculation 2 7 3" xfId="16964"/>
    <cellStyle name="Calculation 2 8" xfId="16965"/>
    <cellStyle name="Calculation 2 9" xfId="35542"/>
    <cellStyle name="Calculation 3" xfId="131"/>
    <cellStyle name="Calculation 3 10" xfId="16967"/>
    <cellStyle name="Calculation 3 11" xfId="35543"/>
    <cellStyle name="Calculation 3 12" xfId="16966"/>
    <cellStyle name="Calculation 3 2" xfId="16968"/>
    <cellStyle name="Calculation 3 2 2" xfId="16969"/>
    <cellStyle name="Calculation 3 2 2 2" xfId="16970"/>
    <cellStyle name="Calculation 3 2 2 2 2" xfId="16971"/>
    <cellStyle name="Calculation 3 2 2 2 2 2" xfId="16972"/>
    <cellStyle name="Calculation 3 2 2 2 3" xfId="16973"/>
    <cellStyle name="Calculation 3 2 2 2 3 2" xfId="16974"/>
    <cellStyle name="Calculation 3 2 2 2 4" xfId="16975"/>
    <cellStyle name="Calculation 3 2 2 3" xfId="16976"/>
    <cellStyle name="Calculation 3 2 2 3 2" xfId="16977"/>
    <cellStyle name="Calculation 3 2 2 3 2 2" xfId="16978"/>
    <cellStyle name="Calculation 3 2 2 3 3" xfId="16979"/>
    <cellStyle name="Calculation 3 2 2 4" xfId="16980"/>
    <cellStyle name="Calculation 3 2 3" xfId="16981"/>
    <cellStyle name="Calculation 3 2 3 2" xfId="16982"/>
    <cellStyle name="Calculation 3 2 3 2 2" xfId="16983"/>
    <cellStyle name="Calculation 3 2 3 3" xfId="16984"/>
    <cellStyle name="Calculation 3 2 4" xfId="16985"/>
    <cellStyle name="Calculation 3 2 4 2" xfId="16986"/>
    <cellStyle name="Calculation 3 2 4 2 2" xfId="16987"/>
    <cellStyle name="Calculation 3 2 4 3" xfId="16988"/>
    <cellStyle name="Calculation 3 2 4 3 2" xfId="16989"/>
    <cellStyle name="Calculation 3 2 4 4" xfId="16990"/>
    <cellStyle name="Calculation 3 2 5" xfId="16991"/>
    <cellStyle name="Calculation 3 2 5 2" xfId="16992"/>
    <cellStyle name="Calculation 3 2 5 2 2" xfId="16993"/>
    <cellStyle name="Calculation 3 2 5 3" xfId="16994"/>
    <cellStyle name="Calculation 3 2 6" xfId="16995"/>
    <cellStyle name="Calculation 3 3" xfId="16996"/>
    <cellStyle name="Calculation 3 3 2" xfId="16997"/>
    <cellStyle name="Calculation 3 3 2 2" xfId="16998"/>
    <cellStyle name="Calculation 3 3 2 2 2" xfId="16999"/>
    <cellStyle name="Calculation 3 3 2 2 2 2" xfId="17000"/>
    <cellStyle name="Calculation 3 3 2 2 3" xfId="17001"/>
    <cellStyle name="Calculation 3 3 2 2 3 2" xfId="17002"/>
    <cellStyle name="Calculation 3 3 2 2 4" xfId="17003"/>
    <cellStyle name="Calculation 3 3 2 3" xfId="17004"/>
    <cellStyle name="Calculation 3 3 2 3 2" xfId="17005"/>
    <cellStyle name="Calculation 3 3 2 3 2 2" xfId="17006"/>
    <cellStyle name="Calculation 3 3 2 3 3" xfId="17007"/>
    <cellStyle name="Calculation 3 3 2 4" xfId="17008"/>
    <cellStyle name="Calculation 3 3 3" xfId="17009"/>
    <cellStyle name="Calculation 3 3 3 2" xfId="17010"/>
    <cellStyle name="Calculation 3 3 3 2 2" xfId="17011"/>
    <cellStyle name="Calculation 3 3 3 3" xfId="17012"/>
    <cellStyle name="Calculation 3 3 4" xfId="17013"/>
    <cellStyle name="Calculation 3 3 4 2" xfId="17014"/>
    <cellStyle name="Calculation 3 3 4 2 2" xfId="17015"/>
    <cellStyle name="Calculation 3 3 4 3" xfId="17016"/>
    <cellStyle name="Calculation 3 3 4 3 2" xfId="17017"/>
    <cellStyle name="Calculation 3 3 4 4" xfId="17018"/>
    <cellStyle name="Calculation 3 3 5" xfId="17019"/>
    <cellStyle name="Calculation 3 3 5 2" xfId="17020"/>
    <cellStyle name="Calculation 3 3 5 2 2" xfId="17021"/>
    <cellStyle name="Calculation 3 3 5 3" xfId="17022"/>
    <cellStyle name="Calculation 3 3 6" xfId="17023"/>
    <cellStyle name="Calculation 3 4" xfId="17024"/>
    <cellStyle name="Calculation 3 4 2" xfId="17025"/>
    <cellStyle name="Calculation 3 4 2 2" xfId="17026"/>
    <cellStyle name="Calculation 3 4 2 2 2" xfId="17027"/>
    <cellStyle name="Calculation 3 4 2 3" xfId="17028"/>
    <cellStyle name="Calculation 3 4 3" xfId="17029"/>
    <cellStyle name="Calculation 3 4 3 2" xfId="17030"/>
    <cellStyle name="Calculation 3 4 3 2 2" xfId="17031"/>
    <cellStyle name="Calculation 3 4 3 3" xfId="17032"/>
    <cellStyle name="Calculation 3 4 4" xfId="17033"/>
    <cellStyle name="Calculation 3 4 4 2" xfId="17034"/>
    <cellStyle name="Calculation 3 4 4 2 2" xfId="17035"/>
    <cellStyle name="Calculation 3 4 4 3" xfId="17036"/>
    <cellStyle name="Calculation 3 4 4 3 2" xfId="17037"/>
    <cellStyle name="Calculation 3 4 4 4" xfId="17038"/>
    <cellStyle name="Calculation 3 4 5" xfId="17039"/>
    <cellStyle name="Calculation 3 4 5 2" xfId="17040"/>
    <cellStyle name="Calculation 3 4 5 2 2" xfId="17041"/>
    <cellStyle name="Calculation 3 4 5 3" xfId="17042"/>
    <cellStyle name="Calculation 3 4 6" xfId="17043"/>
    <cellStyle name="Calculation 3 5" xfId="17044"/>
    <cellStyle name="Calculation 3 5 2" xfId="17045"/>
    <cellStyle name="Calculation 3 5 2 2" xfId="17046"/>
    <cellStyle name="Calculation 3 5 2 2 2" xfId="17047"/>
    <cellStyle name="Calculation 3 5 2 3" xfId="17048"/>
    <cellStyle name="Calculation 3 5 3" xfId="17049"/>
    <cellStyle name="Calculation 3 5 3 2" xfId="17050"/>
    <cellStyle name="Calculation 3 5 3 2 2" xfId="17051"/>
    <cellStyle name="Calculation 3 5 3 3" xfId="17052"/>
    <cellStyle name="Calculation 3 5 4" xfId="17053"/>
    <cellStyle name="Calculation 3 5 4 2" xfId="17054"/>
    <cellStyle name="Calculation 3 5 5" xfId="17055"/>
    <cellStyle name="Calculation 3 6" xfId="17056"/>
    <cellStyle name="Calculation 3 6 2" xfId="17057"/>
    <cellStyle name="Calculation 3 6 2 2" xfId="17058"/>
    <cellStyle name="Calculation 3 6 3" xfId="17059"/>
    <cellStyle name="Calculation 3 7" xfId="17060"/>
    <cellStyle name="Calculation 3 7 2" xfId="17061"/>
    <cellStyle name="Calculation 3 7 2 2" xfId="17062"/>
    <cellStyle name="Calculation 3 7 3" xfId="17063"/>
    <cellStyle name="Calculation 3 8" xfId="17064"/>
    <cellStyle name="Calculation 3 8 2" xfId="17065"/>
    <cellStyle name="Calculation 3 8 2 2" xfId="17066"/>
    <cellStyle name="Calculation 3 8 3" xfId="17067"/>
    <cellStyle name="Calculation 3 8 3 2" xfId="17068"/>
    <cellStyle name="Calculation 3 8 4" xfId="17069"/>
    <cellStyle name="Calculation 3 9" xfId="17070"/>
    <cellStyle name="Calculation 3 9 2" xfId="17071"/>
    <cellStyle name="Calculation 3 9 2 2" xfId="17072"/>
    <cellStyle name="Calculation 3 9 3" xfId="17073"/>
    <cellStyle name="Calculation 4" xfId="241"/>
    <cellStyle name="Calculation 4 10" xfId="17075"/>
    <cellStyle name="Calculation 4 10 2" xfId="17076"/>
    <cellStyle name="Calculation 4 10 2 2" xfId="17077"/>
    <cellStyle name="Calculation 4 10 3" xfId="17078"/>
    <cellStyle name="Calculation 4 11" xfId="17079"/>
    <cellStyle name="Calculation 4 11 2" xfId="17080"/>
    <cellStyle name="Calculation 4 12" xfId="35544"/>
    <cellStyle name="Calculation 4 13" xfId="17074"/>
    <cellStyle name="Calculation 4 2" xfId="17081"/>
    <cellStyle name="Calculation 4 2 2" xfId="17082"/>
    <cellStyle name="Calculation 4 2 2 2" xfId="17083"/>
    <cellStyle name="Calculation 4 2 2 2 2" xfId="17084"/>
    <cellStyle name="Calculation 4 2 2 2 2 2" xfId="17085"/>
    <cellStyle name="Calculation 4 2 2 2 3" xfId="17086"/>
    <cellStyle name="Calculation 4 2 2 2 3 2" xfId="17087"/>
    <cellStyle name="Calculation 4 2 2 2 4" xfId="17088"/>
    <cellStyle name="Calculation 4 2 2 3" xfId="17089"/>
    <cellStyle name="Calculation 4 2 2 3 2" xfId="17090"/>
    <cellStyle name="Calculation 4 2 2 3 2 2" xfId="17091"/>
    <cellStyle name="Calculation 4 2 2 3 3" xfId="17092"/>
    <cellStyle name="Calculation 4 2 2 4" xfId="17093"/>
    <cellStyle name="Calculation 4 2 3" xfId="17094"/>
    <cellStyle name="Calculation 4 2 3 2" xfId="17095"/>
    <cellStyle name="Calculation 4 2 3 2 2" xfId="17096"/>
    <cellStyle name="Calculation 4 2 3 3" xfId="17097"/>
    <cellStyle name="Calculation 4 2 4" xfId="17098"/>
    <cellStyle name="Calculation 4 2 4 2" xfId="17099"/>
    <cellStyle name="Calculation 4 2 4 2 2" xfId="17100"/>
    <cellStyle name="Calculation 4 2 4 3" xfId="17101"/>
    <cellStyle name="Calculation 4 2 4 3 2" xfId="17102"/>
    <cellStyle name="Calculation 4 2 4 4" xfId="17103"/>
    <cellStyle name="Calculation 4 2 5" xfId="17104"/>
    <cellStyle name="Calculation 4 2 5 2" xfId="17105"/>
    <cellStyle name="Calculation 4 2 5 2 2" xfId="17106"/>
    <cellStyle name="Calculation 4 2 5 3" xfId="17107"/>
    <cellStyle name="Calculation 4 2 6" xfId="17108"/>
    <cellStyle name="Calculation 4 3" xfId="17109"/>
    <cellStyle name="Calculation 4 3 2" xfId="17110"/>
    <cellStyle name="Calculation 4 3 2 2" xfId="17111"/>
    <cellStyle name="Calculation 4 3 2 2 2" xfId="17112"/>
    <cellStyle name="Calculation 4 3 2 2 2 2" xfId="17113"/>
    <cellStyle name="Calculation 4 3 2 2 3" xfId="17114"/>
    <cellStyle name="Calculation 4 3 2 2 3 2" xfId="17115"/>
    <cellStyle name="Calculation 4 3 2 2 4" xfId="17116"/>
    <cellStyle name="Calculation 4 3 2 3" xfId="17117"/>
    <cellStyle name="Calculation 4 3 2 3 2" xfId="17118"/>
    <cellStyle name="Calculation 4 3 2 3 2 2" xfId="17119"/>
    <cellStyle name="Calculation 4 3 2 3 3" xfId="17120"/>
    <cellStyle name="Calculation 4 3 2 4" xfId="17121"/>
    <cellStyle name="Calculation 4 3 3" xfId="17122"/>
    <cellStyle name="Calculation 4 3 3 2" xfId="17123"/>
    <cellStyle name="Calculation 4 3 3 2 2" xfId="17124"/>
    <cellStyle name="Calculation 4 3 3 3" xfId="17125"/>
    <cellStyle name="Calculation 4 3 4" xfId="17126"/>
    <cellStyle name="Calculation 4 3 4 2" xfId="17127"/>
    <cellStyle name="Calculation 4 3 4 2 2" xfId="17128"/>
    <cellStyle name="Calculation 4 3 4 3" xfId="17129"/>
    <cellStyle name="Calculation 4 3 4 3 2" xfId="17130"/>
    <cellStyle name="Calculation 4 3 4 4" xfId="17131"/>
    <cellStyle name="Calculation 4 3 5" xfId="17132"/>
    <cellStyle name="Calculation 4 3 5 2" xfId="17133"/>
    <cellStyle name="Calculation 4 3 5 2 2" xfId="17134"/>
    <cellStyle name="Calculation 4 3 5 3" xfId="17135"/>
    <cellStyle name="Calculation 4 3 6" xfId="17136"/>
    <cellStyle name="Calculation 4 4" xfId="17137"/>
    <cellStyle name="Calculation 4 4 2" xfId="17138"/>
    <cellStyle name="Calculation 4 4 2 2" xfId="17139"/>
    <cellStyle name="Calculation 4 4 2 2 2" xfId="17140"/>
    <cellStyle name="Calculation 4 4 2 3" xfId="17141"/>
    <cellStyle name="Calculation 4 4 3" xfId="17142"/>
    <cellStyle name="Calculation 4 4 3 2" xfId="17143"/>
    <cellStyle name="Calculation 4 4 3 2 2" xfId="17144"/>
    <cellStyle name="Calculation 4 4 3 3" xfId="17145"/>
    <cellStyle name="Calculation 4 4 4" xfId="17146"/>
    <cellStyle name="Calculation 4 4 4 2" xfId="17147"/>
    <cellStyle name="Calculation 4 4 4 2 2" xfId="17148"/>
    <cellStyle name="Calculation 4 4 4 3" xfId="17149"/>
    <cellStyle name="Calculation 4 4 4 3 2" xfId="17150"/>
    <cellStyle name="Calculation 4 4 4 4" xfId="17151"/>
    <cellStyle name="Calculation 4 4 5" xfId="17152"/>
    <cellStyle name="Calculation 4 4 5 2" xfId="17153"/>
    <cellStyle name="Calculation 4 4 5 2 2" xfId="17154"/>
    <cellStyle name="Calculation 4 4 5 3" xfId="17155"/>
    <cellStyle name="Calculation 4 4 6" xfId="17156"/>
    <cellStyle name="Calculation 4 5" xfId="17157"/>
    <cellStyle name="Calculation 4 5 2" xfId="17158"/>
    <cellStyle name="Calculation 4 5 2 2" xfId="17159"/>
    <cellStyle name="Calculation 4 5 2 2 2" xfId="17160"/>
    <cellStyle name="Calculation 4 5 2 3" xfId="17161"/>
    <cellStyle name="Calculation 4 5 3" xfId="17162"/>
    <cellStyle name="Calculation 4 5 3 2" xfId="17163"/>
    <cellStyle name="Calculation 4 5 3 2 2" xfId="17164"/>
    <cellStyle name="Calculation 4 5 3 3" xfId="17165"/>
    <cellStyle name="Calculation 4 5 4" xfId="17166"/>
    <cellStyle name="Calculation 4 5 4 2" xfId="17167"/>
    <cellStyle name="Calculation 4 5 5" xfId="17168"/>
    <cellStyle name="Calculation 4 6" xfId="17169"/>
    <cellStyle name="Calculation 4 6 2" xfId="17170"/>
    <cellStyle name="Calculation 4 6 2 2" xfId="17171"/>
    <cellStyle name="Calculation 4 6 3" xfId="17172"/>
    <cellStyle name="Calculation 4 7" xfId="17173"/>
    <cellStyle name="Calculation 4 8" xfId="17174"/>
    <cellStyle name="Calculation 4 8 2" xfId="17175"/>
    <cellStyle name="Calculation 4 8 2 2" xfId="17176"/>
    <cellStyle name="Calculation 4 8 3" xfId="17177"/>
    <cellStyle name="Calculation 4 9" xfId="17178"/>
    <cellStyle name="Calculation 4 9 2" xfId="17179"/>
    <cellStyle name="Calculation 4 9 2 2" xfId="17180"/>
    <cellStyle name="Calculation 4 9 3" xfId="17181"/>
    <cellStyle name="Calculation 4 9 3 2" xfId="17182"/>
    <cellStyle name="Calculation 4 9 4" xfId="17183"/>
    <cellStyle name="Calculation 5" xfId="17184"/>
    <cellStyle name="Calculation 5 10" xfId="17185"/>
    <cellStyle name="Calculation 5 10 2" xfId="17186"/>
    <cellStyle name="Calculation 5 10 2 2" xfId="17187"/>
    <cellStyle name="Calculation 5 10 3" xfId="17188"/>
    <cellStyle name="Calculation 5 11" xfId="17189"/>
    <cellStyle name="Calculation 5 11 2" xfId="17190"/>
    <cellStyle name="Calculation 5 12" xfId="17191"/>
    <cellStyle name="Calculation 5 2" xfId="17192"/>
    <cellStyle name="Calculation 5 2 2" xfId="17193"/>
    <cellStyle name="Calculation 5 2 2 2" xfId="17194"/>
    <cellStyle name="Calculation 5 2 2 2 2" xfId="17195"/>
    <cellStyle name="Calculation 5 2 2 2 2 2" xfId="17196"/>
    <cellStyle name="Calculation 5 2 2 2 3" xfId="17197"/>
    <cellStyle name="Calculation 5 2 2 2 3 2" xfId="17198"/>
    <cellStyle name="Calculation 5 2 2 2 4" xfId="17199"/>
    <cellStyle name="Calculation 5 2 2 3" xfId="17200"/>
    <cellStyle name="Calculation 5 2 2 3 2" xfId="17201"/>
    <cellStyle name="Calculation 5 2 2 3 2 2" xfId="17202"/>
    <cellStyle name="Calculation 5 2 2 3 3" xfId="17203"/>
    <cellStyle name="Calculation 5 2 2 4" xfId="17204"/>
    <cellStyle name="Calculation 5 2 3" xfId="17205"/>
    <cellStyle name="Calculation 5 2 3 2" xfId="17206"/>
    <cellStyle name="Calculation 5 2 3 2 2" xfId="17207"/>
    <cellStyle name="Calculation 5 2 3 3" xfId="17208"/>
    <cellStyle name="Calculation 5 2 4" xfId="17209"/>
    <cellStyle name="Calculation 5 2 4 2" xfId="17210"/>
    <cellStyle name="Calculation 5 2 4 2 2" xfId="17211"/>
    <cellStyle name="Calculation 5 2 4 3" xfId="17212"/>
    <cellStyle name="Calculation 5 2 4 3 2" xfId="17213"/>
    <cellStyle name="Calculation 5 2 4 4" xfId="17214"/>
    <cellStyle name="Calculation 5 2 5" xfId="17215"/>
    <cellStyle name="Calculation 5 2 5 2" xfId="17216"/>
    <cellStyle name="Calculation 5 2 5 2 2" xfId="17217"/>
    <cellStyle name="Calculation 5 2 5 3" xfId="17218"/>
    <cellStyle name="Calculation 5 2 6" xfId="17219"/>
    <cellStyle name="Calculation 5 3" xfId="17220"/>
    <cellStyle name="Calculation 5 3 2" xfId="17221"/>
    <cellStyle name="Calculation 5 3 2 2" xfId="17222"/>
    <cellStyle name="Calculation 5 3 2 2 2" xfId="17223"/>
    <cellStyle name="Calculation 5 3 2 2 2 2" xfId="17224"/>
    <cellStyle name="Calculation 5 3 2 2 3" xfId="17225"/>
    <cellStyle name="Calculation 5 3 2 2 3 2" xfId="17226"/>
    <cellStyle name="Calculation 5 3 2 2 4" xfId="17227"/>
    <cellStyle name="Calculation 5 3 2 3" xfId="17228"/>
    <cellStyle name="Calculation 5 3 2 3 2" xfId="17229"/>
    <cellStyle name="Calculation 5 3 2 3 2 2" xfId="17230"/>
    <cellStyle name="Calculation 5 3 2 3 3" xfId="17231"/>
    <cellStyle name="Calculation 5 3 2 4" xfId="17232"/>
    <cellStyle name="Calculation 5 3 3" xfId="17233"/>
    <cellStyle name="Calculation 5 3 3 2" xfId="17234"/>
    <cellStyle name="Calculation 5 3 3 2 2" xfId="17235"/>
    <cellStyle name="Calculation 5 3 3 3" xfId="17236"/>
    <cellStyle name="Calculation 5 3 4" xfId="17237"/>
    <cellStyle name="Calculation 5 3 4 2" xfId="17238"/>
    <cellStyle name="Calculation 5 3 4 2 2" xfId="17239"/>
    <cellStyle name="Calculation 5 3 4 3" xfId="17240"/>
    <cellStyle name="Calculation 5 3 4 3 2" xfId="17241"/>
    <cellStyle name="Calculation 5 3 4 4" xfId="17242"/>
    <cellStyle name="Calculation 5 3 5" xfId="17243"/>
    <cellStyle name="Calculation 5 3 5 2" xfId="17244"/>
    <cellStyle name="Calculation 5 3 5 2 2" xfId="17245"/>
    <cellStyle name="Calculation 5 3 5 3" xfId="17246"/>
    <cellStyle name="Calculation 5 3 6" xfId="17247"/>
    <cellStyle name="Calculation 5 4" xfId="17248"/>
    <cellStyle name="Calculation 5 4 2" xfId="17249"/>
    <cellStyle name="Calculation 5 4 2 2" xfId="17250"/>
    <cellStyle name="Calculation 5 4 2 2 2" xfId="17251"/>
    <cellStyle name="Calculation 5 4 2 3" xfId="17252"/>
    <cellStyle name="Calculation 5 4 3" xfId="17253"/>
    <cellStyle name="Calculation 5 4 3 2" xfId="17254"/>
    <cellStyle name="Calculation 5 4 3 2 2" xfId="17255"/>
    <cellStyle name="Calculation 5 4 3 3" xfId="17256"/>
    <cellStyle name="Calculation 5 4 4" xfId="17257"/>
    <cellStyle name="Calculation 5 4 4 2" xfId="17258"/>
    <cellStyle name="Calculation 5 4 4 2 2" xfId="17259"/>
    <cellStyle name="Calculation 5 4 4 3" xfId="17260"/>
    <cellStyle name="Calculation 5 4 4 3 2" xfId="17261"/>
    <cellStyle name="Calculation 5 4 4 4" xfId="17262"/>
    <cellStyle name="Calculation 5 4 5" xfId="17263"/>
    <cellStyle name="Calculation 5 4 5 2" xfId="17264"/>
    <cellStyle name="Calculation 5 4 5 2 2" xfId="17265"/>
    <cellStyle name="Calculation 5 4 5 3" xfId="17266"/>
    <cellStyle name="Calculation 5 4 6" xfId="17267"/>
    <cellStyle name="Calculation 5 5" xfId="17268"/>
    <cellStyle name="Calculation 5 5 2" xfId="17269"/>
    <cellStyle name="Calculation 5 5 2 2" xfId="17270"/>
    <cellStyle name="Calculation 5 5 2 2 2" xfId="17271"/>
    <cellStyle name="Calculation 5 5 2 3" xfId="17272"/>
    <cellStyle name="Calculation 5 5 3" xfId="17273"/>
    <cellStyle name="Calculation 5 5 3 2" xfId="17274"/>
    <cellStyle name="Calculation 5 5 3 2 2" xfId="17275"/>
    <cellStyle name="Calculation 5 5 3 3" xfId="17276"/>
    <cellStyle name="Calculation 5 5 4" xfId="17277"/>
    <cellStyle name="Calculation 5 5 4 2" xfId="17278"/>
    <cellStyle name="Calculation 5 5 5" xfId="17279"/>
    <cellStyle name="Calculation 5 6" xfId="17280"/>
    <cellStyle name="Calculation 5 6 2" xfId="17281"/>
    <cellStyle name="Calculation 5 6 2 2" xfId="17282"/>
    <cellStyle name="Calculation 5 6 3" xfId="17283"/>
    <cellStyle name="Calculation 5 7" xfId="17284"/>
    <cellStyle name="Calculation 5 7 2" xfId="17285"/>
    <cellStyle name="Calculation 5 7 2 2" xfId="17286"/>
    <cellStyle name="Calculation 5 7 3" xfId="17287"/>
    <cellStyle name="Calculation 5 8" xfId="17288"/>
    <cellStyle name="Calculation 5 8 2" xfId="17289"/>
    <cellStyle name="Calculation 5 8 2 2" xfId="17290"/>
    <cellStyle name="Calculation 5 8 3" xfId="17291"/>
    <cellStyle name="Calculation 5 9" xfId="17292"/>
    <cellStyle name="Calculation 5 9 2" xfId="17293"/>
    <cellStyle name="Calculation 5 9 2 2" xfId="17294"/>
    <cellStyle name="Calculation 5 9 3" xfId="17295"/>
    <cellStyle name="Calculation 5 9 3 2" xfId="17296"/>
    <cellStyle name="Calculation 5 9 4" xfId="17297"/>
    <cellStyle name="Calculation 6" xfId="17298"/>
    <cellStyle name="Calculation 6 10" xfId="17299"/>
    <cellStyle name="Calculation 6 10 2" xfId="17300"/>
    <cellStyle name="Calculation 6 10 2 2" xfId="17301"/>
    <cellStyle name="Calculation 6 10 3" xfId="17302"/>
    <cellStyle name="Calculation 6 11" xfId="17303"/>
    <cellStyle name="Calculation 6 11 2" xfId="17304"/>
    <cellStyle name="Calculation 6 12" xfId="17305"/>
    <cellStyle name="Calculation 6 2" xfId="17306"/>
    <cellStyle name="Calculation 6 2 2" xfId="17307"/>
    <cellStyle name="Calculation 6 2 2 2" xfId="17308"/>
    <cellStyle name="Calculation 6 2 2 2 2" xfId="17309"/>
    <cellStyle name="Calculation 6 2 2 2 2 2" xfId="17310"/>
    <cellStyle name="Calculation 6 2 2 2 3" xfId="17311"/>
    <cellStyle name="Calculation 6 2 2 2 3 2" xfId="17312"/>
    <cellStyle name="Calculation 6 2 2 2 4" xfId="17313"/>
    <cellStyle name="Calculation 6 2 2 3" xfId="17314"/>
    <cellStyle name="Calculation 6 2 2 3 2" xfId="17315"/>
    <cellStyle name="Calculation 6 2 2 3 2 2" xfId="17316"/>
    <cellStyle name="Calculation 6 2 2 3 3" xfId="17317"/>
    <cellStyle name="Calculation 6 2 2 4" xfId="17318"/>
    <cellStyle name="Calculation 6 2 3" xfId="17319"/>
    <cellStyle name="Calculation 6 2 3 2" xfId="17320"/>
    <cellStyle name="Calculation 6 2 3 2 2" xfId="17321"/>
    <cellStyle name="Calculation 6 2 3 3" xfId="17322"/>
    <cellStyle name="Calculation 6 2 4" xfId="17323"/>
    <cellStyle name="Calculation 6 2 4 2" xfId="17324"/>
    <cellStyle name="Calculation 6 2 4 2 2" xfId="17325"/>
    <cellStyle name="Calculation 6 2 4 3" xfId="17326"/>
    <cellStyle name="Calculation 6 2 4 3 2" xfId="17327"/>
    <cellStyle name="Calculation 6 2 4 4" xfId="17328"/>
    <cellStyle name="Calculation 6 2 5" xfId="17329"/>
    <cellStyle name="Calculation 6 2 5 2" xfId="17330"/>
    <cellStyle name="Calculation 6 2 5 2 2" xfId="17331"/>
    <cellStyle name="Calculation 6 2 5 3" xfId="17332"/>
    <cellStyle name="Calculation 6 2 6" xfId="17333"/>
    <cellStyle name="Calculation 6 3" xfId="17334"/>
    <cellStyle name="Calculation 6 3 2" xfId="17335"/>
    <cellStyle name="Calculation 6 3 2 2" xfId="17336"/>
    <cellStyle name="Calculation 6 3 2 2 2" xfId="17337"/>
    <cellStyle name="Calculation 6 3 2 2 2 2" xfId="17338"/>
    <cellStyle name="Calculation 6 3 2 2 3" xfId="17339"/>
    <cellStyle name="Calculation 6 3 2 2 3 2" xfId="17340"/>
    <cellStyle name="Calculation 6 3 2 2 4" xfId="17341"/>
    <cellStyle name="Calculation 6 3 2 3" xfId="17342"/>
    <cellStyle name="Calculation 6 3 2 3 2" xfId="17343"/>
    <cellStyle name="Calculation 6 3 2 3 2 2" xfId="17344"/>
    <cellStyle name="Calculation 6 3 2 3 3" xfId="17345"/>
    <cellStyle name="Calculation 6 3 2 4" xfId="17346"/>
    <cellStyle name="Calculation 6 3 3" xfId="17347"/>
    <cellStyle name="Calculation 6 3 3 2" xfId="17348"/>
    <cellStyle name="Calculation 6 3 3 2 2" xfId="17349"/>
    <cellStyle name="Calculation 6 3 3 3" xfId="17350"/>
    <cellStyle name="Calculation 6 3 4" xfId="17351"/>
    <cellStyle name="Calculation 6 3 4 2" xfId="17352"/>
    <cellStyle name="Calculation 6 3 4 2 2" xfId="17353"/>
    <cellStyle name="Calculation 6 3 4 3" xfId="17354"/>
    <cellStyle name="Calculation 6 3 4 3 2" xfId="17355"/>
    <cellStyle name="Calculation 6 3 4 4" xfId="17356"/>
    <cellStyle name="Calculation 6 3 5" xfId="17357"/>
    <cellStyle name="Calculation 6 3 5 2" xfId="17358"/>
    <cellStyle name="Calculation 6 3 5 2 2" xfId="17359"/>
    <cellStyle name="Calculation 6 3 5 3" xfId="17360"/>
    <cellStyle name="Calculation 6 3 6" xfId="17361"/>
    <cellStyle name="Calculation 6 4" xfId="17362"/>
    <cellStyle name="Calculation 6 4 2" xfId="17363"/>
    <cellStyle name="Calculation 6 4 2 2" xfId="17364"/>
    <cellStyle name="Calculation 6 4 2 2 2" xfId="17365"/>
    <cellStyle name="Calculation 6 4 2 3" xfId="17366"/>
    <cellStyle name="Calculation 6 4 3" xfId="17367"/>
    <cellStyle name="Calculation 6 4 3 2" xfId="17368"/>
    <cellStyle name="Calculation 6 4 3 2 2" xfId="17369"/>
    <cellStyle name="Calculation 6 4 3 3" xfId="17370"/>
    <cellStyle name="Calculation 6 4 4" xfId="17371"/>
    <cellStyle name="Calculation 6 4 4 2" xfId="17372"/>
    <cellStyle name="Calculation 6 4 4 2 2" xfId="17373"/>
    <cellStyle name="Calculation 6 4 4 3" xfId="17374"/>
    <cellStyle name="Calculation 6 4 4 3 2" xfId="17375"/>
    <cellStyle name="Calculation 6 4 4 4" xfId="17376"/>
    <cellStyle name="Calculation 6 4 5" xfId="17377"/>
    <cellStyle name="Calculation 6 4 5 2" xfId="17378"/>
    <cellStyle name="Calculation 6 4 5 2 2" xfId="17379"/>
    <cellStyle name="Calculation 6 4 5 3" xfId="17380"/>
    <cellStyle name="Calculation 6 4 6" xfId="17381"/>
    <cellStyle name="Calculation 6 5" xfId="17382"/>
    <cellStyle name="Calculation 6 5 2" xfId="17383"/>
    <cellStyle name="Calculation 6 5 2 2" xfId="17384"/>
    <cellStyle name="Calculation 6 5 2 2 2" xfId="17385"/>
    <cellStyle name="Calculation 6 5 2 3" xfId="17386"/>
    <cellStyle name="Calculation 6 5 3" xfId="17387"/>
    <cellStyle name="Calculation 6 5 3 2" xfId="17388"/>
    <cellStyle name="Calculation 6 5 3 2 2" xfId="17389"/>
    <cellStyle name="Calculation 6 5 3 3" xfId="17390"/>
    <cellStyle name="Calculation 6 5 4" xfId="17391"/>
    <cellStyle name="Calculation 6 5 4 2" xfId="17392"/>
    <cellStyle name="Calculation 6 5 5" xfId="17393"/>
    <cellStyle name="Calculation 6 6" xfId="17394"/>
    <cellStyle name="Calculation 6 6 2" xfId="17395"/>
    <cellStyle name="Calculation 6 6 2 2" xfId="17396"/>
    <cellStyle name="Calculation 6 6 3" xfId="17397"/>
    <cellStyle name="Calculation 6 7" xfId="17398"/>
    <cellStyle name="Calculation 6 7 2" xfId="17399"/>
    <cellStyle name="Calculation 6 7 2 2" xfId="17400"/>
    <cellStyle name="Calculation 6 7 3" xfId="17401"/>
    <cellStyle name="Calculation 6 8" xfId="17402"/>
    <cellStyle name="Calculation 6 8 2" xfId="17403"/>
    <cellStyle name="Calculation 6 8 2 2" xfId="17404"/>
    <cellStyle name="Calculation 6 8 3" xfId="17405"/>
    <cellStyle name="Calculation 6 9" xfId="17406"/>
    <cellStyle name="Calculation 6 9 2" xfId="17407"/>
    <cellStyle name="Calculation 6 9 2 2" xfId="17408"/>
    <cellStyle name="Calculation 6 9 3" xfId="17409"/>
    <cellStyle name="Calculation 6 9 3 2" xfId="17410"/>
    <cellStyle name="Calculation 6 9 4" xfId="17411"/>
    <cellStyle name="Calculation 7" xfId="17412"/>
    <cellStyle name="Calculation 7 2" xfId="17413"/>
    <cellStyle name="Calculation 7 2 2" xfId="17414"/>
    <cellStyle name="Calculation 7 2 2 2" xfId="17415"/>
    <cellStyle name="Calculation 7 2 2 2 2" xfId="17416"/>
    <cellStyle name="Calculation 7 2 2 3" xfId="17417"/>
    <cellStyle name="Calculation 7 2 3" xfId="17418"/>
    <cellStyle name="Calculation 7 2 3 2" xfId="17419"/>
    <cellStyle name="Calculation 7 2 3 2 2" xfId="17420"/>
    <cellStyle name="Calculation 7 2 3 3" xfId="17421"/>
    <cellStyle name="Calculation 7 2 4" xfId="17422"/>
    <cellStyle name="Calculation 7 2 4 2" xfId="17423"/>
    <cellStyle name="Calculation 7 2 5" xfId="17424"/>
    <cellStyle name="Calculation 7 3" xfId="17425"/>
    <cellStyle name="Calculation 7 3 2" xfId="17426"/>
    <cellStyle name="Calculation 7 3 2 2" xfId="17427"/>
    <cellStyle name="Calculation 7 3 3" xfId="17428"/>
    <cellStyle name="Calculation 7 4" xfId="17429"/>
    <cellStyle name="Calculation 7 4 2" xfId="17430"/>
    <cellStyle name="Calculation 7 4 2 2" xfId="17431"/>
    <cellStyle name="Calculation 7 4 3" xfId="17432"/>
    <cellStyle name="Calculation 7 5" xfId="17433"/>
    <cellStyle name="Calculation 7 6" xfId="17434"/>
    <cellStyle name="Calculation 7 6 2" xfId="17435"/>
    <cellStyle name="Calculation 7 7" xfId="17436"/>
    <cellStyle name="Calculation 8" xfId="17437"/>
    <cellStyle name="Calculation 9" xfId="17438"/>
    <cellStyle name="Calculation 9 2" xfId="17439"/>
    <cellStyle name="Calculation 9 2 2" xfId="17440"/>
    <cellStyle name="Calculation 9 3" xfId="17441"/>
    <cellStyle name="CaseSelection" xfId="242"/>
    <cellStyle name="Check Cell" xfId="35678" builtinId="23" customBuiltin="1"/>
    <cellStyle name="Check Cell 2" xfId="59"/>
    <cellStyle name="Check Cell 2 2" xfId="17443"/>
    <cellStyle name="Check Cell 2 2 2" xfId="17444"/>
    <cellStyle name="Check Cell 2 2 2 2" xfId="35916"/>
    <cellStyle name="Check Cell 2 2 3" xfId="17445"/>
    <cellStyle name="Check Cell 2 2 4" xfId="17446"/>
    <cellStyle name="Check Cell 2 3" xfId="17447"/>
    <cellStyle name="Check Cell 2 3 2" xfId="17448"/>
    <cellStyle name="Check Cell 2 4" xfId="17449"/>
    <cellStyle name="Check Cell 2 4 2" xfId="17450"/>
    <cellStyle name="Check Cell 2 5" xfId="17451"/>
    <cellStyle name="Check Cell 2 6" xfId="17442"/>
    <cellStyle name="Check Cell 3" xfId="132"/>
    <cellStyle name="Check Cell 3 2" xfId="17452"/>
    <cellStyle name="Check Cell 3 3" xfId="17453"/>
    <cellStyle name="Check Cell 3 4" xfId="17454"/>
    <cellStyle name="Check Cell 4" xfId="17455"/>
    <cellStyle name="Check Cell 4 2" xfId="17456"/>
    <cellStyle name="Check Cell 5" xfId="17457"/>
    <cellStyle name="Check Cell 5 2" xfId="17458"/>
    <cellStyle name="Check Cell 6" xfId="17459"/>
    <cellStyle name="Check RedRedGreen" xfId="35735"/>
    <cellStyle name="Column heading" xfId="17460"/>
    <cellStyle name="Column heading 2" xfId="17461"/>
    <cellStyle name="Column heading 2 2" xfId="17462"/>
    <cellStyle name="Column heading 2 2 10" xfId="17463"/>
    <cellStyle name="Column heading 2 2 11" xfId="17464"/>
    <cellStyle name="Column heading 2 2 2" xfId="17465"/>
    <cellStyle name="Column heading 2 2 2 2" xfId="17466"/>
    <cellStyle name="Column heading 2 2 2 2 10" xfId="17467"/>
    <cellStyle name="Column heading 2 2 2 2 11" xfId="17468"/>
    <cellStyle name="Column heading 2 2 2 2 2" xfId="17469"/>
    <cellStyle name="Column heading 2 2 2 2 3" xfId="17470"/>
    <cellStyle name="Column heading 2 2 2 2 4" xfId="17471"/>
    <cellStyle name="Column heading 2 2 2 2 5" xfId="17472"/>
    <cellStyle name="Column heading 2 2 2 2 6" xfId="17473"/>
    <cellStyle name="Column heading 2 2 2 2 7" xfId="17474"/>
    <cellStyle name="Column heading 2 2 2 2 8" xfId="17475"/>
    <cellStyle name="Column heading 2 2 2 2 9" xfId="17476"/>
    <cellStyle name="Column heading 2 2 2 3" xfId="17477"/>
    <cellStyle name="Column heading 2 2 2 3 10" xfId="17478"/>
    <cellStyle name="Column heading 2 2 2 3 2" xfId="17479"/>
    <cellStyle name="Column heading 2 2 2 3 3" xfId="17480"/>
    <cellStyle name="Column heading 2 2 2 3 4" xfId="17481"/>
    <cellStyle name="Column heading 2 2 2 3 5" xfId="17482"/>
    <cellStyle name="Column heading 2 2 2 3 6" xfId="17483"/>
    <cellStyle name="Column heading 2 2 2 3 7" xfId="17484"/>
    <cellStyle name="Column heading 2 2 2 3 8" xfId="17485"/>
    <cellStyle name="Column heading 2 2 2 3 9" xfId="17486"/>
    <cellStyle name="Column heading 2 2 2 4" xfId="17487"/>
    <cellStyle name="Column heading 2 2 2 4 10" xfId="17488"/>
    <cellStyle name="Column heading 2 2 2 4 2" xfId="17489"/>
    <cellStyle name="Column heading 2 2 2 4 3" xfId="17490"/>
    <cellStyle name="Column heading 2 2 2 4 4" xfId="17491"/>
    <cellStyle name="Column heading 2 2 2 4 5" xfId="17492"/>
    <cellStyle name="Column heading 2 2 2 4 6" xfId="17493"/>
    <cellStyle name="Column heading 2 2 2 4 7" xfId="17494"/>
    <cellStyle name="Column heading 2 2 2 4 8" xfId="17495"/>
    <cellStyle name="Column heading 2 2 2 4 9" xfId="17496"/>
    <cellStyle name="Column heading 2 2 2 5" xfId="17497"/>
    <cellStyle name="Column heading 2 2 2 5 2" xfId="17498"/>
    <cellStyle name="Column heading 2 2 2 5 3" xfId="17499"/>
    <cellStyle name="Column heading 2 2 2 5 4" xfId="17500"/>
    <cellStyle name="Column heading 2 2 2 5 5" xfId="17501"/>
    <cellStyle name="Column heading 2 2 2 5 6" xfId="17502"/>
    <cellStyle name="Column heading 2 2 2 5 7" xfId="17503"/>
    <cellStyle name="Column heading 2 2 2 5 8" xfId="17504"/>
    <cellStyle name="Column heading 2 2 2 5 9" xfId="17505"/>
    <cellStyle name="Column heading 2 2 2 6" xfId="17506"/>
    <cellStyle name="Column heading 2 2 2 7" xfId="17507"/>
    <cellStyle name="Column heading 2 2 2 8" xfId="17508"/>
    <cellStyle name="Column heading 2 2 2 9" xfId="17509"/>
    <cellStyle name="Column heading 2 2 3" xfId="17510"/>
    <cellStyle name="Column heading 2 2 3 10" xfId="17511"/>
    <cellStyle name="Column heading 2 2 3 2" xfId="17512"/>
    <cellStyle name="Column heading 2 2 3 3" xfId="17513"/>
    <cellStyle name="Column heading 2 2 3 4" xfId="17514"/>
    <cellStyle name="Column heading 2 2 3 5" xfId="17515"/>
    <cellStyle name="Column heading 2 2 3 6" xfId="17516"/>
    <cellStyle name="Column heading 2 2 3 7" xfId="17517"/>
    <cellStyle name="Column heading 2 2 3 8" xfId="17518"/>
    <cellStyle name="Column heading 2 2 3 9" xfId="17519"/>
    <cellStyle name="Column heading 2 2 4" xfId="17520"/>
    <cellStyle name="Column heading 2 2 4 10" xfId="17521"/>
    <cellStyle name="Column heading 2 2 4 2" xfId="17522"/>
    <cellStyle name="Column heading 2 2 4 3" xfId="17523"/>
    <cellStyle name="Column heading 2 2 4 4" xfId="17524"/>
    <cellStyle name="Column heading 2 2 4 5" xfId="17525"/>
    <cellStyle name="Column heading 2 2 4 6" xfId="17526"/>
    <cellStyle name="Column heading 2 2 4 7" xfId="17527"/>
    <cellStyle name="Column heading 2 2 4 8" xfId="17528"/>
    <cellStyle name="Column heading 2 2 4 9" xfId="17529"/>
    <cellStyle name="Column heading 2 2 5" xfId="17530"/>
    <cellStyle name="Column heading 2 2 5 2" xfId="17531"/>
    <cellStyle name="Column heading 2 2 5 3" xfId="17532"/>
    <cellStyle name="Column heading 2 2 5 4" xfId="17533"/>
    <cellStyle name="Column heading 2 2 5 5" xfId="17534"/>
    <cellStyle name="Column heading 2 2 5 6" xfId="17535"/>
    <cellStyle name="Column heading 2 2 5 7" xfId="17536"/>
    <cellStyle name="Column heading 2 2 5 8" xfId="17537"/>
    <cellStyle name="Column heading 2 2 5 9" xfId="17538"/>
    <cellStyle name="Column heading 2 2 6" xfId="17539"/>
    <cellStyle name="Column heading 2 2 6 2" xfId="17540"/>
    <cellStyle name="Column heading 2 2 6 3" xfId="17541"/>
    <cellStyle name="Column heading 2 2 6 4" xfId="17542"/>
    <cellStyle name="Column heading 2 2 6 5" xfId="17543"/>
    <cellStyle name="Column heading 2 2 6 6" xfId="17544"/>
    <cellStyle name="Column heading 2 2 6 7" xfId="17545"/>
    <cellStyle name="Column heading 2 2 6 8" xfId="17546"/>
    <cellStyle name="Column heading 2 2 6 9" xfId="17547"/>
    <cellStyle name="Column heading 2 2 7" xfId="17548"/>
    <cellStyle name="Column heading 2 2 8" xfId="17549"/>
    <cellStyle name="Column heading 2 2 9" xfId="17550"/>
    <cellStyle name="Column heading 2 3" xfId="17551"/>
    <cellStyle name="Column heading 2 3 2" xfId="17552"/>
    <cellStyle name="Column heading 2 3 3" xfId="17553"/>
    <cellStyle name="Column heading 2 3 4" xfId="17554"/>
    <cellStyle name="Column heading 2 3 5" xfId="17555"/>
    <cellStyle name="Column heading 2 3 6" xfId="17556"/>
    <cellStyle name="Column heading 2 4" xfId="17557"/>
    <cellStyle name="Column heading 2 5" xfId="17558"/>
    <cellStyle name="Column heading 2 6" xfId="17559"/>
    <cellStyle name="Column heading 2 7" xfId="17560"/>
    <cellStyle name="Column heading 3" xfId="17561"/>
    <cellStyle name="Column heading 3 10" xfId="17562"/>
    <cellStyle name="Column heading 3 2" xfId="17563"/>
    <cellStyle name="Column heading 3 2 2" xfId="17564"/>
    <cellStyle name="Column heading 3 2 2 10" xfId="17565"/>
    <cellStyle name="Column heading 3 2 2 11" xfId="17566"/>
    <cellStyle name="Column heading 3 2 2 2" xfId="17567"/>
    <cellStyle name="Column heading 3 2 2 3" xfId="17568"/>
    <cellStyle name="Column heading 3 2 2 4" xfId="17569"/>
    <cellStyle name="Column heading 3 2 2 5" xfId="17570"/>
    <cellStyle name="Column heading 3 2 2 6" xfId="17571"/>
    <cellStyle name="Column heading 3 2 2 7" xfId="17572"/>
    <cellStyle name="Column heading 3 2 2 8" xfId="17573"/>
    <cellStyle name="Column heading 3 2 2 9" xfId="17574"/>
    <cellStyle name="Column heading 3 2 3" xfId="17575"/>
    <cellStyle name="Column heading 3 2 3 10" xfId="17576"/>
    <cellStyle name="Column heading 3 2 3 2" xfId="17577"/>
    <cellStyle name="Column heading 3 2 3 3" xfId="17578"/>
    <cellStyle name="Column heading 3 2 3 4" xfId="17579"/>
    <cellStyle name="Column heading 3 2 3 5" xfId="17580"/>
    <cellStyle name="Column heading 3 2 3 6" xfId="17581"/>
    <cellStyle name="Column heading 3 2 3 7" xfId="17582"/>
    <cellStyle name="Column heading 3 2 3 8" xfId="17583"/>
    <cellStyle name="Column heading 3 2 3 9" xfId="17584"/>
    <cellStyle name="Column heading 3 2 4" xfId="17585"/>
    <cellStyle name="Column heading 3 2 4 10" xfId="17586"/>
    <cellStyle name="Column heading 3 2 4 2" xfId="17587"/>
    <cellStyle name="Column heading 3 2 4 3" xfId="17588"/>
    <cellStyle name="Column heading 3 2 4 4" xfId="17589"/>
    <cellStyle name="Column heading 3 2 4 5" xfId="17590"/>
    <cellStyle name="Column heading 3 2 4 6" xfId="17591"/>
    <cellStyle name="Column heading 3 2 4 7" xfId="17592"/>
    <cellStyle name="Column heading 3 2 4 8" xfId="17593"/>
    <cellStyle name="Column heading 3 2 4 9" xfId="17594"/>
    <cellStyle name="Column heading 3 2 5" xfId="17595"/>
    <cellStyle name="Column heading 3 2 5 2" xfId="17596"/>
    <cellStyle name="Column heading 3 2 5 3" xfId="17597"/>
    <cellStyle name="Column heading 3 2 5 4" xfId="17598"/>
    <cellStyle name="Column heading 3 2 5 5" xfId="17599"/>
    <cellStyle name="Column heading 3 2 5 6" xfId="17600"/>
    <cellStyle name="Column heading 3 2 5 7" xfId="17601"/>
    <cellStyle name="Column heading 3 2 5 8" xfId="17602"/>
    <cellStyle name="Column heading 3 2 5 9" xfId="17603"/>
    <cellStyle name="Column heading 3 2 6" xfId="17604"/>
    <cellStyle name="Column heading 3 2 7" xfId="17605"/>
    <cellStyle name="Column heading 3 2 8" xfId="17606"/>
    <cellStyle name="Column heading 3 2 9" xfId="17607"/>
    <cellStyle name="Column heading 3 3" xfId="17608"/>
    <cellStyle name="Column heading 3 3 2" xfId="17609"/>
    <cellStyle name="Column heading 3 3 2 10" xfId="17610"/>
    <cellStyle name="Column heading 3 3 2 11" xfId="17611"/>
    <cellStyle name="Column heading 3 3 2 2" xfId="17612"/>
    <cellStyle name="Column heading 3 3 2 3" xfId="17613"/>
    <cellStyle name="Column heading 3 3 2 4" xfId="17614"/>
    <cellStyle name="Column heading 3 3 2 5" xfId="17615"/>
    <cellStyle name="Column heading 3 3 2 6" xfId="17616"/>
    <cellStyle name="Column heading 3 3 2 7" xfId="17617"/>
    <cellStyle name="Column heading 3 3 2 8" xfId="17618"/>
    <cellStyle name="Column heading 3 3 2 9" xfId="17619"/>
    <cellStyle name="Column heading 3 3 3" xfId="17620"/>
    <cellStyle name="Column heading 3 3 3 10" xfId="17621"/>
    <cellStyle name="Column heading 3 3 3 2" xfId="17622"/>
    <cellStyle name="Column heading 3 3 3 3" xfId="17623"/>
    <cellStyle name="Column heading 3 3 3 4" xfId="17624"/>
    <cellStyle name="Column heading 3 3 3 5" xfId="17625"/>
    <cellStyle name="Column heading 3 3 3 6" xfId="17626"/>
    <cellStyle name="Column heading 3 3 3 7" xfId="17627"/>
    <cellStyle name="Column heading 3 3 3 8" xfId="17628"/>
    <cellStyle name="Column heading 3 3 3 9" xfId="17629"/>
    <cellStyle name="Column heading 3 3 4" xfId="17630"/>
    <cellStyle name="Column heading 3 3 4 10" xfId="17631"/>
    <cellStyle name="Column heading 3 3 4 2" xfId="17632"/>
    <cellStyle name="Column heading 3 3 4 3" xfId="17633"/>
    <cellStyle name="Column heading 3 3 4 4" xfId="17634"/>
    <cellStyle name="Column heading 3 3 4 5" xfId="17635"/>
    <cellStyle name="Column heading 3 3 4 6" xfId="17636"/>
    <cellStyle name="Column heading 3 3 4 7" xfId="17637"/>
    <cellStyle name="Column heading 3 3 4 8" xfId="17638"/>
    <cellStyle name="Column heading 3 3 4 9" xfId="17639"/>
    <cellStyle name="Column heading 3 3 5" xfId="17640"/>
    <cellStyle name="Column heading 3 3 5 2" xfId="17641"/>
    <cellStyle name="Column heading 3 3 5 3" xfId="17642"/>
    <cellStyle name="Column heading 3 3 5 4" xfId="17643"/>
    <cellStyle name="Column heading 3 3 5 5" xfId="17644"/>
    <cellStyle name="Column heading 3 3 5 6" xfId="17645"/>
    <cellStyle name="Column heading 3 3 5 7" xfId="17646"/>
    <cellStyle name="Column heading 3 3 5 8" xfId="17647"/>
    <cellStyle name="Column heading 3 3 5 9" xfId="17648"/>
    <cellStyle name="Column heading 3 3 6" xfId="17649"/>
    <cellStyle name="Column heading 3 3 7" xfId="17650"/>
    <cellStyle name="Column heading 3 3 8" xfId="17651"/>
    <cellStyle name="Column heading 3 3 9" xfId="17652"/>
    <cellStyle name="Column heading 3 4" xfId="17653"/>
    <cellStyle name="Column heading 3 4 10" xfId="17654"/>
    <cellStyle name="Column heading 3 4 2" xfId="17655"/>
    <cellStyle name="Column heading 3 4 3" xfId="17656"/>
    <cellStyle name="Column heading 3 4 4" xfId="17657"/>
    <cellStyle name="Column heading 3 4 5" xfId="17658"/>
    <cellStyle name="Column heading 3 4 6" xfId="17659"/>
    <cellStyle name="Column heading 3 4 7" xfId="17660"/>
    <cellStyle name="Column heading 3 4 8" xfId="17661"/>
    <cellStyle name="Column heading 3 4 9" xfId="17662"/>
    <cellStyle name="Column heading 3 5" xfId="17663"/>
    <cellStyle name="Column heading 3 5 2" xfId="17664"/>
    <cellStyle name="Column heading 3 5 3" xfId="17665"/>
    <cellStyle name="Column heading 3 5 4" xfId="17666"/>
    <cellStyle name="Column heading 3 5 5" xfId="17667"/>
    <cellStyle name="Column heading 3 5 6" xfId="17668"/>
    <cellStyle name="Column heading 3 5 7" xfId="17669"/>
    <cellStyle name="Column heading 3 5 8" xfId="17670"/>
    <cellStyle name="Column heading 3 5 9" xfId="17671"/>
    <cellStyle name="Column heading 3 6" xfId="17672"/>
    <cellStyle name="Column heading 3 7" xfId="17673"/>
    <cellStyle name="Column heading 3 8" xfId="17674"/>
    <cellStyle name="Column heading 3 9" xfId="17675"/>
    <cellStyle name="Column heading 4" xfId="17676"/>
    <cellStyle name="Column heading 4 10" xfId="17677"/>
    <cellStyle name="Column heading 4 11" xfId="17678"/>
    <cellStyle name="Column heading 4 12" xfId="17679"/>
    <cellStyle name="Column heading 4 13" xfId="17680"/>
    <cellStyle name="Column heading 4 2" xfId="17681"/>
    <cellStyle name="Column heading 4 2 2" xfId="17682"/>
    <cellStyle name="Column heading 4 2 2 10" xfId="17683"/>
    <cellStyle name="Column heading 4 2 2 11" xfId="17684"/>
    <cellStyle name="Column heading 4 2 2 2" xfId="17685"/>
    <cellStyle name="Column heading 4 2 2 3" xfId="17686"/>
    <cellStyle name="Column heading 4 2 2 4" xfId="17687"/>
    <cellStyle name="Column heading 4 2 2 5" xfId="17688"/>
    <cellStyle name="Column heading 4 2 2 6" xfId="17689"/>
    <cellStyle name="Column heading 4 2 2 7" xfId="17690"/>
    <cellStyle name="Column heading 4 2 2 8" xfId="17691"/>
    <cellStyle name="Column heading 4 2 2 9" xfId="17692"/>
    <cellStyle name="Column heading 4 2 3" xfId="17693"/>
    <cellStyle name="Column heading 4 2 3 10" xfId="17694"/>
    <cellStyle name="Column heading 4 2 3 2" xfId="17695"/>
    <cellStyle name="Column heading 4 2 3 3" xfId="17696"/>
    <cellStyle name="Column heading 4 2 3 4" xfId="17697"/>
    <cellStyle name="Column heading 4 2 3 5" xfId="17698"/>
    <cellStyle name="Column heading 4 2 3 6" xfId="17699"/>
    <cellStyle name="Column heading 4 2 3 7" xfId="17700"/>
    <cellStyle name="Column heading 4 2 3 8" xfId="17701"/>
    <cellStyle name="Column heading 4 2 3 9" xfId="17702"/>
    <cellStyle name="Column heading 4 2 4" xfId="17703"/>
    <cellStyle name="Column heading 4 2 4 10" xfId="17704"/>
    <cellStyle name="Column heading 4 2 4 2" xfId="17705"/>
    <cellStyle name="Column heading 4 2 4 3" xfId="17706"/>
    <cellStyle name="Column heading 4 2 4 4" xfId="17707"/>
    <cellStyle name="Column heading 4 2 4 5" xfId="17708"/>
    <cellStyle name="Column heading 4 2 4 6" xfId="17709"/>
    <cellStyle name="Column heading 4 2 4 7" xfId="17710"/>
    <cellStyle name="Column heading 4 2 4 8" xfId="17711"/>
    <cellStyle name="Column heading 4 2 4 9" xfId="17712"/>
    <cellStyle name="Column heading 4 2 5" xfId="17713"/>
    <cellStyle name="Column heading 4 2 5 2" xfId="17714"/>
    <cellStyle name="Column heading 4 2 5 3" xfId="17715"/>
    <cellStyle name="Column heading 4 2 5 4" xfId="17716"/>
    <cellStyle name="Column heading 4 2 5 5" xfId="17717"/>
    <cellStyle name="Column heading 4 2 5 6" xfId="17718"/>
    <cellStyle name="Column heading 4 2 5 7" xfId="17719"/>
    <cellStyle name="Column heading 4 2 5 8" xfId="17720"/>
    <cellStyle name="Column heading 4 2 5 9" xfId="17721"/>
    <cellStyle name="Column heading 4 2 6" xfId="17722"/>
    <cellStyle name="Column heading 4 2 7" xfId="17723"/>
    <cellStyle name="Column heading 4 2 8" xfId="17724"/>
    <cellStyle name="Column heading 4 2 9" xfId="17725"/>
    <cellStyle name="Column heading 4 3" xfId="17726"/>
    <cellStyle name="Column heading 4 3 10" xfId="17727"/>
    <cellStyle name="Column heading 4 3 2" xfId="17728"/>
    <cellStyle name="Column heading 4 3 3" xfId="17729"/>
    <cellStyle name="Column heading 4 3 4" xfId="17730"/>
    <cellStyle name="Column heading 4 3 5" xfId="17731"/>
    <cellStyle name="Column heading 4 3 6" xfId="17732"/>
    <cellStyle name="Column heading 4 3 7" xfId="17733"/>
    <cellStyle name="Column heading 4 3 8" xfId="17734"/>
    <cellStyle name="Column heading 4 3 9" xfId="17735"/>
    <cellStyle name="Column heading 4 4" xfId="17736"/>
    <cellStyle name="Column heading 4 4 10" xfId="17737"/>
    <cellStyle name="Column heading 4 4 2" xfId="17738"/>
    <cellStyle name="Column heading 4 4 3" xfId="17739"/>
    <cellStyle name="Column heading 4 4 4" xfId="17740"/>
    <cellStyle name="Column heading 4 4 5" xfId="17741"/>
    <cellStyle name="Column heading 4 4 6" xfId="17742"/>
    <cellStyle name="Column heading 4 4 7" xfId="17743"/>
    <cellStyle name="Column heading 4 4 8" xfId="17744"/>
    <cellStyle name="Column heading 4 4 9" xfId="17745"/>
    <cellStyle name="Column heading 4 5" xfId="17746"/>
    <cellStyle name="Column heading 4 5 2" xfId="17747"/>
    <cellStyle name="Column heading 4 5 3" xfId="17748"/>
    <cellStyle name="Column heading 4 5 4" xfId="17749"/>
    <cellStyle name="Column heading 4 5 5" xfId="17750"/>
    <cellStyle name="Column heading 4 5 6" xfId="17751"/>
    <cellStyle name="Column heading 4 5 7" xfId="17752"/>
    <cellStyle name="Column heading 4 5 8" xfId="17753"/>
    <cellStyle name="Column heading 4 5 9" xfId="17754"/>
    <cellStyle name="Column heading 4 6" xfId="17755"/>
    <cellStyle name="Column heading 4 6 2" xfId="17756"/>
    <cellStyle name="Column heading 4 6 3" xfId="17757"/>
    <cellStyle name="Column heading 4 6 4" xfId="17758"/>
    <cellStyle name="Column heading 4 6 5" xfId="17759"/>
    <cellStyle name="Column heading 4 6 6" xfId="17760"/>
    <cellStyle name="Column heading 4 6 7" xfId="17761"/>
    <cellStyle name="Column heading 4 6 8" xfId="17762"/>
    <cellStyle name="Column heading 4 6 9" xfId="17763"/>
    <cellStyle name="Column heading 4 7" xfId="17764"/>
    <cellStyle name="Column heading 4 8" xfId="17765"/>
    <cellStyle name="Column heading 4 9" xfId="17766"/>
    <cellStyle name="Column heading 5" xfId="17767"/>
    <cellStyle name="Column heading 5 2" xfId="17768"/>
    <cellStyle name="Column heading 5 3" xfId="17769"/>
    <cellStyle name="Column heading 5 4" xfId="17770"/>
    <cellStyle name="Column heading 5 5" xfId="17771"/>
    <cellStyle name="Column heading 5 6" xfId="17772"/>
    <cellStyle name="Column heading 6" xfId="17773"/>
    <cellStyle name="Column heading 7" xfId="17774"/>
    <cellStyle name="Column heading 8" xfId="17775"/>
    <cellStyle name="Column heading 9" xfId="17776"/>
    <cellStyle name="Comma [0] 2" xfId="243"/>
    <cellStyle name="Comma [0] 2 2" xfId="17778"/>
    <cellStyle name="Comma [0] 2 3" xfId="35545"/>
    <cellStyle name="Comma [0] 2 4" xfId="17777"/>
    <cellStyle name="Comma [0] 3" xfId="244"/>
    <cellStyle name="Comma [0]7Z_87C" xfId="35771"/>
    <cellStyle name="Comma 0" xfId="35773"/>
    <cellStyle name="Comma 1" xfId="35789"/>
    <cellStyle name="Comma 1 2" xfId="35790"/>
    <cellStyle name="Comma 10" xfId="245"/>
    <cellStyle name="Comma 10 2" xfId="17780"/>
    <cellStyle name="Comma 10 2 2" xfId="17781"/>
    <cellStyle name="Comma 10 2 2 2" xfId="17782"/>
    <cellStyle name="Comma 10 2 3" xfId="17783"/>
    <cellStyle name="Comma 10 2 4" xfId="17784"/>
    <cellStyle name="Comma 10 3" xfId="35546"/>
    <cellStyle name="Comma 10 4" xfId="17779"/>
    <cellStyle name="Comma 100" xfId="17785"/>
    <cellStyle name="Comma 100 2" xfId="17786"/>
    <cellStyle name="Comma 101" xfId="17787"/>
    <cellStyle name="Comma 101 2" xfId="17788"/>
    <cellStyle name="Comma 102" xfId="17789"/>
    <cellStyle name="Comma 102 2" xfId="17790"/>
    <cellStyle name="Comma 102 2 2" xfId="17791"/>
    <cellStyle name="Comma 102 3" xfId="17792"/>
    <cellStyle name="Comma 103" xfId="17793"/>
    <cellStyle name="Comma 103 2" xfId="17794"/>
    <cellStyle name="Comma 103 2 2" xfId="17795"/>
    <cellStyle name="Comma 103 3" xfId="17796"/>
    <cellStyle name="Comma 104" xfId="17797"/>
    <cellStyle name="Comma 104 2" xfId="17798"/>
    <cellStyle name="Comma 104 2 2" xfId="17799"/>
    <cellStyle name="Comma 104 3" xfId="17800"/>
    <cellStyle name="Comma 105" xfId="17801"/>
    <cellStyle name="Comma 105 2" xfId="17802"/>
    <cellStyle name="Comma 106" xfId="17803"/>
    <cellStyle name="Comma 106 2" xfId="17804"/>
    <cellStyle name="Comma 107" xfId="17805"/>
    <cellStyle name="Comma 107 2" xfId="17806"/>
    <cellStyle name="Comma 108" xfId="17807"/>
    <cellStyle name="Comma 108 2" xfId="17808"/>
    <cellStyle name="Comma 109" xfId="17809"/>
    <cellStyle name="Comma 109 2" xfId="17810"/>
    <cellStyle name="Comma 11" xfId="17811"/>
    <cellStyle name="Comma 11 2" xfId="17812"/>
    <cellStyle name="Comma 11 2 2" xfId="17813"/>
    <cellStyle name="Comma 11 2 2 2" xfId="17814"/>
    <cellStyle name="Comma 11 2 3" xfId="17815"/>
    <cellStyle name="Comma 11 2 4" xfId="17816"/>
    <cellStyle name="Comma 11 3" xfId="36103"/>
    <cellStyle name="Comma 110" xfId="17817"/>
    <cellStyle name="Comma 110 2" xfId="17818"/>
    <cellStyle name="Comma 111" xfId="17819"/>
    <cellStyle name="Comma 111 2" xfId="17820"/>
    <cellStyle name="Comma 112" xfId="17821"/>
    <cellStyle name="Comma 112 2" xfId="17822"/>
    <cellStyle name="Comma 113" xfId="17823"/>
    <cellStyle name="Comma 113 2" xfId="17824"/>
    <cellStyle name="Comma 114" xfId="17825"/>
    <cellStyle name="Comma 114 2" xfId="17826"/>
    <cellStyle name="Comma 115" xfId="17827"/>
    <cellStyle name="Comma 115 2" xfId="17828"/>
    <cellStyle name="Comma 116" xfId="17829"/>
    <cellStyle name="Comma 116 2" xfId="17830"/>
    <cellStyle name="Comma 117" xfId="17831"/>
    <cellStyle name="Comma 117 2" xfId="17832"/>
    <cellStyle name="Comma 118" xfId="17833"/>
    <cellStyle name="Comma 118 2" xfId="17834"/>
    <cellStyle name="Comma 119" xfId="17835"/>
    <cellStyle name="Comma 119 2" xfId="17836"/>
    <cellStyle name="Comma 12" xfId="246"/>
    <cellStyle name="Comma 12 2" xfId="381"/>
    <cellStyle name="Comma 12 3" xfId="35547"/>
    <cellStyle name="Comma 12 4" xfId="17837"/>
    <cellStyle name="Comma 120" xfId="17838"/>
    <cellStyle name="Comma 120 2" xfId="17839"/>
    <cellStyle name="Comma 121" xfId="17840"/>
    <cellStyle name="Comma 121 2" xfId="17841"/>
    <cellStyle name="Comma 122" xfId="17842"/>
    <cellStyle name="Comma 122 2" xfId="17843"/>
    <cellStyle name="Comma 123" xfId="17844"/>
    <cellStyle name="Comma 123 2" xfId="17845"/>
    <cellStyle name="Comma 124" xfId="17846"/>
    <cellStyle name="Comma 124 2" xfId="17847"/>
    <cellStyle name="Comma 125" xfId="17848"/>
    <cellStyle name="Comma 126" xfId="17849"/>
    <cellStyle name="Comma 127" xfId="17850"/>
    <cellStyle name="Comma 128" xfId="17851"/>
    <cellStyle name="Comma 129" xfId="17852"/>
    <cellStyle name="Comma 13" xfId="17853"/>
    <cellStyle name="Comma 130" xfId="17854"/>
    <cellStyle name="Comma 131" xfId="17855"/>
    <cellStyle name="Comma 132" xfId="17856"/>
    <cellStyle name="Comma 133" xfId="17857"/>
    <cellStyle name="Comma 134" xfId="17858"/>
    <cellStyle name="Comma 135" xfId="17859"/>
    <cellStyle name="Comma 136" xfId="17860"/>
    <cellStyle name="Comma 137" xfId="17861"/>
    <cellStyle name="Comma 138" xfId="17862"/>
    <cellStyle name="Comma 139" xfId="17863"/>
    <cellStyle name="Comma 139 2" xfId="17864"/>
    <cellStyle name="Comma 14" xfId="17865"/>
    <cellStyle name="Comma 14 2" xfId="17866"/>
    <cellStyle name="Comma 140" xfId="17867"/>
    <cellStyle name="Comma 140 2" xfId="17868"/>
    <cellStyle name="Comma 141" xfId="17869"/>
    <cellStyle name="Comma 141 2" xfId="17870"/>
    <cellStyle name="Comma 142" xfId="17871"/>
    <cellStyle name="Comma 142 2" xfId="17872"/>
    <cellStyle name="Comma 143" xfId="17873"/>
    <cellStyle name="Comma 143 2" xfId="17874"/>
    <cellStyle name="Comma 144" xfId="17875"/>
    <cellStyle name="Comma 144 2" xfId="17876"/>
    <cellStyle name="Comma 145" xfId="17877"/>
    <cellStyle name="Comma 145 2" xfId="17878"/>
    <cellStyle name="Comma 146" xfId="17879"/>
    <cellStyle name="Comma 146 2" xfId="17880"/>
    <cellStyle name="Comma 147" xfId="17881"/>
    <cellStyle name="Comma 147 2" xfId="17882"/>
    <cellStyle name="Comma 148" xfId="17883"/>
    <cellStyle name="Comma 148 2" xfId="17884"/>
    <cellStyle name="Comma 149" xfId="17885"/>
    <cellStyle name="Comma 15" xfId="17886"/>
    <cellStyle name="Comma 15 2" xfId="17887"/>
    <cellStyle name="Comma 150" xfId="17888"/>
    <cellStyle name="Comma 151" xfId="17889"/>
    <cellStyle name="Comma 152" xfId="17890"/>
    <cellStyle name="Comma 153" xfId="17891"/>
    <cellStyle name="Comma 153 2" xfId="17892"/>
    <cellStyle name="Comma 154" xfId="17893"/>
    <cellStyle name="Comma 154 2" xfId="17894"/>
    <cellStyle name="Comma 155" xfId="17895"/>
    <cellStyle name="Comma 155 2" xfId="17896"/>
    <cellStyle name="Comma 156" xfId="17897"/>
    <cellStyle name="Comma 156 2" xfId="17898"/>
    <cellStyle name="Comma 157" xfId="17899"/>
    <cellStyle name="Comma 157 2" xfId="17900"/>
    <cellStyle name="Comma 158" xfId="17901"/>
    <cellStyle name="Comma 158 2" xfId="17902"/>
    <cellStyle name="Comma 159" xfId="17903"/>
    <cellStyle name="Comma 159 2" xfId="17904"/>
    <cellStyle name="Comma 16" xfId="17905"/>
    <cellStyle name="Comma 16 2" xfId="17906"/>
    <cellStyle name="Comma 160" xfId="17907"/>
    <cellStyle name="Comma 160 2" xfId="17908"/>
    <cellStyle name="Comma 161" xfId="17909"/>
    <cellStyle name="Comma 161 2" xfId="17910"/>
    <cellStyle name="Comma 162" xfId="17911"/>
    <cellStyle name="Comma 162 2" xfId="17912"/>
    <cellStyle name="Comma 163" xfId="17913"/>
    <cellStyle name="Comma 163 2" xfId="17914"/>
    <cellStyle name="Comma 164" xfId="17915"/>
    <cellStyle name="Comma 164 2" xfId="17916"/>
    <cellStyle name="Comma 165" xfId="17917"/>
    <cellStyle name="Comma 165 2" xfId="17918"/>
    <cellStyle name="Comma 166" xfId="17919"/>
    <cellStyle name="Comma 166 2" xfId="17920"/>
    <cellStyle name="Comma 167" xfId="17921"/>
    <cellStyle name="Comma 167 2" xfId="17922"/>
    <cellStyle name="Comma 168" xfId="17923"/>
    <cellStyle name="Comma 168 2" xfId="17924"/>
    <cellStyle name="Comma 169" xfId="17925"/>
    <cellStyle name="Comma 169 2" xfId="17926"/>
    <cellStyle name="Comma 17" xfId="17927"/>
    <cellStyle name="Comma 17 2" xfId="17928"/>
    <cellStyle name="Comma 170" xfId="17929"/>
    <cellStyle name="Comma 170 2" xfId="17930"/>
    <cellStyle name="Comma 171" xfId="17931"/>
    <cellStyle name="Comma 171 2" xfId="17932"/>
    <cellStyle name="Comma 172" xfId="17933"/>
    <cellStyle name="Comma 172 2" xfId="17934"/>
    <cellStyle name="Comma 173" xfId="17935"/>
    <cellStyle name="Comma 173 2" xfId="17936"/>
    <cellStyle name="Comma 174" xfId="17937"/>
    <cellStyle name="Comma 174 2" xfId="17938"/>
    <cellStyle name="Comma 175" xfId="17939"/>
    <cellStyle name="Comma 175 2" xfId="17940"/>
    <cellStyle name="Comma 176" xfId="17941"/>
    <cellStyle name="Comma 176 2" xfId="17942"/>
    <cellStyle name="Comma 177" xfId="17943"/>
    <cellStyle name="Comma 177 2" xfId="17944"/>
    <cellStyle name="Comma 178" xfId="17945"/>
    <cellStyle name="Comma 178 2" xfId="17946"/>
    <cellStyle name="Comma 179" xfId="17947"/>
    <cellStyle name="Comma 179 2" xfId="17948"/>
    <cellStyle name="Comma 18" xfId="17949"/>
    <cellStyle name="Comma 18 2" xfId="17950"/>
    <cellStyle name="Comma 180" xfId="17951"/>
    <cellStyle name="Comma 180 2" xfId="17952"/>
    <cellStyle name="Comma 181" xfId="17953"/>
    <cellStyle name="Comma 181 2" xfId="17954"/>
    <cellStyle name="Comma 182" xfId="17955"/>
    <cellStyle name="Comma 182 2" xfId="17956"/>
    <cellStyle name="Comma 183" xfId="17957"/>
    <cellStyle name="Comma 183 2" xfId="17958"/>
    <cellStyle name="Comma 184" xfId="17959"/>
    <cellStyle name="Comma 184 2" xfId="17960"/>
    <cellStyle name="Comma 185" xfId="17961"/>
    <cellStyle name="Comma 185 2" xfId="17962"/>
    <cellStyle name="Comma 186" xfId="17963"/>
    <cellStyle name="Comma 186 2" xfId="17964"/>
    <cellStyle name="Comma 187" xfId="17965"/>
    <cellStyle name="Comma 187 2" xfId="17966"/>
    <cellStyle name="Comma 188" xfId="17967"/>
    <cellStyle name="Comma 188 2" xfId="17968"/>
    <cellStyle name="Comma 189" xfId="17969"/>
    <cellStyle name="Comma 189 2" xfId="17970"/>
    <cellStyle name="Comma 19" xfId="17971"/>
    <cellStyle name="Comma 19 2" xfId="17972"/>
    <cellStyle name="Comma 190" xfId="17973"/>
    <cellStyle name="Comma 190 2" xfId="17974"/>
    <cellStyle name="Comma 191" xfId="17975"/>
    <cellStyle name="Comma 191 2" xfId="17976"/>
    <cellStyle name="Comma 192" xfId="17977"/>
    <cellStyle name="Comma 192 2" xfId="17978"/>
    <cellStyle name="Comma 193" xfId="17979"/>
    <cellStyle name="Comma 193 2" xfId="17980"/>
    <cellStyle name="Comma 194" xfId="17981"/>
    <cellStyle name="Comma 194 2" xfId="17982"/>
    <cellStyle name="Comma 195" xfId="17983"/>
    <cellStyle name="Comma 195 2" xfId="17984"/>
    <cellStyle name="Comma 196" xfId="17985"/>
    <cellStyle name="Comma 196 2" xfId="17986"/>
    <cellStyle name="Comma 197" xfId="17987"/>
    <cellStyle name="Comma 197 2" xfId="17988"/>
    <cellStyle name="Comma 198" xfId="17989"/>
    <cellStyle name="Comma 198 2" xfId="17990"/>
    <cellStyle name="Comma 199" xfId="17991"/>
    <cellStyle name="Comma 199 2" xfId="17992"/>
    <cellStyle name="Comma 2" xfId="133"/>
    <cellStyle name="Comma 2 2" xfId="134"/>
    <cellStyle name="Comma 2 2 2" xfId="247"/>
    <cellStyle name="Comma 2 2 2 2" xfId="17995"/>
    <cellStyle name="Comma 2 2 2 3" xfId="17996"/>
    <cellStyle name="Comma 2 2 3" xfId="17997"/>
    <cellStyle name="Comma 2 2 3 2" xfId="35936"/>
    <cellStyle name="Comma 2 2 4" xfId="17998"/>
    <cellStyle name="Comma 2 2 4 2" xfId="17999"/>
    <cellStyle name="Comma 2 2 4 2 2" xfId="18000"/>
    <cellStyle name="Comma 2 2 4 3" xfId="18001"/>
    <cellStyle name="Comma 2 2 4 4" xfId="18002"/>
    <cellStyle name="Comma 2 2 5" xfId="18003"/>
    <cellStyle name="Comma 2 2 6" xfId="35549"/>
    <cellStyle name="Comma 2 2 7" xfId="17994"/>
    <cellStyle name="Comma 2 2 8" xfId="35791"/>
    <cellStyle name="Comma 2 3" xfId="135"/>
    <cellStyle name="Comma 2 3 2" xfId="248"/>
    <cellStyle name="Comma 2 3 2 2" xfId="382"/>
    <cellStyle name="Comma 2 3 2 3" xfId="35551"/>
    <cellStyle name="Comma 2 3 2 4" xfId="18005"/>
    <cellStyle name="Comma 2 3 2 5" xfId="35792"/>
    <cellStyle name="Comma 2 3 3" xfId="336"/>
    <cellStyle name="Comma 2 3 3 2" xfId="417"/>
    <cellStyle name="Comma 2 3 3 2 2" xfId="18008"/>
    <cellStyle name="Comma 2 3 3 2 3" xfId="35616"/>
    <cellStyle name="Comma 2 3 3 2 4" xfId="18007"/>
    <cellStyle name="Comma 2 3 3 3" xfId="18009"/>
    <cellStyle name="Comma 2 3 3 4" xfId="18010"/>
    <cellStyle name="Comma 2 3 3 5" xfId="35615"/>
    <cellStyle name="Comma 2 3 3 6" xfId="18006"/>
    <cellStyle name="Comma 2 3 4" xfId="359"/>
    <cellStyle name="Comma 2 3 4 2" xfId="35617"/>
    <cellStyle name="Comma 2 3 4 3" xfId="18011"/>
    <cellStyle name="Comma 2 3 5" xfId="35550"/>
    <cellStyle name="Comma 2 3 6" xfId="18004"/>
    <cellStyle name="Comma 2 4" xfId="136"/>
    <cellStyle name="Comma 2 4 2" xfId="319"/>
    <cellStyle name="Comma 2 4 2 2" xfId="400"/>
    <cellStyle name="Comma 2 4 2 3" xfId="35618"/>
    <cellStyle name="Comma 2 4 2 4" xfId="18013"/>
    <cellStyle name="Comma 2 4 3" xfId="337"/>
    <cellStyle name="Comma 2 4 3 2" xfId="418"/>
    <cellStyle name="Comma 2 4 4" xfId="360"/>
    <cellStyle name="Comma 2 4 5" xfId="35552"/>
    <cellStyle name="Comma 2 4 6" xfId="18012"/>
    <cellStyle name="Comma 2 4 7" xfId="35793"/>
    <cellStyle name="Comma 2 5" xfId="249"/>
    <cellStyle name="Comma 2 5 2" xfId="35553"/>
    <cellStyle name="Comma 2 5 3" xfId="18014"/>
    <cellStyle name="Comma 2 6" xfId="335"/>
    <cellStyle name="Comma 2 6 2" xfId="416"/>
    <cellStyle name="Comma 2 6 3" xfId="35937"/>
    <cellStyle name="Comma 2 7" xfId="358"/>
    <cellStyle name="Comma 2 8" xfId="35548"/>
    <cellStyle name="Comma 2 9" xfId="17993"/>
    <cellStyle name="Comma 2_Major Customer Project Data_15Nov2012" xfId="250"/>
    <cellStyle name="Comma 20" xfId="18015"/>
    <cellStyle name="Comma 20 2" xfId="18016"/>
    <cellStyle name="Comma 200" xfId="18017"/>
    <cellStyle name="Comma 200 2" xfId="18018"/>
    <cellStyle name="Comma 201" xfId="18019"/>
    <cellStyle name="Comma 201 2" xfId="18020"/>
    <cellStyle name="Comma 202" xfId="18021"/>
    <cellStyle name="Comma 202 2" xfId="18022"/>
    <cellStyle name="Comma 203" xfId="18023"/>
    <cellStyle name="Comma 203 2" xfId="18024"/>
    <cellStyle name="Comma 204" xfId="18025"/>
    <cellStyle name="Comma 204 2" xfId="18026"/>
    <cellStyle name="Comma 205" xfId="18027"/>
    <cellStyle name="Comma 205 2" xfId="18028"/>
    <cellStyle name="Comma 206" xfId="18029"/>
    <cellStyle name="Comma 206 2" xfId="18030"/>
    <cellStyle name="Comma 207" xfId="18031"/>
    <cellStyle name="Comma 207 2" xfId="18032"/>
    <cellStyle name="Comma 208" xfId="18033"/>
    <cellStyle name="Comma 208 2" xfId="18034"/>
    <cellStyle name="Comma 209" xfId="18035"/>
    <cellStyle name="Comma 209 2" xfId="18036"/>
    <cellStyle name="Comma 21" xfId="18037"/>
    <cellStyle name="Comma 21 2" xfId="18038"/>
    <cellStyle name="Comma 210" xfId="18039"/>
    <cellStyle name="Comma 210 2" xfId="18040"/>
    <cellStyle name="Comma 211" xfId="18041"/>
    <cellStyle name="Comma 211 2" xfId="18042"/>
    <cellStyle name="Comma 212" xfId="18043"/>
    <cellStyle name="Comma 212 2" xfId="18044"/>
    <cellStyle name="Comma 213" xfId="18045"/>
    <cellStyle name="Comma 213 2" xfId="18046"/>
    <cellStyle name="Comma 214" xfId="18047"/>
    <cellStyle name="Comma 214 2" xfId="18048"/>
    <cellStyle name="Comma 215" xfId="18049"/>
    <cellStyle name="Comma 215 2" xfId="18050"/>
    <cellStyle name="Comma 216" xfId="18051"/>
    <cellStyle name="Comma 216 2" xfId="18052"/>
    <cellStyle name="Comma 217" xfId="18053"/>
    <cellStyle name="Comma 217 2" xfId="18054"/>
    <cellStyle name="Comma 218" xfId="18055"/>
    <cellStyle name="Comma 218 2" xfId="18056"/>
    <cellStyle name="Comma 219" xfId="18057"/>
    <cellStyle name="Comma 219 2" xfId="18058"/>
    <cellStyle name="Comma 22" xfId="18059"/>
    <cellStyle name="Comma 220" xfId="18060"/>
    <cellStyle name="Comma 220 2" xfId="18061"/>
    <cellStyle name="Comma 221" xfId="18062"/>
    <cellStyle name="Comma 221 2" xfId="18063"/>
    <cellStyle name="Comma 222" xfId="18064"/>
    <cellStyle name="Comma 222 2" xfId="18065"/>
    <cellStyle name="Comma 223" xfId="18066"/>
    <cellStyle name="Comma 223 2" xfId="18067"/>
    <cellStyle name="Comma 224" xfId="18068"/>
    <cellStyle name="Comma 224 2" xfId="18069"/>
    <cellStyle name="Comma 225" xfId="18070"/>
    <cellStyle name="Comma 225 2" xfId="18071"/>
    <cellStyle name="Comma 226" xfId="18072"/>
    <cellStyle name="Comma 226 2" xfId="18073"/>
    <cellStyle name="Comma 227" xfId="18074"/>
    <cellStyle name="Comma 227 2" xfId="18075"/>
    <cellStyle name="Comma 228" xfId="18076"/>
    <cellStyle name="Comma 228 2" xfId="18077"/>
    <cellStyle name="Comma 229" xfId="18078"/>
    <cellStyle name="Comma 229 2" xfId="18079"/>
    <cellStyle name="Comma 23" xfId="18080"/>
    <cellStyle name="Comma 23 2" xfId="18081"/>
    <cellStyle name="Comma 230" xfId="18082"/>
    <cellStyle name="Comma 230 2" xfId="18083"/>
    <cellStyle name="Comma 231" xfId="18084"/>
    <cellStyle name="Comma 231 2" xfId="18085"/>
    <cellStyle name="Comma 232" xfId="18086"/>
    <cellStyle name="Comma 232 2" xfId="18087"/>
    <cellStyle name="Comma 233" xfId="18088"/>
    <cellStyle name="Comma 234" xfId="18089"/>
    <cellStyle name="Comma 234 2" xfId="18090"/>
    <cellStyle name="Comma 235" xfId="18091"/>
    <cellStyle name="Comma 235 2" xfId="18092"/>
    <cellStyle name="Comma 236" xfId="18093"/>
    <cellStyle name="Comma 236 2" xfId="18094"/>
    <cellStyle name="Comma 237" xfId="18095"/>
    <cellStyle name="Comma 237 2" xfId="18096"/>
    <cellStyle name="Comma 238" xfId="18097"/>
    <cellStyle name="Comma 238 2" xfId="18098"/>
    <cellStyle name="Comma 239" xfId="18099"/>
    <cellStyle name="Comma 239 2" xfId="18100"/>
    <cellStyle name="Comma 239 2 2" xfId="18101"/>
    <cellStyle name="Comma 239 2 2 2" xfId="18102"/>
    <cellStyle name="Comma 239 2 2 2 2" xfId="18103"/>
    <cellStyle name="Comma 239 2 2 3" xfId="18104"/>
    <cellStyle name="Comma 239 2 2 4" xfId="18105"/>
    <cellStyle name="Comma 239 2 3" xfId="18106"/>
    <cellStyle name="Comma 239 2 3 2" xfId="18107"/>
    <cellStyle name="Comma 239 2 4" xfId="18108"/>
    <cellStyle name="Comma 239 2 5" xfId="18109"/>
    <cellStyle name="Comma 239 3" xfId="18110"/>
    <cellStyle name="Comma 239 3 2" xfId="18111"/>
    <cellStyle name="Comma 239 3 2 2" xfId="18112"/>
    <cellStyle name="Comma 239 3 3" xfId="18113"/>
    <cellStyle name="Comma 239 3 4" xfId="18114"/>
    <cellStyle name="Comma 239 4" xfId="18115"/>
    <cellStyle name="Comma 239 5" xfId="18116"/>
    <cellStyle name="Comma 239 6" xfId="18117"/>
    <cellStyle name="Comma 239 6 2" xfId="18118"/>
    <cellStyle name="Comma 239 7" xfId="18119"/>
    <cellStyle name="Comma 239 8" xfId="18120"/>
    <cellStyle name="Comma 24" xfId="18121"/>
    <cellStyle name="Comma 24 2" xfId="18122"/>
    <cellStyle name="Comma 240" xfId="18123"/>
    <cellStyle name="Comma 240 2" xfId="18124"/>
    <cellStyle name="Comma 240 2 2" xfId="18125"/>
    <cellStyle name="Comma 240 2 2 2" xfId="18126"/>
    <cellStyle name="Comma 240 2 2 2 2" xfId="18127"/>
    <cellStyle name="Comma 240 2 2 3" xfId="18128"/>
    <cellStyle name="Comma 240 2 2 4" xfId="18129"/>
    <cellStyle name="Comma 240 2 3" xfId="18130"/>
    <cellStyle name="Comma 240 2 3 2" xfId="18131"/>
    <cellStyle name="Comma 240 2 4" xfId="18132"/>
    <cellStyle name="Comma 240 2 5" xfId="18133"/>
    <cellStyle name="Comma 240 3" xfId="18134"/>
    <cellStyle name="Comma 240 3 2" xfId="18135"/>
    <cellStyle name="Comma 240 3 2 2" xfId="18136"/>
    <cellStyle name="Comma 240 3 3" xfId="18137"/>
    <cellStyle name="Comma 240 3 4" xfId="18138"/>
    <cellStyle name="Comma 240 4" xfId="18139"/>
    <cellStyle name="Comma 240 5" xfId="18140"/>
    <cellStyle name="Comma 240 5 2" xfId="18141"/>
    <cellStyle name="Comma 240 6" xfId="18142"/>
    <cellStyle name="Comma 240 7" xfId="18143"/>
    <cellStyle name="Comma 241" xfId="18144"/>
    <cellStyle name="Comma 241 2" xfId="18145"/>
    <cellStyle name="Comma 241 2 2" xfId="18146"/>
    <cellStyle name="Comma 241 2 2 2" xfId="18147"/>
    <cellStyle name="Comma 241 2 2 2 2" xfId="18148"/>
    <cellStyle name="Comma 241 2 2 3" xfId="18149"/>
    <cellStyle name="Comma 241 2 2 4" xfId="18150"/>
    <cellStyle name="Comma 241 2 3" xfId="18151"/>
    <cellStyle name="Comma 241 2 3 2" xfId="18152"/>
    <cellStyle name="Comma 241 2 4" xfId="18153"/>
    <cellStyle name="Comma 241 2 5" xfId="18154"/>
    <cellStyle name="Comma 241 3" xfId="18155"/>
    <cellStyle name="Comma 241 3 2" xfId="18156"/>
    <cellStyle name="Comma 241 3 2 2" xfId="18157"/>
    <cellStyle name="Comma 241 3 3" xfId="18158"/>
    <cellStyle name="Comma 241 3 4" xfId="18159"/>
    <cellStyle name="Comma 241 4" xfId="18160"/>
    <cellStyle name="Comma 241 5" xfId="18161"/>
    <cellStyle name="Comma 241 5 2" xfId="18162"/>
    <cellStyle name="Comma 241 6" xfId="18163"/>
    <cellStyle name="Comma 241 7" xfId="18164"/>
    <cellStyle name="Comma 242" xfId="18165"/>
    <cellStyle name="Comma 242 2" xfId="18166"/>
    <cellStyle name="Comma 242 2 2" xfId="18167"/>
    <cellStyle name="Comma 242 2 2 2" xfId="18168"/>
    <cellStyle name="Comma 242 2 2 2 2" xfId="18169"/>
    <cellStyle name="Comma 242 2 2 3" xfId="18170"/>
    <cellStyle name="Comma 242 2 2 4" xfId="18171"/>
    <cellStyle name="Comma 242 2 3" xfId="18172"/>
    <cellStyle name="Comma 242 2 3 2" xfId="18173"/>
    <cellStyle name="Comma 242 2 4" xfId="18174"/>
    <cellStyle name="Comma 242 2 5" xfId="18175"/>
    <cellStyle name="Comma 242 3" xfId="18176"/>
    <cellStyle name="Comma 242 3 2" xfId="18177"/>
    <cellStyle name="Comma 242 3 2 2" xfId="18178"/>
    <cellStyle name="Comma 242 3 3" xfId="18179"/>
    <cellStyle name="Comma 242 3 4" xfId="18180"/>
    <cellStyle name="Comma 242 4" xfId="18181"/>
    <cellStyle name="Comma 242 5" xfId="18182"/>
    <cellStyle name="Comma 242 5 2" xfId="18183"/>
    <cellStyle name="Comma 242 6" xfId="18184"/>
    <cellStyle name="Comma 242 7" xfId="18185"/>
    <cellStyle name="Comma 243" xfId="18186"/>
    <cellStyle name="Comma 243 2" xfId="18187"/>
    <cellStyle name="Comma 243 2 2" xfId="18188"/>
    <cellStyle name="Comma 243 2 2 2" xfId="18189"/>
    <cellStyle name="Comma 243 2 2 2 2" xfId="18190"/>
    <cellStyle name="Comma 243 2 2 3" xfId="18191"/>
    <cellStyle name="Comma 243 2 2 4" xfId="18192"/>
    <cellStyle name="Comma 243 2 3" xfId="18193"/>
    <cellStyle name="Comma 243 2 3 2" xfId="18194"/>
    <cellStyle name="Comma 243 2 4" xfId="18195"/>
    <cellStyle name="Comma 243 2 5" xfId="18196"/>
    <cellStyle name="Comma 243 3" xfId="18197"/>
    <cellStyle name="Comma 243 3 2" xfId="18198"/>
    <cellStyle name="Comma 243 3 2 2" xfId="18199"/>
    <cellStyle name="Comma 243 3 3" xfId="18200"/>
    <cellStyle name="Comma 243 3 4" xfId="18201"/>
    <cellStyle name="Comma 243 4" xfId="18202"/>
    <cellStyle name="Comma 243 5" xfId="18203"/>
    <cellStyle name="Comma 243 5 2" xfId="18204"/>
    <cellStyle name="Comma 243 6" xfId="18205"/>
    <cellStyle name="Comma 243 7" xfId="18206"/>
    <cellStyle name="Comma 244" xfId="18207"/>
    <cellStyle name="Comma 244 2" xfId="18208"/>
    <cellStyle name="Comma 244 2 2" xfId="18209"/>
    <cellStyle name="Comma 244 2 2 2" xfId="18210"/>
    <cellStyle name="Comma 244 2 2 2 2" xfId="18211"/>
    <cellStyle name="Comma 244 2 2 3" xfId="18212"/>
    <cellStyle name="Comma 244 2 2 4" xfId="18213"/>
    <cellStyle name="Comma 244 2 3" xfId="18214"/>
    <cellStyle name="Comma 244 2 3 2" xfId="18215"/>
    <cellStyle name="Comma 244 2 4" xfId="18216"/>
    <cellStyle name="Comma 244 2 5" xfId="18217"/>
    <cellStyle name="Comma 244 3" xfId="18218"/>
    <cellStyle name="Comma 244 3 2" xfId="18219"/>
    <cellStyle name="Comma 244 3 2 2" xfId="18220"/>
    <cellStyle name="Comma 244 3 3" xfId="18221"/>
    <cellStyle name="Comma 244 3 4" xfId="18222"/>
    <cellStyle name="Comma 244 4" xfId="18223"/>
    <cellStyle name="Comma 244 5" xfId="18224"/>
    <cellStyle name="Comma 244 5 2" xfId="18225"/>
    <cellStyle name="Comma 244 6" xfId="18226"/>
    <cellStyle name="Comma 244 7" xfId="18227"/>
    <cellStyle name="Comma 245" xfId="18228"/>
    <cellStyle name="Comma 245 2" xfId="18229"/>
    <cellStyle name="Comma 245 2 2" xfId="18230"/>
    <cellStyle name="Comma 245 2 2 2" xfId="18231"/>
    <cellStyle name="Comma 245 2 2 2 2" xfId="18232"/>
    <cellStyle name="Comma 245 2 2 3" xfId="18233"/>
    <cellStyle name="Comma 245 2 2 4" xfId="18234"/>
    <cellStyle name="Comma 245 2 3" xfId="18235"/>
    <cellStyle name="Comma 245 2 3 2" xfId="18236"/>
    <cellStyle name="Comma 245 2 4" xfId="18237"/>
    <cellStyle name="Comma 245 2 5" xfId="18238"/>
    <cellStyle name="Comma 245 3" xfId="18239"/>
    <cellStyle name="Comma 245 3 2" xfId="18240"/>
    <cellStyle name="Comma 245 3 2 2" xfId="18241"/>
    <cellStyle name="Comma 245 3 3" xfId="18242"/>
    <cellStyle name="Comma 245 3 4" xfId="18243"/>
    <cellStyle name="Comma 245 4" xfId="18244"/>
    <cellStyle name="Comma 245 5" xfId="18245"/>
    <cellStyle name="Comma 245 5 2" xfId="18246"/>
    <cellStyle name="Comma 245 6" xfId="18247"/>
    <cellStyle name="Comma 245 7" xfId="18248"/>
    <cellStyle name="Comma 246" xfId="18249"/>
    <cellStyle name="Comma 246 2" xfId="18250"/>
    <cellStyle name="Comma 246 2 2" xfId="18251"/>
    <cellStyle name="Comma 246 2 2 2" xfId="18252"/>
    <cellStyle name="Comma 246 2 2 2 2" xfId="18253"/>
    <cellStyle name="Comma 246 2 2 3" xfId="18254"/>
    <cellStyle name="Comma 246 2 2 4" xfId="18255"/>
    <cellStyle name="Comma 246 2 3" xfId="18256"/>
    <cellStyle name="Comma 246 2 3 2" xfId="18257"/>
    <cellStyle name="Comma 246 2 4" xfId="18258"/>
    <cellStyle name="Comma 246 2 5" xfId="18259"/>
    <cellStyle name="Comma 246 3" xfId="18260"/>
    <cellStyle name="Comma 246 3 2" xfId="18261"/>
    <cellStyle name="Comma 246 3 2 2" xfId="18262"/>
    <cellStyle name="Comma 246 3 3" xfId="18263"/>
    <cellStyle name="Comma 246 3 4" xfId="18264"/>
    <cellStyle name="Comma 246 4" xfId="18265"/>
    <cellStyle name="Comma 246 5" xfId="18266"/>
    <cellStyle name="Comma 246 5 2" xfId="18267"/>
    <cellStyle name="Comma 246 6" xfId="18268"/>
    <cellStyle name="Comma 246 7" xfId="18269"/>
    <cellStyle name="Comma 247" xfId="18270"/>
    <cellStyle name="Comma 247 2" xfId="18271"/>
    <cellStyle name="Comma 247 2 2" xfId="18272"/>
    <cellStyle name="Comma 247 2 2 2" xfId="18273"/>
    <cellStyle name="Comma 247 2 2 2 2" xfId="18274"/>
    <cellStyle name="Comma 247 2 2 3" xfId="18275"/>
    <cellStyle name="Comma 247 2 2 4" xfId="18276"/>
    <cellStyle name="Comma 247 2 3" xfId="18277"/>
    <cellStyle name="Comma 247 2 3 2" xfId="18278"/>
    <cellStyle name="Comma 247 2 4" xfId="18279"/>
    <cellStyle name="Comma 247 2 5" xfId="18280"/>
    <cellStyle name="Comma 247 3" xfId="18281"/>
    <cellStyle name="Comma 247 3 2" xfId="18282"/>
    <cellStyle name="Comma 247 3 2 2" xfId="18283"/>
    <cellStyle name="Comma 247 3 3" xfId="18284"/>
    <cellStyle name="Comma 247 3 4" xfId="18285"/>
    <cellStyle name="Comma 247 4" xfId="18286"/>
    <cellStyle name="Comma 247 5" xfId="18287"/>
    <cellStyle name="Comma 247 5 2" xfId="18288"/>
    <cellStyle name="Comma 247 6" xfId="18289"/>
    <cellStyle name="Comma 247 7" xfId="18290"/>
    <cellStyle name="Comma 248" xfId="18291"/>
    <cellStyle name="Comma 248 2" xfId="18292"/>
    <cellStyle name="Comma 248 2 2" xfId="18293"/>
    <cellStyle name="Comma 248 2 2 2" xfId="18294"/>
    <cellStyle name="Comma 248 2 2 2 2" xfId="18295"/>
    <cellStyle name="Comma 248 2 2 3" xfId="18296"/>
    <cellStyle name="Comma 248 2 2 4" xfId="18297"/>
    <cellStyle name="Comma 248 2 3" xfId="18298"/>
    <cellStyle name="Comma 248 2 3 2" xfId="18299"/>
    <cellStyle name="Comma 248 2 4" xfId="18300"/>
    <cellStyle name="Comma 248 2 5" xfId="18301"/>
    <cellStyle name="Comma 248 3" xfId="18302"/>
    <cellStyle name="Comma 248 3 2" xfId="18303"/>
    <cellStyle name="Comma 248 3 2 2" xfId="18304"/>
    <cellStyle name="Comma 248 3 3" xfId="18305"/>
    <cellStyle name="Comma 248 3 4" xfId="18306"/>
    <cellStyle name="Comma 248 4" xfId="18307"/>
    <cellStyle name="Comma 248 5" xfId="18308"/>
    <cellStyle name="Comma 248 5 2" xfId="18309"/>
    <cellStyle name="Comma 248 6" xfId="18310"/>
    <cellStyle name="Comma 248 7" xfId="18311"/>
    <cellStyle name="Comma 249" xfId="18312"/>
    <cellStyle name="Comma 25" xfId="18313"/>
    <cellStyle name="Comma 25 2" xfId="18314"/>
    <cellStyle name="Comma 250" xfId="18315"/>
    <cellStyle name="Comma 251" xfId="18316"/>
    <cellStyle name="Comma 252" xfId="18317"/>
    <cellStyle name="Comma 253" xfId="18318"/>
    <cellStyle name="Comma 254" xfId="18319"/>
    <cellStyle name="Comma 255" xfId="18320"/>
    <cellStyle name="Comma 256" xfId="18321"/>
    <cellStyle name="Comma 256 2" xfId="18322"/>
    <cellStyle name="Comma 257" xfId="18323"/>
    <cellStyle name="Comma 257 2" xfId="18324"/>
    <cellStyle name="Comma 258" xfId="18325"/>
    <cellStyle name="Comma 258 2" xfId="18326"/>
    <cellStyle name="Comma 259" xfId="18327"/>
    <cellStyle name="Comma 259 2" xfId="18328"/>
    <cellStyle name="Comma 26" xfId="18329"/>
    <cellStyle name="Comma 26 2" xfId="18330"/>
    <cellStyle name="Comma 260" xfId="18331"/>
    <cellStyle name="Comma 260 2" xfId="18332"/>
    <cellStyle name="Comma 261" xfId="18333"/>
    <cellStyle name="Comma 261 2" xfId="18334"/>
    <cellStyle name="Comma 262" xfId="18335"/>
    <cellStyle name="Comma 262 2" xfId="18336"/>
    <cellStyle name="Comma 262 2 2" xfId="18337"/>
    <cellStyle name="Comma 262 2 2 2" xfId="18338"/>
    <cellStyle name="Comma 262 2 3" xfId="18339"/>
    <cellStyle name="Comma 262 2 4" xfId="18340"/>
    <cellStyle name="Comma 262 3" xfId="18341"/>
    <cellStyle name="Comma 262 4" xfId="18342"/>
    <cellStyle name="Comma 262 4 2" xfId="18343"/>
    <cellStyle name="Comma 262 5" xfId="18344"/>
    <cellStyle name="Comma 262 6" xfId="18345"/>
    <cellStyle name="Comma 263" xfId="18346"/>
    <cellStyle name="Comma 263 2" xfId="18347"/>
    <cellStyle name="Comma 263 2 2" xfId="18348"/>
    <cellStyle name="Comma 263 2 2 2" xfId="18349"/>
    <cellStyle name="Comma 263 2 3" xfId="18350"/>
    <cellStyle name="Comma 263 2 4" xfId="18351"/>
    <cellStyle name="Comma 263 3" xfId="18352"/>
    <cellStyle name="Comma 263 4" xfId="18353"/>
    <cellStyle name="Comma 263 4 2" xfId="18354"/>
    <cellStyle name="Comma 263 5" xfId="18355"/>
    <cellStyle name="Comma 263 6" xfId="18356"/>
    <cellStyle name="Comma 264" xfId="18357"/>
    <cellStyle name="Comma 264 2" xfId="18358"/>
    <cellStyle name="Comma 264 2 2" xfId="18359"/>
    <cellStyle name="Comma 264 2 2 2" xfId="18360"/>
    <cellStyle name="Comma 264 2 3" xfId="18361"/>
    <cellStyle name="Comma 264 2 4" xfId="18362"/>
    <cellStyle name="Comma 264 3" xfId="18363"/>
    <cellStyle name="Comma 264 4" xfId="18364"/>
    <cellStyle name="Comma 264 4 2" xfId="18365"/>
    <cellStyle name="Comma 264 5" xfId="18366"/>
    <cellStyle name="Comma 264 6" xfId="18367"/>
    <cellStyle name="Comma 265" xfId="18368"/>
    <cellStyle name="Comma 265 2" xfId="18369"/>
    <cellStyle name="Comma 265 2 2" xfId="18370"/>
    <cellStyle name="Comma 265 2 2 2" xfId="18371"/>
    <cellStyle name="Comma 265 2 3" xfId="18372"/>
    <cellStyle name="Comma 265 2 4" xfId="18373"/>
    <cellStyle name="Comma 265 3" xfId="18374"/>
    <cellStyle name="Comma 265 4" xfId="18375"/>
    <cellStyle name="Comma 265 4 2" xfId="18376"/>
    <cellStyle name="Comma 265 5" xfId="18377"/>
    <cellStyle name="Comma 265 6" xfId="18378"/>
    <cellStyle name="Comma 266" xfId="18379"/>
    <cellStyle name="Comma 266 2" xfId="18380"/>
    <cellStyle name="Comma 266 2 2" xfId="18381"/>
    <cellStyle name="Comma 266 2 2 2" xfId="18382"/>
    <cellStyle name="Comma 266 2 3" xfId="18383"/>
    <cellStyle name="Comma 266 2 4" xfId="18384"/>
    <cellStyle name="Comma 266 3" xfId="18385"/>
    <cellStyle name="Comma 266 4" xfId="18386"/>
    <cellStyle name="Comma 266 4 2" xfId="18387"/>
    <cellStyle name="Comma 266 5" xfId="18388"/>
    <cellStyle name="Comma 266 6" xfId="18389"/>
    <cellStyle name="Comma 267" xfId="18390"/>
    <cellStyle name="Comma 267 2" xfId="18391"/>
    <cellStyle name="Comma 267 2 2" xfId="18392"/>
    <cellStyle name="Comma 267 2 2 2" xfId="18393"/>
    <cellStyle name="Comma 267 2 3" xfId="18394"/>
    <cellStyle name="Comma 267 2 4" xfId="18395"/>
    <cellStyle name="Comma 267 3" xfId="18396"/>
    <cellStyle name="Comma 267 4" xfId="18397"/>
    <cellStyle name="Comma 267 4 2" xfId="18398"/>
    <cellStyle name="Comma 267 5" xfId="18399"/>
    <cellStyle name="Comma 267 6" xfId="18400"/>
    <cellStyle name="Comma 268" xfId="18401"/>
    <cellStyle name="Comma 268 2" xfId="18402"/>
    <cellStyle name="Comma 268 2 2" xfId="18403"/>
    <cellStyle name="Comma 268 2 2 2" xfId="18404"/>
    <cellStyle name="Comma 268 2 3" xfId="18405"/>
    <cellStyle name="Comma 268 2 4" xfId="18406"/>
    <cellStyle name="Comma 268 3" xfId="18407"/>
    <cellStyle name="Comma 268 3 2" xfId="18408"/>
    <cellStyle name="Comma 268 4" xfId="18409"/>
    <cellStyle name="Comma 268 5" xfId="18410"/>
    <cellStyle name="Comma 269" xfId="18411"/>
    <cellStyle name="Comma 269 2" xfId="18412"/>
    <cellStyle name="Comma 269 2 2" xfId="18413"/>
    <cellStyle name="Comma 269 2 2 2" xfId="18414"/>
    <cellStyle name="Comma 269 2 3" xfId="18415"/>
    <cellStyle name="Comma 269 2 4" xfId="18416"/>
    <cellStyle name="Comma 269 3" xfId="18417"/>
    <cellStyle name="Comma 269 3 2" xfId="18418"/>
    <cellStyle name="Comma 269 4" xfId="18419"/>
    <cellStyle name="Comma 269 5" xfId="18420"/>
    <cellStyle name="Comma 27" xfId="18421"/>
    <cellStyle name="Comma 27 2" xfId="18422"/>
    <cellStyle name="Comma 270" xfId="18423"/>
    <cellStyle name="Comma 270 2" xfId="18424"/>
    <cellStyle name="Comma 270 2 2" xfId="18425"/>
    <cellStyle name="Comma 270 2 2 2" xfId="18426"/>
    <cellStyle name="Comma 270 2 3" xfId="18427"/>
    <cellStyle name="Comma 270 2 4" xfId="18428"/>
    <cellStyle name="Comma 270 3" xfId="18429"/>
    <cellStyle name="Comma 270 3 2" xfId="18430"/>
    <cellStyle name="Comma 270 4" xfId="18431"/>
    <cellStyle name="Comma 270 5" xfId="18432"/>
    <cellStyle name="Comma 271" xfId="18433"/>
    <cellStyle name="Comma 271 2" xfId="18434"/>
    <cellStyle name="Comma 271 2 2" xfId="18435"/>
    <cellStyle name="Comma 271 2 2 2" xfId="18436"/>
    <cellStyle name="Comma 271 2 3" xfId="18437"/>
    <cellStyle name="Comma 271 2 4" xfId="18438"/>
    <cellStyle name="Comma 271 3" xfId="18439"/>
    <cellStyle name="Comma 271 3 2" xfId="18440"/>
    <cellStyle name="Comma 271 4" xfId="18441"/>
    <cellStyle name="Comma 271 5" xfId="18442"/>
    <cellStyle name="Comma 272" xfId="18443"/>
    <cellStyle name="Comma 272 2" xfId="18444"/>
    <cellStyle name="Comma 272 2 2" xfId="18445"/>
    <cellStyle name="Comma 272 2 2 2" xfId="18446"/>
    <cellStyle name="Comma 272 2 3" xfId="18447"/>
    <cellStyle name="Comma 272 2 4" xfId="18448"/>
    <cellStyle name="Comma 272 3" xfId="18449"/>
    <cellStyle name="Comma 272 3 2" xfId="18450"/>
    <cellStyle name="Comma 272 4" xfId="18451"/>
    <cellStyle name="Comma 272 5" xfId="18452"/>
    <cellStyle name="Comma 273" xfId="18453"/>
    <cellStyle name="Comma 273 2" xfId="18454"/>
    <cellStyle name="Comma 273 2 2" xfId="18455"/>
    <cellStyle name="Comma 273 2 2 2" xfId="18456"/>
    <cellStyle name="Comma 273 2 3" xfId="18457"/>
    <cellStyle name="Comma 273 2 4" xfId="18458"/>
    <cellStyle name="Comma 273 3" xfId="18459"/>
    <cellStyle name="Comma 273 3 2" xfId="18460"/>
    <cellStyle name="Comma 273 4" xfId="18461"/>
    <cellStyle name="Comma 273 5" xfId="18462"/>
    <cellStyle name="Comma 274" xfId="18463"/>
    <cellStyle name="Comma 274 2" xfId="18464"/>
    <cellStyle name="Comma 274 2 2" xfId="18465"/>
    <cellStyle name="Comma 274 2 2 2" xfId="18466"/>
    <cellStyle name="Comma 274 2 3" xfId="18467"/>
    <cellStyle name="Comma 274 2 4" xfId="18468"/>
    <cellStyle name="Comma 274 3" xfId="18469"/>
    <cellStyle name="Comma 274 3 2" xfId="18470"/>
    <cellStyle name="Comma 274 4" xfId="18471"/>
    <cellStyle name="Comma 274 5" xfId="18472"/>
    <cellStyle name="Comma 275" xfId="18473"/>
    <cellStyle name="Comma 276" xfId="18474"/>
    <cellStyle name="Comma 277" xfId="18475"/>
    <cellStyle name="Comma 277 2" xfId="18476"/>
    <cellStyle name="Comma 277 2 2" xfId="18477"/>
    <cellStyle name="Comma 277 2 3" xfId="18478"/>
    <cellStyle name="Comma 277 3" xfId="18479"/>
    <cellStyle name="Comma 277 4" xfId="18480"/>
    <cellStyle name="Comma 278" xfId="18481"/>
    <cellStyle name="Comma 278 2" xfId="18482"/>
    <cellStyle name="Comma 278 2 2" xfId="18483"/>
    <cellStyle name="Comma 278 2 3" xfId="18484"/>
    <cellStyle name="Comma 278 3" xfId="18485"/>
    <cellStyle name="Comma 278 4" xfId="18486"/>
    <cellStyle name="Comma 279" xfId="18487"/>
    <cellStyle name="Comma 279 2" xfId="18488"/>
    <cellStyle name="Comma 279 2 2" xfId="18489"/>
    <cellStyle name="Comma 279 2 3" xfId="18490"/>
    <cellStyle name="Comma 279 3" xfId="18491"/>
    <cellStyle name="Comma 279 4" xfId="18492"/>
    <cellStyle name="Comma 28" xfId="18493"/>
    <cellStyle name="Comma 28 2" xfId="18494"/>
    <cellStyle name="Comma 280" xfId="18495"/>
    <cellStyle name="Comma 281" xfId="18496"/>
    <cellStyle name="Comma 282" xfId="18497"/>
    <cellStyle name="Comma 283" xfId="18498"/>
    <cellStyle name="Comma 284" xfId="18499"/>
    <cellStyle name="Comma 285" xfId="18500"/>
    <cellStyle name="Comma 286" xfId="18501"/>
    <cellStyle name="Comma 287" xfId="18502"/>
    <cellStyle name="Comma 288" xfId="18503"/>
    <cellStyle name="Comma 288 2" xfId="18504"/>
    <cellStyle name="Comma 288 2 2" xfId="18505"/>
    <cellStyle name="Comma 288 3" xfId="18506"/>
    <cellStyle name="Comma 288 4" xfId="18507"/>
    <cellStyle name="Comma 289" xfId="18508"/>
    <cellStyle name="Comma 289 2" xfId="18509"/>
    <cellStyle name="Comma 289 2 2" xfId="18510"/>
    <cellStyle name="Comma 289 3" xfId="18511"/>
    <cellStyle name="Comma 289 4" xfId="18512"/>
    <cellStyle name="Comma 29" xfId="18513"/>
    <cellStyle name="Comma 29 2" xfId="18514"/>
    <cellStyle name="Comma 290" xfId="18515"/>
    <cellStyle name="Comma 291" xfId="18516"/>
    <cellStyle name="Comma 292" xfId="18517"/>
    <cellStyle name="Comma 293" xfId="18518"/>
    <cellStyle name="Comma 294" xfId="18519"/>
    <cellStyle name="Comma 295" xfId="18520"/>
    <cellStyle name="Comma 296" xfId="18521"/>
    <cellStyle name="Comma 297" xfId="18522"/>
    <cellStyle name="Comma 298" xfId="18523"/>
    <cellStyle name="Comma 299" xfId="18524"/>
    <cellStyle name="Comma 3" xfId="137"/>
    <cellStyle name="Comma 3 2" xfId="138"/>
    <cellStyle name="Comma 3 2 2" xfId="139"/>
    <cellStyle name="Comma 3 2 2 2" xfId="320"/>
    <cellStyle name="Comma 3 2 2 2 2" xfId="401"/>
    <cellStyle name="Comma 3 2 2 3" xfId="338"/>
    <cellStyle name="Comma 3 2 2 3 2" xfId="419"/>
    <cellStyle name="Comma 3 2 2 4" xfId="361"/>
    <cellStyle name="Comma 3 2 2 5" xfId="35555"/>
    <cellStyle name="Comma 3 2 2 6" xfId="18527"/>
    <cellStyle name="Comma 3 2 2 7" xfId="35938"/>
    <cellStyle name="Comma 3 2 3" xfId="140"/>
    <cellStyle name="Comma 3 2 3 2" xfId="321"/>
    <cellStyle name="Comma 3 2 3 2 2" xfId="402"/>
    <cellStyle name="Comma 3 2 3 3" xfId="339"/>
    <cellStyle name="Comma 3 2 3 3 2" xfId="420"/>
    <cellStyle name="Comma 3 2 3 4" xfId="362"/>
    <cellStyle name="Comma 3 2 3 5" xfId="35619"/>
    <cellStyle name="Comma 3 2 3 6" xfId="18528"/>
    <cellStyle name="Comma 3 2 4" xfId="18529"/>
    <cellStyle name="Comma 3 2 4 2" xfId="18530"/>
    <cellStyle name="Comma 3 2 4 2 2" xfId="18531"/>
    <cellStyle name="Comma 3 2 4 3" xfId="18532"/>
    <cellStyle name="Comma 3 2 4 4" xfId="18533"/>
    <cellStyle name="Comma 3 2 5" xfId="35554"/>
    <cellStyle name="Comma 3 2 6" xfId="18526"/>
    <cellStyle name="Comma 3 2 7" xfId="35795"/>
    <cellStyle name="Comma 3 3" xfId="141"/>
    <cellStyle name="Comma 3 3 2" xfId="251"/>
    <cellStyle name="Comma 3 3 2 2" xfId="35557"/>
    <cellStyle name="Comma 3 3 2 3" xfId="18535"/>
    <cellStyle name="Comma 3 3 2 4" xfId="35939"/>
    <cellStyle name="Comma 3 3 3" xfId="18536"/>
    <cellStyle name="Comma 3 3 3 2" xfId="18537"/>
    <cellStyle name="Comma 3 3 3 2 2" xfId="18538"/>
    <cellStyle name="Comma 3 3 3 3" xfId="18539"/>
    <cellStyle name="Comma 3 3 3 4" xfId="18540"/>
    <cellStyle name="Comma 3 3 4" xfId="18541"/>
    <cellStyle name="Comma 3 3 5" xfId="35556"/>
    <cellStyle name="Comma 3 3 6" xfId="18534"/>
    <cellStyle name="Comma 3 3 7" xfId="35796"/>
    <cellStyle name="Comma 3 4" xfId="252"/>
    <cellStyle name="Comma 3 4 2" xfId="18543"/>
    <cellStyle name="Comma 3 4 3" xfId="18544"/>
    <cellStyle name="Comma 3 4 4" xfId="35558"/>
    <cellStyle name="Comma 3 4 5" xfId="18542"/>
    <cellStyle name="Comma 3 4 6" xfId="35940"/>
    <cellStyle name="Comma 3 5" xfId="18545"/>
    <cellStyle name="Comma 3 5 2" xfId="35941"/>
    <cellStyle name="Comma 3 6" xfId="18546"/>
    <cellStyle name="Comma 3 6 2" xfId="35942"/>
    <cellStyle name="Comma 3 7" xfId="18525"/>
    <cellStyle name="Comma 3 8" xfId="35794"/>
    <cellStyle name="Comma 30" xfId="18547"/>
    <cellStyle name="Comma 300" xfId="18548"/>
    <cellStyle name="Comma 301" xfId="35767"/>
    <cellStyle name="Comma 31" xfId="18549"/>
    <cellStyle name="Comma 32" xfId="18550"/>
    <cellStyle name="Comma 33" xfId="18551"/>
    <cellStyle name="Comma 34" xfId="18552"/>
    <cellStyle name="Comma 34 2" xfId="18553"/>
    <cellStyle name="Comma 35" xfId="18554"/>
    <cellStyle name="Comma 35 2" xfId="18555"/>
    <cellStyle name="Comma 36" xfId="18556"/>
    <cellStyle name="Comma 36 2" xfId="18557"/>
    <cellStyle name="Comma 37" xfId="18558"/>
    <cellStyle name="Comma 37 2" xfId="18559"/>
    <cellStyle name="Comma 37 2 2" xfId="18560"/>
    <cellStyle name="Comma 37 3" xfId="18561"/>
    <cellStyle name="Comma 38" xfId="18562"/>
    <cellStyle name="Comma 38 2" xfId="18563"/>
    <cellStyle name="Comma 38 2 2" xfId="18564"/>
    <cellStyle name="Comma 38 3" xfId="18565"/>
    <cellStyle name="Comma 39" xfId="18566"/>
    <cellStyle name="Comma 39 2" xfId="18567"/>
    <cellStyle name="Comma 39 2 2" xfId="18568"/>
    <cellStyle name="Comma 39 3" xfId="18569"/>
    <cellStyle name="Comma 4" xfId="142"/>
    <cellStyle name="Comma 4 10" xfId="18571"/>
    <cellStyle name="Comma 4 11" xfId="18572"/>
    <cellStyle name="Comma 4 12" xfId="18570"/>
    <cellStyle name="Comma 4 2" xfId="253"/>
    <cellStyle name="Comma 4 2 2" xfId="18574"/>
    <cellStyle name="Comma 4 2 3" xfId="18575"/>
    <cellStyle name="Comma 4 2 4" xfId="18576"/>
    <cellStyle name="Comma 4 2 4 2" xfId="18577"/>
    <cellStyle name="Comma 4 2 4 2 2" xfId="18578"/>
    <cellStyle name="Comma 4 2 4 3" xfId="18579"/>
    <cellStyle name="Comma 4 2 4 4" xfId="18580"/>
    <cellStyle name="Comma 4 2 5" xfId="35559"/>
    <cellStyle name="Comma 4 2 6" xfId="18573"/>
    <cellStyle name="Comma 4 3" xfId="18581"/>
    <cellStyle name="Comma 4 4" xfId="18582"/>
    <cellStyle name="Comma 4 4 2" xfId="18583"/>
    <cellStyle name="Comma 4 5" xfId="18584"/>
    <cellStyle name="Comma 4 5 2" xfId="18585"/>
    <cellStyle name="Comma 4 5 2 2" xfId="18586"/>
    <cellStyle name="Comma 4 5 2 2 2" xfId="18587"/>
    <cellStyle name="Comma 4 5 2 3" xfId="18588"/>
    <cellStyle name="Comma 4 5 2 4" xfId="18589"/>
    <cellStyle name="Comma 4 5 3" xfId="18590"/>
    <cellStyle name="Comma 4 5 4" xfId="18591"/>
    <cellStyle name="Comma 4 5 4 2" xfId="18592"/>
    <cellStyle name="Comma 4 5 5" xfId="18593"/>
    <cellStyle name="Comma 4 5 6" xfId="18594"/>
    <cellStyle name="Comma 4 6" xfId="18595"/>
    <cellStyle name="Comma 4 6 2" xfId="18596"/>
    <cellStyle name="Comma 4 6 3" xfId="18597"/>
    <cellStyle name="Comma 4 6 3 2" xfId="18598"/>
    <cellStyle name="Comma 4 6 4" xfId="18599"/>
    <cellStyle name="Comma 4 6 5" xfId="18600"/>
    <cellStyle name="Comma 4 7" xfId="18601"/>
    <cellStyle name="Comma 4 8" xfId="18602"/>
    <cellStyle name="Comma 4 9" xfId="18603"/>
    <cellStyle name="Comma 4 9 2" xfId="18604"/>
    <cellStyle name="Comma 40" xfId="18605"/>
    <cellStyle name="Comma 40 2" xfId="18606"/>
    <cellStyle name="Comma 40 2 2" xfId="18607"/>
    <cellStyle name="Comma 40 3" xfId="18608"/>
    <cellStyle name="Comma 41" xfId="18609"/>
    <cellStyle name="Comma 41 2" xfId="18610"/>
    <cellStyle name="Comma 41 2 2" xfId="18611"/>
    <cellStyle name="Comma 41 3" xfId="18612"/>
    <cellStyle name="Comma 42" xfId="18613"/>
    <cellStyle name="Comma 43" xfId="18614"/>
    <cellStyle name="Comma 43 2" xfId="18615"/>
    <cellStyle name="Comma 43 2 2" xfId="18616"/>
    <cellStyle name="Comma 43 3" xfId="18617"/>
    <cellStyle name="Comma 44" xfId="18618"/>
    <cellStyle name="Comma 44 2" xfId="18619"/>
    <cellStyle name="Comma 44 2 2" xfId="18620"/>
    <cellStyle name="Comma 44 3" xfId="18621"/>
    <cellStyle name="Comma 45" xfId="18622"/>
    <cellStyle name="Comma 45 2" xfId="18623"/>
    <cellStyle name="Comma 46" xfId="18624"/>
    <cellStyle name="Comma 46 2" xfId="18625"/>
    <cellStyle name="Comma 46 2 2" xfId="18626"/>
    <cellStyle name="Comma 46 3" xfId="18627"/>
    <cellStyle name="Comma 47" xfId="18628"/>
    <cellStyle name="Comma 47 2" xfId="18629"/>
    <cellStyle name="Comma 47 2 2" xfId="18630"/>
    <cellStyle name="Comma 47 3" xfId="18631"/>
    <cellStyle name="Comma 48" xfId="18632"/>
    <cellStyle name="Comma 48 2" xfId="18633"/>
    <cellStyle name="Comma 48 2 2" xfId="18634"/>
    <cellStyle name="Comma 48 3" xfId="18635"/>
    <cellStyle name="Comma 49" xfId="18636"/>
    <cellStyle name="Comma 49 2" xfId="18637"/>
    <cellStyle name="Comma 49 2 2" xfId="18638"/>
    <cellStyle name="Comma 49 3" xfId="18639"/>
    <cellStyle name="Comma 5" xfId="143"/>
    <cellStyle name="Comma 5 2" xfId="254"/>
    <cellStyle name="Comma 5 2 2" xfId="18642"/>
    <cellStyle name="Comma 5 2 2 2" xfId="18643"/>
    <cellStyle name="Comma 5 2 3" xfId="18644"/>
    <cellStyle name="Comma 5 2 4" xfId="18645"/>
    <cellStyle name="Comma 5 2 5" xfId="18646"/>
    <cellStyle name="Comma 5 2 6" xfId="35560"/>
    <cellStyle name="Comma 5 2 7" xfId="18641"/>
    <cellStyle name="Comma 5 3" xfId="18647"/>
    <cellStyle name="Comma 5 3 2" xfId="18648"/>
    <cellStyle name="Comma 5 4" xfId="18649"/>
    <cellStyle name="Comma 5 5" xfId="18650"/>
    <cellStyle name="Comma 5 5 2" xfId="18651"/>
    <cellStyle name="Comma 5 6" xfId="18652"/>
    <cellStyle name="Comma 5 7" xfId="18640"/>
    <cellStyle name="Comma 50" xfId="18653"/>
    <cellStyle name="Comma 50 2" xfId="18654"/>
    <cellStyle name="Comma 50 2 2" xfId="18655"/>
    <cellStyle name="Comma 50 3" xfId="18656"/>
    <cellStyle name="Comma 51" xfId="18657"/>
    <cellStyle name="Comma 51 2" xfId="18658"/>
    <cellStyle name="Comma 51 2 2" xfId="18659"/>
    <cellStyle name="Comma 51 3" xfId="18660"/>
    <cellStyle name="Comma 52" xfId="18661"/>
    <cellStyle name="Comma 52 2" xfId="18662"/>
    <cellStyle name="Comma 52 2 2" xfId="18663"/>
    <cellStyle name="Comma 52 3" xfId="18664"/>
    <cellStyle name="Comma 53" xfId="18665"/>
    <cellStyle name="Comma 53 2" xfId="18666"/>
    <cellStyle name="Comma 53 2 2" xfId="18667"/>
    <cellStyle name="Comma 53 3" xfId="18668"/>
    <cellStyle name="Comma 54" xfId="18669"/>
    <cellStyle name="Comma 54 2" xfId="18670"/>
    <cellStyle name="Comma 54 2 2" xfId="18671"/>
    <cellStyle name="Comma 54 3" xfId="18672"/>
    <cellStyle name="Comma 55" xfId="18673"/>
    <cellStyle name="Comma 55 2" xfId="18674"/>
    <cellStyle name="Comma 55 2 2" xfId="18675"/>
    <cellStyle name="Comma 55 3" xfId="18676"/>
    <cellStyle name="Comma 56" xfId="18677"/>
    <cellStyle name="Comma 56 2" xfId="18678"/>
    <cellStyle name="Comma 57" xfId="18679"/>
    <cellStyle name="Comma 57 2" xfId="18680"/>
    <cellStyle name="Comma 58" xfId="18681"/>
    <cellStyle name="Comma 58 2" xfId="18682"/>
    <cellStyle name="Comma 59" xfId="18683"/>
    <cellStyle name="Comma 59 2" xfId="18684"/>
    <cellStyle name="Comma 6" xfId="144"/>
    <cellStyle name="Comma 6 2" xfId="145"/>
    <cellStyle name="Comma 6 2 2" xfId="255"/>
    <cellStyle name="Comma 6 2 2 2" xfId="383"/>
    <cellStyle name="Comma 6 2 2 3" xfId="35563"/>
    <cellStyle name="Comma 6 2 2 4" xfId="18687"/>
    <cellStyle name="Comma 6 2 3" xfId="323"/>
    <cellStyle name="Comma 6 2 3 2" xfId="404"/>
    <cellStyle name="Comma 6 2 4" xfId="341"/>
    <cellStyle name="Comma 6 2 4 2" xfId="422"/>
    <cellStyle name="Comma 6 2 5" xfId="364"/>
    <cellStyle name="Comma 6 2 6" xfId="35562"/>
    <cellStyle name="Comma 6 2 7" xfId="18686"/>
    <cellStyle name="Comma 6 3" xfId="256"/>
    <cellStyle name="Comma 6 3 2" xfId="384"/>
    <cellStyle name="Comma 6 3 2 2" xfId="35620"/>
    <cellStyle name="Comma 6 3 2 3" xfId="18689"/>
    <cellStyle name="Comma 6 3 3" xfId="35564"/>
    <cellStyle name="Comma 6 3 4" xfId="18688"/>
    <cellStyle name="Comma 6 4" xfId="322"/>
    <cellStyle name="Comma 6 4 2" xfId="403"/>
    <cellStyle name="Comma 6 4 2 2" xfId="35622"/>
    <cellStyle name="Comma 6 4 2 3" xfId="18691"/>
    <cellStyle name="Comma 6 4 3" xfId="18692"/>
    <cellStyle name="Comma 6 4 4" xfId="35621"/>
    <cellStyle name="Comma 6 4 5" xfId="18690"/>
    <cellStyle name="Comma 6 5" xfId="340"/>
    <cellStyle name="Comma 6 5 2" xfId="421"/>
    <cellStyle name="Comma 6 6" xfId="363"/>
    <cellStyle name="Comma 6 7" xfId="35561"/>
    <cellStyle name="Comma 6 8" xfId="18685"/>
    <cellStyle name="Comma 60" xfId="18693"/>
    <cellStyle name="Comma 60 2" xfId="18694"/>
    <cellStyle name="Comma 61" xfId="18695"/>
    <cellStyle name="Comma 61 2" xfId="18696"/>
    <cellStyle name="Comma 62" xfId="18697"/>
    <cellStyle name="Comma 62 2" xfId="18698"/>
    <cellStyle name="Comma 63" xfId="18699"/>
    <cellStyle name="Comma 63 2" xfId="18700"/>
    <cellStyle name="Comma 64" xfId="18701"/>
    <cellStyle name="Comma 64 2" xfId="18702"/>
    <cellStyle name="Comma 65" xfId="18703"/>
    <cellStyle name="Comma 65 2" xfId="18704"/>
    <cellStyle name="Comma 66" xfId="18705"/>
    <cellStyle name="Comma 66 2" xfId="18706"/>
    <cellStyle name="Comma 67" xfId="18707"/>
    <cellStyle name="Comma 67 2" xfId="18708"/>
    <cellStyle name="Comma 68" xfId="18709"/>
    <cellStyle name="Comma 68 2" xfId="18710"/>
    <cellStyle name="Comma 69" xfId="18711"/>
    <cellStyle name="Comma 69 2" xfId="18712"/>
    <cellStyle name="Comma 7" xfId="257"/>
    <cellStyle name="Comma 7 2" xfId="18713"/>
    <cellStyle name="Comma 7 2 2" xfId="18714"/>
    <cellStyle name="Comma 7 2 3" xfId="18715"/>
    <cellStyle name="Comma 7 2 3 2" xfId="18716"/>
    <cellStyle name="Comma 7 2 3 2 2" xfId="18717"/>
    <cellStyle name="Comma 7 2 3 2 2 2" xfId="18718"/>
    <cellStyle name="Comma 7 2 3 2 3" xfId="18719"/>
    <cellStyle name="Comma 7 2 3 2 4" xfId="18720"/>
    <cellStyle name="Comma 7 2 3 3" xfId="18721"/>
    <cellStyle name="Comma 7 2 3 3 2" xfId="18722"/>
    <cellStyle name="Comma 7 2 3 4" xfId="18723"/>
    <cellStyle name="Comma 7 2 3 5" xfId="18724"/>
    <cellStyle name="Comma 7 2 4" xfId="18725"/>
    <cellStyle name="Comma 7 2 4 2" xfId="18726"/>
    <cellStyle name="Comma 7 2 4 2 2" xfId="18727"/>
    <cellStyle name="Comma 7 2 4 3" xfId="18728"/>
    <cellStyle name="Comma 7 2 4 4" xfId="18729"/>
    <cellStyle name="Comma 7 2 5" xfId="18730"/>
    <cellStyle name="Comma 7 2 5 2" xfId="18731"/>
    <cellStyle name="Comma 7 2 6" xfId="18732"/>
    <cellStyle name="Comma 7 2 7" xfId="18733"/>
    <cellStyle name="Comma 7 3" xfId="18734"/>
    <cellStyle name="Comma 7 3 2" xfId="18735"/>
    <cellStyle name="Comma 7 4" xfId="18736"/>
    <cellStyle name="Comma 7 4 2" xfId="18737"/>
    <cellStyle name="Comma 7 4 3" xfId="18738"/>
    <cellStyle name="Comma 7 4 3 2" xfId="18739"/>
    <cellStyle name="Comma 7 4 3 2 2" xfId="18740"/>
    <cellStyle name="Comma 7 4 3 3" xfId="18741"/>
    <cellStyle name="Comma 7 4 3 4" xfId="18742"/>
    <cellStyle name="Comma 7 5" xfId="35797"/>
    <cellStyle name="Comma 70" xfId="18743"/>
    <cellStyle name="Comma 70 2" xfId="18744"/>
    <cellStyle name="Comma 71" xfId="18745"/>
    <cellStyle name="Comma 71 2" xfId="18746"/>
    <cellStyle name="Comma 72" xfId="18747"/>
    <cellStyle name="Comma 72 2" xfId="18748"/>
    <cellStyle name="Comma 73" xfId="18749"/>
    <cellStyle name="Comma 73 2" xfId="18750"/>
    <cellStyle name="Comma 74" xfId="18751"/>
    <cellStyle name="Comma 74 2" xfId="18752"/>
    <cellStyle name="Comma 75" xfId="18753"/>
    <cellStyle name="Comma 75 2" xfId="18754"/>
    <cellStyle name="Comma 76" xfId="18755"/>
    <cellStyle name="Comma 76 2" xfId="18756"/>
    <cellStyle name="Comma 77" xfId="18757"/>
    <cellStyle name="Comma 77 2" xfId="18758"/>
    <cellStyle name="Comma 78" xfId="18759"/>
    <cellStyle name="Comma 78 2" xfId="18760"/>
    <cellStyle name="Comma 79" xfId="18761"/>
    <cellStyle name="Comma 79 2" xfId="18762"/>
    <cellStyle name="Comma 8" xfId="258"/>
    <cellStyle name="Comma 8 2" xfId="385"/>
    <cellStyle name="Comma 8 2 2" xfId="35623"/>
    <cellStyle name="Comma 8 2 3" xfId="18764"/>
    <cellStyle name="Comma 8 3" xfId="18765"/>
    <cellStyle name="Comma 8 3 2" xfId="18766"/>
    <cellStyle name="Comma 8 4" xfId="18767"/>
    <cellStyle name="Comma 8 4 2" xfId="18768"/>
    <cellStyle name="Comma 8 4 3" xfId="18769"/>
    <cellStyle name="Comma 8 4 3 2" xfId="18770"/>
    <cellStyle name="Comma 8 4 3 2 2" xfId="18771"/>
    <cellStyle name="Comma 8 4 3 3" xfId="18772"/>
    <cellStyle name="Comma 8 4 3 4" xfId="18773"/>
    <cellStyle name="Comma 8 5" xfId="35565"/>
    <cellStyle name="Comma 8 6" xfId="18763"/>
    <cellStyle name="Comma 8 7" xfId="35798"/>
    <cellStyle name="Comma 80" xfId="18774"/>
    <cellStyle name="Comma 80 2" xfId="18775"/>
    <cellStyle name="Comma 81" xfId="18776"/>
    <cellStyle name="Comma 81 2" xfId="18777"/>
    <cellStyle name="Comma 82" xfId="18778"/>
    <cellStyle name="Comma 82 2" xfId="18779"/>
    <cellStyle name="Comma 83" xfId="18780"/>
    <cellStyle name="Comma 83 2" xfId="18781"/>
    <cellStyle name="Comma 84" xfId="18782"/>
    <cellStyle name="Comma 84 2" xfId="18783"/>
    <cellStyle name="Comma 85" xfId="18784"/>
    <cellStyle name="Comma 85 2" xfId="18785"/>
    <cellStyle name="Comma 86" xfId="18786"/>
    <cellStyle name="Comma 86 2" xfId="18787"/>
    <cellStyle name="Comma 87" xfId="18788"/>
    <cellStyle name="Comma 87 2" xfId="18789"/>
    <cellStyle name="Comma 88" xfId="18790"/>
    <cellStyle name="Comma 88 2" xfId="18791"/>
    <cellStyle name="Comma 89" xfId="18792"/>
    <cellStyle name="Comma 89 2" xfId="18793"/>
    <cellStyle name="Comma 9" xfId="259"/>
    <cellStyle name="Comma 9 10" xfId="35566"/>
    <cellStyle name="Comma 9 11" xfId="18794"/>
    <cellStyle name="Comma 9 2" xfId="386"/>
    <cellStyle name="Comma 9 2 2" xfId="18796"/>
    <cellStyle name="Comma 9 2 3" xfId="35624"/>
    <cellStyle name="Comma 9 2 4" xfId="18795"/>
    <cellStyle name="Comma 9 2 5" xfId="35943"/>
    <cellStyle name="Comma 9 3" xfId="18797"/>
    <cellStyle name="Comma 9 3 2" xfId="18798"/>
    <cellStyle name="Comma 9 3 3" xfId="35944"/>
    <cellStyle name="Comma 9 4" xfId="18799"/>
    <cellStyle name="Comma 9 4 2" xfId="18800"/>
    <cellStyle name="Comma 9 4 3" xfId="18801"/>
    <cellStyle name="Comma 9 4 3 2" xfId="18802"/>
    <cellStyle name="Comma 9 4 3 2 2" xfId="18803"/>
    <cellStyle name="Comma 9 4 3 3" xfId="18804"/>
    <cellStyle name="Comma 9 4 3 4" xfId="18805"/>
    <cellStyle name="Comma 9 4 4" xfId="36122"/>
    <cellStyle name="Comma 9 5" xfId="18806"/>
    <cellStyle name="Comma 9 5 2" xfId="18807"/>
    <cellStyle name="Comma 9 5 2 2" xfId="18808"/>
    <cellStyle name="Comma 9 5 2 2 2" xfId="18809"/>
    <cellStyle name="Comma 9 5 2 3" xfId="18810"/>
    <cellStyle name="Comma 9 5 2 4" xfId="18811"/>
    <cellStyle name="Comma 9 5 3" xfId="18812"/>
    <cellStyle name="Comma 9 5 3 2" xfId="18813"/>
    <cellStyle name="Comma 9 5 4" xfId="18814"/>
    <cellStyle name="Comma 9 5 5" xfId="18815"/>
    <cellStyle name="Comma 9 6" xfId="18816"/>
    <cellStyle name="Comma 9 6 2" xfId="18817"/>
    <cellStyle name="Comma 9 6 2 2" xfId="18818"/>
    <cellStyle name="Comma 9 6 3" xfId="18819"/>
    <cellStyle name="Comma 9 6 4" xfId="18820"/>
    <cellStyle name="Comma 9 7" xfId="18821"/>
    <cellStyle name="Comma 9 7 2" xfId="18822"/>
    <cellStyle name="Comma 9 8" xfId="18823"/>
    <cellStyle name="Comma 9 9" xfId="18824"/>
    <cellStyle name="Comma 90" xfId="18825"/>
    <cellStyle name="Comma 90 2" xfId="18826"/>
    <cellStyle name="Comma 91" xfId="18827"/>
    <cellStyle name="Comma 91 2" xfId="18828"/>
    <cellStyle name="Comma 92" xfId="18829"/>
    <cellStyle name="Comma 92 2" xfId="18830"/>
    <cellStyle name="Comma 93" xfId="18831"/>
    <cellStyle name="Comma 93 2" xfId="18832"/>
    <cellStyle name="Comma 94" xfId="18833"/>
    <cellStyle name="Comma 94 2" xfId="18834"/>
    <cellStyle name="Comma 95" xfId="18835"/>
    <cellStyle name="Comma 95 2" xfId="18836"/>
    <cellStyle name="Comma 96" xfId="18837"/>
    <cellStyle name="Comma 96 2" xfId="18838"/>
    <cellStyle name="Comma 97" xfId="18839"/>
    <cellStyle name="Comma 97 2" xfId="18840"/>
    <cellStyle name="Comma 98" xfId="18841"/>
    <cellStyle name="Comma 98 2" xfId="18842"/>
    <cellStyle name="Comma 99" xfId="18843"/>
    <cellStyle name="Comma 99 2" xfId="18844"/>
    <cellStyle name="Comma0" xfId="35799"/>
    <cellStyle name="Currency" xfId="98" builtinId="4"/>
    <cellStyle name="Currency [0] 2" xfId="260"/>
    <cellStyle name="Currency [0] 2 2" xfId="18845"/>
    <cellStyle name="Currency [0] 3" xfId="261"/>
    <cellStyle name="Currency 10" xfId="262"/>
    <cellStyle name="Currency 10 2" xfId="18847"/>
    <cellStyle name="Currency 10 3" xfId="35567"/>
    <cellStyle name="Currency 10 4" xfId="18846"/>
    <cellStyle name="Currency 100" xfId="18848"/>
    <cellStyle name="Currency 100 2" xfId="18849"/>
    <cellStyle name="Currency 100 2 2" xfId="18850"/>
    <cellStyle name="Currency 100 3" xfId="18851"/>
    <cellStyle name="Currency 101" xfId="18852"/>
    <cellStyle name="Currency 101 2" xfId="18853"/>
    <cellStyle name="Currency 102" xfId="18854"/>
    <cellStyle name="Currency 102 2" xfId="18855"/>
    <cellStyle name="Currency 103" xfId="18856"/>
    <cellStyle name="Currency 103 2" xfId="18857"/>
    <cellStyle name="Currency 104" xfId="18858"/>
    <cellStyle name="Currency 104 2" xfId="18859"/>
    <cellStyle name="Currency 105" xfId="18860"/>
    <cellStyle name="Currency 105 2" xfId="18861"/>
    <cellStyle name="Currency 106" xfId="18862"/>
    <cellStyle name="Currency 106 2" xfId="18863"/>
    <cellStyle name="Currency 107" xfId="18864"/>
    <cellStyle name="Currency 107 2" xfId="18865"/>
    <cellStyle name="Currency 108" xfId="18866"/>
    <cellStyle name="Currency 108 2" xfId="18867"/>
    <cellStyle name="Currency 109" xfId="18868"/>
    <cellStyle name="Currency 109 2" xfId="18869"/>
    <cellStyle name="Currency 11" xfId="263"/>
    <cellStyle name="Currency 11 2" xfId="35568"/>
    <cellStyle name="Currency 11 2 2" xfId="35801"/>
    <cellStyle name="Currency 11 3" xfId="18870"/>
    <cellStyle name="Currency 11 4" xfId="35800"/>
    <cellStyle name="Currency 110" xfId="18871"/>
    <cellStyle name="Currency 110 2" xfId="18872"/>
    <cellStyle name="Currency 111" xfId="18873"/>
    <cellStyle name="Currency 111 2" xfId="18874"/>
    <cellStyle name="Currency 112" xfId="18875"/>
    <cellStyle name="Currency 112 2" xfId="18876"/>
    <cellStyle name="Currency 113" xfId="18877"/>
    <cellStyle name="Currency 113 2" xfId="18878"/>
    <cellStyle name="Currency 114" xfId="18879"/>
    <cellStyle name="Currency 114 2" xfId="18880"/>
    <cellStyle name="Currency 115" xfId="18881"/>
    <cellStyle name="Currency 115 2" xfId="18882"/>
    <cellStyle name="Currency 116" xfId="18883"/>
    <cellStyle name="Currency 116 2" xfId="18884"/>
    <cellStyle name="Currency 117" xfId="18885"/>
    <cellStyle name="Currency 117 2" xfId="18886"/>
    <cellStyle name="Currency 118" xfId="18887"/>
    <cellStyle name="Currency 118 2" xfId="18888"/>
    <cellStyle name="Currency 119" xfId="18889"/>
    <cellStyle name="Currency 119 2" xfId="18890"/>
    <cellStyle name="Currency 12" xfId="264"/>
    <cellStyle name="Currency 12 2" xfId="35569"/>
    <cellStyle name="Currency 12 3" xfId="18891"/>
    <cellStyle name="Currency 120" xfId="18892"/>
    <cellStyle name="Currency 120 2" xfId="18893"/>
    <cellStyle name="Currency 121" xfId="18894"/>
    <cellStyle name="Currency 122" xfId="18895"/>
    <cellStyle name="Currency 123" xfId="18896"/>
    <cellStyle name="Currency 124" xfId="18897"/>
    <cellStyle name="Currency 125" xfId="18898"/>
    <cellStyle name="Currency 126" xfId="18899"/>
    <cellStyle name="Currency 127" xfId="18900"/>
    <cellStyle name="Currency 128" xfId="18901"/>
    <cellStyle name="Currency 129" xfId="18902"/>
    <cellStyle name="Currency 13" xfId="188"/>
    <cellStyle name="Currency 13 2" xfId="35612"/>
    <cellStyle name="Currency 13 3" xfId="18903"/>
    <cellStyle name="Currency 130" xfId="18904"/>
    <cellStyle name="Currency 131" xfId="18905"/>
    <cellStyle name="Currency 132" xfId="18906"/>
    <cellStyle name="Currency 133" xfId="18907"/>
    <cellStyle name="Currency 134" xfId="18908"/>
    <cellStyle name="Currency 135" xfId="18909"/>
    <cellStyle name="Currency 135 2" xfId="18910"/>
    <cellStyle name="Currency 136" xfId="18911"/>
    <cellStyle name="Currency 136 2" xfId="18912"/>
    <cellStyle name="Currency 137" xfId="18913"/>
    <cellStyle name="Currency 137 2" xfId="18914"/>
    <cellStyle name="Currency 138" xfId="18915"/>
    <cellStyle name="Currency 138 2" xfId="18916"/>
    <cellStyle name="Currency 139" xfId="18917"/>
    <cellStyle name="Currency 139 2" xfId="18918"/>
    <cellStyle name="Currency 14" xfId="440"/>
    <cellStyle name="Currency 14 2" xfId="18920"/>
    <cellStyle name="Currency 14 3" xfId="35661"/>
    <cellStyle name="Currency 14 4" xfId="18919"/>
    <cellStyle name="Currency 140" xfId="18921"/>
    <cellStyle name="Currency 140 2" xfId="18922"/>
    <cellStyle name="Currency 141" xfId="18923"/>
    <cellStyle name="Currency 141 2" xfId="18924"/>
    <cellStyle name="Currency 142" xfId="18925"/>
    <cellStyle name="Currency 143" xfId="18926"/>
    <cellStyle name="Currency 144" xfId="18927"/>
    <cellStyle name="Currency 145" xfId="18928"/>
    <cellStyle name="Currency 146" xfId="18929"/>
    <cellStyle name="Currency 146 2" xfId="18930"/>
    <cellStyle name="Currency 147" xfId="18931"/>
    <cellStyle name="Currency 147 2" xfId="18932"/>
    <cellStyle name="Currency 148" xfId="18933"/>
    <cellStyle name="Currency 148 2" xfId="18934"/>
    <cellStyle name="Currency 149" xfId="18935"/>
    <cellStyle name="Currency 149 2" xfId="18936"/>
    <cellStyle name="Currency 15" xfId="446"/>
    <cellStyle name="Currency 15 2" xfId="18938"/>
    <cellStyle name="Currency 15 3" xfId="35665"/>
    <cellStyle name="Currency 15 4" xfId="18937"/>
    <cellStyle name="Currency 150" xfId="18939"/>
    <cellStyle name="Currency 150 2" xfId="18940"/>
    <cellStyle name="Currency 151" xfId="18941"/>
    <cellStyle name="Currency 151 2" xfId="18942"/>
    <cellStyle name="Currency 152" xfId="18943"/>
    <cellStyle name="Currency 152 2" xfId="18944"/>
    <cellStyle name="Currency 153" xfId="18945"/>
    <cellStyle name="Currency 153 2" xfId="18946"/>
    <cellStyle name="Currency 154" xfId="18947"/>
    <cellStyle name="Currency 154 2" xfId="18948"/>
    <cellStyle name="Currency 155" xfId="18949"/>
    <cellStyle name="Currency 155 2" xfId="18950"/>
    <cellStyle name="Currency 156" xfId="18951"/>
    <cellStyle name="Currency 156 2" xfId="18952"/>
    <cellStyle name="Currency 157" xfId="18953"/>
    <cellStyle name="Currency 157 2" xfId="18954"/>
    <cellStyle name="Currency 158" xfId="18955"/>
    <cellStyle name="Currency 158 2" xfId="18956"/>
    <cellStyle name="Currency 159" xfId="18957"/>
    <cellStyle name="Currency 159 2" xfId="18958"/>
    <cellStyle name="Currency 16" xfId="445"/>
    <cellStyle name="Currency 16 2" xfId="18960"/>
    <cellStyle name="Currency 16 3" xfId="35664"/>
    <cellStyle name="Currency 16 4" xfId="18959"/>
    <cellStyle name="Currency 160" xfId="18961"/>
    <cellStyle name="Currency 160 2" xfId="18962"/>
    <cellStyle name="Currency 161" xfId="18963"/>
    <cellStyle name="Currency 161 2" xfId="18964"/>
    <cellStyle name="Currency 162" xfId="18965"/>
    <cellStyle name="Currency 162 2" xfId="18966"/>
    <cellStyle name="Currency 163" xfId="18967"/>
    <cellStyle name="Currency 163 2" xfId="18968"/>
    <cellStyle name="Currency 164" xfId="18969"/>
    <cellStyle name="Currency 164 2" xfId="18970"/>
    <cellStyle name="Currency 165" xfId="18971"/>
    <cellStyle name="Currency 165 2" xfId="18972"/>
    <cellStyle name="Currency 166" xfId="18973"/>
    <cellStyle name="Currency 166 2" xfId="18974"/>
    <cellStyle name="Currency 167" xfId="18975"/>
    <cellStyle name="Currency 167 2" xfId="18976"/>
    <cellStyle name="Currency 168" xfId="18977"/>
    <cellStyle name="Currency 168 2" xfId="18978"/>
    <cellStyle name="Currency 169" xfId="18979"/>
    <cellStyle name="Currency 169 2" xfId="18980"/>
    <cellStyle name="Currency 17" xfId="447"/>
    <cellStyle name="Currency 17 2" xfId="18982"/>
    <cellStyle name="Currency 17 3" xfId="35666"/>
    <cellStyle name="Currency 17 4" xfId="18981"/>
    <cellStyle name="Currency 170" xfId="18983"/>
    <cellStyle name="Currency 170 2" xfId="18984"/>
    <cellStyle name="Currency 171" xfId="18985"/>
    <cellStyle name="Currency 171 2" xfId="18986"/>
    <cellStyle name="Currency 172" xfId="18987"/>
    <cellStyle name="Currency 172 2" xfId="18988"/>
    <cellStyle name="Currency 173" xfId="18989"/>
    <cellStyle name="Currency 173 2" xfId="18990"/>
    <cellStyle name="Currency 174" xfId="18991"/>
    <cellStyle name="Currency 174 2" xfId="18992"/>
    <cellStyle name="Currency 175" xfId="18993"/>
    <cellStyle name="Currency 175 2" xfId="18994"/>
    <cellStyle name="Currency 176" xfId="18995"/>
    <cellStyle name="Currency 176 2" xfId="18996"/>
    <cellStyle name="Currency 177" xfId="18997"/>
    <cellStyle name="Currency 177 2" xfId="18998"/>
    <cellStyle name="Currency 178" xfId="18999"/>
    <cellStyle name="Currency 178 2" xfId="19000"/>
    <cellStyle name="Currency 179" xfId="19001"/>
    <cellStyle name="Currency 179 2" xfId="19002"/>
    <cellStyle name="Currency 18" xfId="449"/>
    <cellStyle name="Currency 18 2" xfId="19004"/>
    <cellStyle name="Currency 18 3" xfId="19003"/>
    <cellStyle name="Currency 180" xfId="19005"/>
    <cellStyle name="Currency 180 2" xfId="19006"/>
    <cellStyle name="Currency 181" xfId="19007"/>
    <cellStyle name="Currency 181 2" xfId="19008"/>
    <cellStyle name="Currency 182" xfId="19009"/>
    <cellStyle name="Currency 182 2" xfId="19010"/>
    <cellStyle name="Currency 183" xfId="19011"/>
    <cellStyle name="Currency 183 2" xfId="19012"/>
    <cellStyle name="Currency 184" xfId="19013"/>
    <cellStyle name="Currency 184 2" xfId="19014"/>
    <cellStyle name="Currency 185" xfId="19015"/>
    <cellStyle name="Currency 185 2" xfId="19016"/>
    <cellStyle name="Currency 186" xfId="19017"/>
    <cellStyle name="Currency 186 2" xfId="19018"/>
    <cellStyle name="Currency 187" xfId="19019"/>
    <cellStyle name="Currency 187 2" xfId="19020"/>
    <cellStyle name="Currency 188" xfId="19021"/>
    <cellStyle name="Currency 188 2" xfId="19022"/>
    <cellStyle name="Currency 189" xfId="19023"/>
    <cellStyle name="Currency 189 2" xfId="19024"/>
    <cellStyle name="Currency 19" xfId="448"/>
    <cellStyle name="Currency 19 2" xfId="19026"/>
    <cellStyle name="Currency 19 3" xfId="19025"/>
    <cellStyle name="Currency 190" xfId="19027"/>
    <cellStyle name="Currency 190 2" xfId="19028"/>
    <cellStyle name="Currency 191" xfId="19029"/>
    <cellStyle name="Currency 191 2" xfId="19030"/>
    <cellStyle name="Currency 192" xfId="19031"/>
    <cellStyle name="Currency 192 2" xfId="19032"/>
    <cellStyle name="Currency 193" xfId="19033"/>
    <cellStyle name="Currency 193 2" xfId="19034"/>
    <cellStyle name="Currency 194" xfId="19035"/>
    <cellStyle name="Currency 194 2" xfId="19036"/>
    <cellStyle name="Currency 195" xfId="19037"/>
    <cellStyle name="Currency 195 2" xfId="19038"/>
    <cellStyle name="Currency 196" xfId="19039"/>
    <cellStyle name="Currency 196 2" xfId="19040"/>
    <cellStyle name="Currency 197" xfId="19041"/>
    <cellStyle name="Currency 197 2" xfId="19042"/>
    <cellStyle name="Currency 198" xfId="19043"/>
    <cellStyle name="Currency 198 2" xfId="19044"/>
    <cellStyle name="Currency 199" xfId="19045"/>
    <cellStyle name="Currency 199 2" xfId="19046"/>
    <cellStyle name="Currency 2" xfId="61"/>
    <cellStyle name="Currency 2 2" xfId="146"/>
    <cellStyle name="Currency 2 2 2" xfId="147"/>
    <cellStyle name="Currency 2 2 2 2" xfId="19048"/>
    <cellStyle name="Currency 2 2 2 3" xfId="19049"/>
    <cellStyle name="Currency 2 2 3" xfId="19050"/>
    <cellStyle name="Currency 2 2 4" xfId="19051"/>
    <cellStyle name="Currency 2 2 5" xfId="19052"/>
    <cellStyle name="Currency 2 2 6" xfId="19047"/>
    <cellStyle name="Currency 2 2 7" xfId="35754"/>
    <cellStyle name="Currency 2 3" xfId="148"/>
    <cellStyle name="Currency 2 3 2" xfId="19054"/>
    <cellStyle name="Currency 2 3 3" xfId="19055"/>
    <cellStyle name="Currency 2 3 3 2" xfId="19056"/>
    <cellStyle name="Currency 2 3 3 2 2" xfId="19057"/>
    <cellStyle name="Currency 2 3 3 3" xfId="19058"/>
    <cellStyle name="Currency 2 3 3 4" xfId="19059"/>
    <cellStyle name="Currency 2 3 4" xfId="19060"/>
    <cellStyle name="Currency 2 3 5" xfId="19053"/>
    <cellStyle name="Currency 2 4" xfId="149"/>
    <cellStyle name="Currency 2 4 2" xfId="324"/>
    <cellStyle name="Currency 2 4 2 2" xfId="405"/>
    <cellStyle name="Currency 2 4 2 3" xfId="35626"/>
    <cellStyle name="Currency 2 4 2 4" xfId="19062"/>
    <cellStyle name="Currency 2 4 3" xfId="342"/>
    <cellStyle name="Currency 2 4 3 2" xfId="423"/>
    <cellStyle name="Currency 2 4 4" xfId="365"/>
    <cellStyle name="Currency 2 4 5" xfId="35625"/>
    <cellStyle name="Currency 2 4 6" xfId="19061"/>
    <cellStyle name="Currency 2 5" xfId="19063"/>
    <cellStyle name="Currency 2 5 2" xfId="19064"/>
    <cellStyle name="Currency 2 5 3" xfId="19065"/>
    <cellStyle name="Currency 2 6" xfId="19066"/>
    <cellStyle name="Currency 2 6 2" xfId="19067"/>
    <cellStyle name="Currency 2 7" xfId="19068"/>
    <cellStyle name="Currency 2 8" xfId="35490"/>
    <cellStyle name="Currency 20" xfId="19069"/>
    <cellStyle name="Currency 20 2" xfId="19070"/>
    <cellStyle name="Currency 200" xfId="19071"/>
    <cellStyle name="Currency 200 2" xfId="19072"/>
    <cellStyle name="Currency 201" xfId="19073"/>
    <cellStyle name="Currency 201 2" xfId="19074"/>
    <cellStyle name="Currency 202" xfId="19075"/>
    <cellStyle name="Currency 202 2" xfId="19076"/>
    <cellStyle name="Currency 203" xfId="19077"/>
    <cellStyle name="Currency 203 2" xfId="19078"/>
    <cellStyle name="Currency 204" xfId="19079"/>
    <cellStyle name="Currency 204 2" xfId="19080"/>
    <cellStyle name="Currency 205" xfId="19081"/>
    <cellStyle name="Currency 205 2" xfId="19082"/>
    <cellStyle name="Currency 206" xfId="19083"/>
    <cellStyle name="Currency 206 2" xfId="19084"/>
    <cellStyle name="Currency 207" xfId="19085"/>
    <cellStyle name="Currency 207 2" xfId="19086"/>
    <cellStyle name="Currency 208" xfId="19087"/>
    <cellStyle name="Currency 208 2" xfId="19088"/>
    <cellStyle name="Currency 209" xfId="19089"/>
    <cellStyle name="Currency 209 2" xfId="19090"/>
    <cellStyle name="Currency 21" xfId="19091"/>
    <cellStyle name="Currency 21 2" xfId="19092"/>
    <cellStyle name="Currency 210" xfId="19093"/>
    <cellStyle name="Currency 210 2" xfId="19094"/>
    <cellStyle name="Currency 211" xfId="19095"/>
    <cellStyle name="Currency 211 2" xfId="19096"/>
    <cellStyle name="Currency 212" xfId="19097"/>
    <cellStyle name="Currency 212 2" xfId="19098"/>
    <cellStyle name="Currency 213" xfId="19099"/>
    <cellStyle name="Currency 213 2" xfId="19100"/>
    <cellStyle name="Currency 214" xfId="19101"/>
    <cellStyle name="Currency 214 2" xfId="19102"/>
    <cellStyle name="Currency 215" xfId="19103"/>
    <cellStyle name="Currency 215 2" xfId="19104"/>
    <cellStyle name="Currency 216" xfId="19105"/>
    <cellStyle name="Currency 216 2" xfId="19106"/>
    <cellStyle name="Currency 217" xfId="19107"/>
    <cellStyle name="Currency 217 2" xfId="19108"/>
    <cellStyle name="Currency 218" xfId="19109"/>
    <cellStyle name="Currency 218 2" xfId="19110"/>
    <cellStyle name="Currency 219" xfId="19111"/>
    <cellStyle name="Currency 219 2" xfId="19112"/>
    <cellStyle name="Currency 22" xfId="19113"/>
    <cellStyle name="Currency 220" xfId="19114"/>
    <cellStyle name="Currency 220 2" xfId="19115"/>
    <cellStyle name="Currency 221" xfId="19116"/>
    <cellStyle name="Currency 221 2" xfId="19117"/>
    <cellStyle name="Currency 222" xfId="19118"/>
    <cellStyle name="Currency 222 2" xfId="19119"/>
    <cellStyle name="Currency 223" xfId="19120"/>
    <cellStyle name="Currency 223 2" xfId="19121"/>
    <cellStyle name="Currency 224" xfId="19122"/>
    <cellStyle name="Currency 224 2" xfId="19123"/>
    <cellStyle name="Currency 225" xfId="19124"/>
    <cellStyle name="Currency 225 2" xfId="19125"/>
    <cellStyle name="Currency 226" xfId="19126"/>
    <cellStyle name="Currency 227" xfId="19127"/>
    <cellStyle name="Currency 227 2" xfId="19128"/>
    <cellStyle name="Currency 227 2 2" xfId="19129"/>
    <cellStyle name="Currency 227 3" xfId="19130"/>
    <cellStyle name="Currency 228" xfId="19131"/>
    <cellStyle name="Currency 228 2" xfId="19132"/>
    <cellStyle name="Currency 229" xfId="19133"/>
    <cellStyle name="Currency 229 2" xfId="19134"/>
    <cellStyle name="Currency 23" xfId="19135"/>
    <cellStyle name="Currency 230" xfId="19136"/>
    <cellStyle name="Currency 230 2" xfId="19137"/>
    <cellStyle name="Currency 231" xfId="19138"/>
    <cellStyle name="Currency 232" xfId="19139"/>
    <cellStyle name="Currency 232 2" xfId="19140"/>
    <cellStyle name="Currency 233" xfId="19141"/>
    <cellStyle name="Currency 233 2" xfId="19142"/>
    <cellStyle name="Currency 234" xfId="19143"/>
    <cellStyle name="Currency 234 2" xfId="19144"/>
    <cellStyle name="Currency 234 2 2" xfId="19145"/>
    <cellStyle name="Currency 234 2 2 2" xfId="19146"/>
    <cellStyle name="Currency 234 2 2 2 2" xfId="19147"/>
    <cellStyle name="Currency 234 2 2 3" xfId="19148"/>
    <cellStyle name="Currency 234 2 2 4" xfId="19149"/>
    <cellStyle name="Currency 234 2 3" xfId="19150"/>
    <cellStyle name="Currency 234 2 3 2" xfId="19151"/>
    <cellStyle name="Currency 234 2 4" xfId="19152"/>
    <cellStyle name="Currency 234 2 5" xfId="19153"/>
    <cellStyle name="Currency 234 3" xfId="19154"/>
    <cellStyle name="Currency 234 3 2" xfId="19155"/>
    <cellStyle name="Currency 234 3 2 2" xfId="19156"/>
    <cellStyle name="Currency 234 3 3" xfId="19157"/>
    <cellStyle name="Currency 234 3 4" xfId="19158"/>
    <cellStyle name="Currency 234 4" xfId="19159"/>
    <cellStyle name="Currency 234 5" xfId="19160"/>
    <cellStyle name="Currency 234 5 2" xfId="19161"/>
    <cellStyle name="Currency 234 6" xfId="19162"/>
    <cellStyle name="Currency 234 7" xfId="19163"/>
    <cellStyle name="Currency 235" xfId="19164"/>
    <cellStyle name="Currency 235 2" xfId="19165"/>
    <cellStyle name="Currency 235 2 2" xfId="19166"/>
    <cellStyle name="Currency 235 2 2 2" xfId="19167"/>
    <cellStyle name="Currency 235 2 2 2 2" xfId="19168"/>
    <cellStyle name="Currency 235 2 2 3" xfId="19169"/>
    <cellStyle name="Currency 235 2 2 4" xfId="19170"/>
    <cellStyle name="Currency 235 2 3" xfId="19171"/>
    <cellStyle name="Currency 235 2 3 2" xfId="19172"/>
    <cellStyle name="Currency 235 2 4" xfId="19173"/>
    <cellStyle name="Currency 235 2 5" xfId="19174"/>
    <cellStyle name="Currency 235 3" xfId="19175"/>
    <cellStyle name="Currency 235 3 2" xfId="19176"/>
    <cellStyle name="Currency 235 3 2 2" xfId="19177"/>
    <cellStyle name="Currency 235 3 3" xfId="19178"/>
    <cellStyle name="Currency 235 3 4" xfId="19179"/>
    <cellStyle name="Currency 235 4" xfId="19180"/>
    <cellStyle name="Currency 235 5" xfId="19181"/>
    <cellStyle name="Currency 235 5 2" xfId="19182"/>
    <cellStyle name="Currency 235 6" xfId="19183"/>
    <cellStyle name="Currency 235 7" xfId="19184"/>
    <cellStyle name="Currency 236" xfId="19185"/>
    <cellStyle name="Currency 236 2" xfId="19186"/>
    <cellStyle name="Currency 236 2 2" xfId="19187"/>
    <cellStyle name="Currency 236 2 2 2" xfId="19188"/>
    <cellStyle name="Currency 236 2 2 2 2" xfId="19189"/>
    <cellStyle name="Currency 236 2 2 3" xfId="19190"/>
    <cellStyle name="Currency 236 2 2 4" xfId="19191"/>
    <cellStyle name="Currency 236 2 3" xfId="19192"/>
    <cellStyle name="Currency 236 2 3 2" xfId="19193"/>
    <cellStyle name="Currency 236 2 4" xfId="19194"/>
    <cellStyle name="Currency 236 2 5" xfId="19195"/>
    <cellStyle name="Currency 236 3" xfId="19196"/>
    <cellStyle name="Currency 236 3 2" xfId="19197"/>
    <cellStyle name="Currency 236 3 2 2" xfId="19198"/>
    <cellStyle name="Currency 236 3 3" xfId="19199"/>
    <cellStyle name="Currency 236 3 4" xfId="19200"/>
    <cellStyle name="Currency 236 4" xfId="19201"/>
    <cellStyle name="Currency 236 5" xfId="19202"/>
    <cellStyle name="Currency 236 5 2" xfId="19203"/>
    <cellStyle name="Currency 236 6" xfId="19204"/>
    <cellStyle name="Currency 236 7" xfId="19205"/>
    <cellStyle name="Currency 237" xfId="19206"/>
    <cellStyle name="Currency 237 2" xfId="19207"/>
    <cellStyle name="Currency 237 2 2" xfId="19208"/>
    <cellStyle name="Currency 237 2 2 2" xfId="19209"/>
    <cellStyle name="Currency 237 2 2 2 2" xfId="19210"/>
    <cellStyle name="Currency 237 2 2 3" xfId="19211"/>
    <cellStyle name="Currency 237 2 2 4" xfId="19212"/>
    <cellStyle name="Currency 237 2 3" xfId="19213"/>
    <cellStyle name="Currency 237 2 3 2" xfId="19214"/>
    <cellStyle name="Currency 237 2 4" xfId="19215"/>
    <cellStyle name="Currency 237 2 5" xfId="19216"/>
    <cellStyle name="Currency 237 3" xfId="19217"/>
    <cellStyle name="Currency 237 3 2" xfId="19218"/>
    <cellStyle name="Currency 237 3 2 2" xfId="19219"/>
    <cellStyle name="Currency 237 3 3" xfId="19220"/>
    <cellStyle name="Currency 237 3 4" xfId="19221"/>
    <cellStyle name="Currency 237 4" xfId="19222"/>
    <cellStyle name="Currency 237 5" xfId="19223"/>
    <cellStyle name="Currency 237 5 2" xfId="19224"/>
    <cellStyle name="Currency 237 6" xfId="19225"/>
    <cellStyle name="Currency 237 7" xfId="19226"/>
    <cellStyle name="Currency 238" xfId="19227"/>
    <cellStyle name="Currency 238 2" xfId="19228"/>
    <cellStyle name="Currency 238 2 2" xfId="19229"/>
    <cellStyle name="Currency 238 2 2 2" xfId="19230"/>
    <cellStyle name="Currency 238 2 2 2 2" xfId="19231"/>
    <cellStyle name="Currency 238 2 2 3" xfId="19232"/>
    <cellStyle name="Currency 238 2 2 4" xfId="19233"/>
    <cellStyle name="Currency 238 2 3" xfId="19234"/>
    <cellStyle name="Currency 238 2 3 2" xfId="19235"/>
    <cellStyle name="Currency 238 2 4" xfId="19236"/>
    <cellStyle name="Currency 238 2 5" xfId="19237"/>
    <cellStyle name="Currency 238 3" xfId="19238"/>
    <cellStyle name="Currency 238 3 2" xfId="19239"/>
    <cellStyle name="Currency 238 3 2 2" xfId="19240"/>
    <cellStyle name="Currency 238 3 3" xfId="19241"/>
    <cellStyle name="Currency 238 3 4" xfId="19242"/>
    <cellStyle name="Currency 238 4" xfId="19243"/>
    <cellStyle name="Currency 238 5" xfId="19244"/>
    <cellStyle name="Currency 238 5 2" xfId="19245"/>
    <cellStyle name="Currency 238 6" xfId="19246"/>
    <cellStyle name="Currency 238 7" xfId="19247"/>
    <cellStyle name="Currency 239" xfId="19248"/>
    <cellStyle name="Currency 239 2" xfId="19249"/>
    <cellStyle name="Currency 239 2 2" xfId="19250"/>
    <cellStyle name="Currency 239 2 2 2" xfId="19251"/>
    <cellStyle name="Currency 239 2 2 2 2" xfId="19252"/>
    <cellStyle name="Currency 239 2 2 3" xfId="19253"/>
    <cellStyle name="Currency 239 2 2 4" xfId="19254"/>
    <cellStyle name="Currency 239 2 3" xfId="19255"/>
    <cellStyle name="Currency 239 2 3 2" xfId="19256"/>
    <cellStyle name="Currency 239 2 4" xfId="19257"/>
    <cellStyle name="Currency 239 2 5" xfId="19258"/>
    <cellStyle name="Currency 239 3" xfId="19259"/>
    <cellStyle name="Currency 239 3 2" xfId="19260"/>
    <cellStyle name="Currency 239 3 2 2" xfId="19261"/>
    <cellStyle name="Currency 239 3 3" xfId="19262"/>
    <cellStyle name="Currency 239 3 4" xfId="19263"/>
    <cellStyle name="Currency 239 4" xfId="19264"/>
    <cellStyle name="Currency 239 5" xfId="19265"/>
    <cellStyle name="Currency 239 5 2" xfId="19266"/>
    <cellStyle name="Currency 239 6" xfId="19267"/>
    <cellStyle name="Currency 239 7" xfId="19268"/>
    <cellStyle name="Currency 24" xfId="19269"/>
    <cellStyle name="Currency 240" xfId="19270"/>
    <cellStyle name="Currency 240 2" xfId="19271"/>
    <cellStyle name="Currency 240 2 2" xfId="19272"/>
    <cellStyle name="Currency 240 2 2 2" xfId="19273"/>
    <cellStyle name="Currency 240 2 2 2 2" xfId="19274"/>
    <cellStyle name="Currency 240 2 2 3" xfId="19275"/>
    <cellStyle name="Currency 240 2 2 4" xfId="19276"/>
    <cellStyle name="Currency 240 2 3" xfId="19277"/>
    <cellStyle name="Currency 240 2 3 2" xfId="19278"/>
    <cellStyle name="Currency 240 2 4" xfId="19279"/>
    <cellStyle name="Currency 240 2 5" xfId="19280"/>
    <cellStyle name="Currency 240 3" xfId="19281"/>
    <cellStyle name="Currency 240 3 2" xfId="19282"/>
    <cellStyle name="Currency 240 3 2 2" xfId="19283"/>
    <cellStyle name="Currency 240 3 3" xfId="19284"/>
    <cellStyle name="Currency 240 3 4" xfId="19285"/>
    <cellStyle name="Currency 240 4" xfId="19286"/>
    <cellStyle name="Currency 240 5" xfId="19287"/>
    <cellStyle name="Currency 240 5 2" xfId="19288"/>
    <cellStyle name="Currency 240 6" xfId="19289"/>
    <cellStyle name="Currency 240 7" xfId="19290"/>
    <cellStyle name="Currency 241" xfId="19291"/>
    <cellStyle name="Currency 241 2" xfId="19292"/>
    <cellStyle name="Currency 241 2 2" xfId="19293"/>
    <cellStyle name="Currency 241 2 2 2" xfId="19294"/>
    <cellStyle name="Currency 241 2 2 2 2" xfId="19295"/>
    <cellStyle name="Currency 241 2 2 3" xfId="19296"/>
    <cellStyle name="Currency 241 2 2 4" xfId="19297"/>
    <cellStyle name="Currency 241 2 3" xfId="19298"/>
    <cellStyle name="Currency 241 2 3 2" xfId="19299"/>
    <cellStyle name="Currency 241 2 4" xfId="19300"/>
    <cellStyle name="Currency 241 2 5" xfId="19301"/>
    <cellStyle name="Currency 241 3" xfId="19302"/>
    <cellStyle name="Currency 241 3 2" xfId="19303"/>
    <cellStyle name="Currency 241 3 2 2" xfId="19304"/>
    <cellStyle name="Currency 241 3 3" xfId="19305"/>
    <cellStyle name="Currency 241 3 4" xfId="19306"/>
    <cellStyle name="Currency 241 4" xfId="19307"/>
    <cellStyle name="Currency 241 5" xfId="19308"/>
    <cellStyle name="Currency 241 5 2" xfId="19309"/>
    <cellStyle name="Currency 241 6" xfId="19310"/>
    <cellStyle name="Currency 241 7" xfId="19311"/>
    <cellStyle name="Currency 242" xfId="19312"/>
    <cellStyle name="Currency 242 2" xfId="19313"/>
    <cellStyle name="Currency 242 2 2" xfId="19314"/>
    <cellStyle name="Currency 242 2 2 2" xfId="19315"/>
    <cellStyle name="Currency 242 2 2 2 2" xfId="19316"/>
    <cellStyle name="Currency 242 2 2 3" xfId="19317"/>
    <cellStyle name="Currency 242 2 2 4" xfId="19318"/>
    <cellStyle name="Currency 242 2 3" xfId="19319"/>
    <cellStyle name="Currency 242 2 3 2" xfId="19320"/>
    <cellStyle name="Currency 242 2 4" xfId="19321"/>
    <cellStyle name="Currency 242 2 5" xfId="19322"/>
    <cellStyle name="Currency 242 3" xfId="19323"/>
    <cellStyle name="Currency 242 3 2" xfId="19324"/>
    <cellStyle name="Currency 242 3 2 2" xfId="19325"/>
    <cellStyle name="Currency 242 3 3" xfId="19326"/>
    <cellStyle name="Currency 242 3 4" xfId="19327"/>
    <cellStyle name="Currency 242 4" xfId="19328"/>
    <cellStyle name="Currency 242 5" xfId="19329"/>
    <cellStyle name="Currency 242 5 2" xfId="19330"/>
    <cellStyle name="Currency 242 6" xfId="19331"/>
    <cellStyle name="Currency 242 7" xfId="19332"/>
    <cellStyle name="Currency 243" xfId="19333"/>
    <cellStyle name="Currency 243 2" xfId="19334"/>
    <cellStyle name="Currency 243 2 2" xfId="19335"/>
    <cellStyle name="Currency 243 2 2 2" xfId="19336"/>
    <cellStyle name="Currency 243 2 2 2 2" xfId="19337"/>
    <cellStyle name="Currency 243 2 2 3" xfId="19338"/>
    <cellStyle name="Currency 243 2 2 4" xfId="19339"/>
    <cellStyle name="Currency 243 2 3" xfId="19340"/>
    <cellStyle name="Currency 243 2 3 2" xfId="19341"/>
    <cellStyle name="Currency 243 2 4" xfId="19342"/>
    <cellStyle name="Currency 243 2 5" xfId="19343"/>
    <cellStyle name="Currency 243 3" xfId="19344"/>
    <cellStyle name="Currency 243 3 2" xfId="19345"/>
    <cellStyle name="Currency 243 3 2 2" xfId="19346"/>
    <cellStyle name="Currency 243 3 3" xfId="19347"/>
    <cellStyle name="Currency 243 3 4" xfId="19348"/>
    <cellStyle name="Currency 243 4" xfId="19349"/>
    <cellStyle name="Currency 243 5" xfId="19350"/>
    <cellStyle name="Currency 243 5 2" xfId="19351"/>
    <cellStyle name="Currency 243 6" xfId="19352"/>
    <cellStyle name="Currency 243 7" xfId="19353"/>
    <cellStyle name="Currency 244" xfId="19354"/>
    <cellStyle name="Currency 244 2" xfId="19355"/>
    <cellStyle name="Currency 245" xfId="19356"/>
    <cellStyle name="Currency 246" xfId="19357"/>
    <cellStyle name="Currency 247" xfId="19358"/>
    <cellStyle name="Currency 248" xfId="19359"/>
    <cellStyle name="Currency 248 2" xfId="19360"/>
    <cellStyle name="Currency 248 2 2" xfId="19361"/>
    <cellStyle name="Currency 248 2 2 2" xfId="19362"/>
    <cellStyle name="Currency 248 2 3" xfId="19363"/>
    <cellStyle name="Currency 248 2 4" xfId="19364"/>
    <cellStyle name="Currency 248 3" xfId="19365"/>
    <cellStyle name="Currency 248 4" xfId="19366"/>
    <cellStyle name="Currency 248 4 2" xfId="19367"/>
    <cellStyle name="Currency 248 5" xfId="19368"/>
    <cellStyle name="Currency 248 6" xfId="19369"/>
    <cellStyle name="Currency 249" xfId="19370"/>
    <cellStyle name="Currency 249 2" xfId="19371"/>
    <cellStyle name="Currency 249 2 2" xfId="19372"/>
    <cellStyle name="Currency 249 2 2 2" xfId="19373"/>
    <cellStyle name="Currency 249 2 3" xfId="19374"/>
    <cellStyle name="Currency 249 2 4" xfId="19375"/>
    <cellStyle name="Currency 249 3" xfId="19376"/>
    <cellStyle name="Currency 249 4" xfId="19377"/>
    <cellStyle name="Currency 249 4 2" xfId="19378"/>
    <cellStyle name="Currency 249 5" xfId="19379"/>
    <cellStyle name="Currency 249 6" xfId="19380"/>
    <cellStyle name="Currency 25" xfId="19381"/>
    <cellStyle name="Currency 250" xfId="19382"/>
    <cellStyle name="Currency 250 2" xfId="19383"/>
    <cellStyle name="Currency 250 2 2" xfId="19384"/>
    <cellStyle name="Currency 250 2 2 2" xfId="19385"/>
    <cellStyle name="Currency 250 2 3" xfId="19386"/>
    <cellStyle name="Currency 250 2 4" xfId="19387"/>
    <cellStyle name="Currency 250 3" xfId="19388"/>
    <cellStyle name="Currency 250 4" xfId="19389"/>
    <cellStyle name="Currency 250 4 2" xfId="19390"/>
    <cellStyle name="Currency 250 5" xfId="19391"/>
    <cellStyle name="Currency 250 6" xfId="19392"/>
    <cellStyle name="Currency 251" xfId="19393"/>
    <cellStyle name="Currency 251 2" xfId="19394"/>
    <cellStyle name="Currency 252" xfId="19395"/>
    <cellStyle name="Currency 252 2" xfId="19396"/>
    <cellStyle name="Currency 253" xfId="19397"/>
    <cellStyle name="Currency 253 2" xfId="19398"/>
    <cellStyle name="Currency 253 3" xfId="19399"/>
    <cellStyle name="Currency 253 3 2" xfId="19400"/>
    <cellStyle name="Currency 253 3 3" xfId="19401"/>
    <cellStyle name="Currency 253 4" xfId="19402"/>
    <cellStyle name="Currency 254" xfId="19403"/>
    <cellStyle name="Currency 254 2" xfId="19404"/>
    <cellStyle name="Currency 254 2 2" xfId="19405"/>
    <cellStyle name="Currency 254 2 3" xfId="19406"/>
    <cellStyle name="Currency 254 3" xfId="19407"/>
    <cellStyle name="Currency 254 4" xfId="19408"/>
    <cellStyle name="Currency 255" xfId="19409"/>
    <cellStyle name="Currency 255 2" xfId="19410"/>
    <cellStyle name="Currency 255 2 2" xfId="19411"/>
    <cellStyle name="Currency 255 2 3" xfId="19412"/>
    <cellStyle name="Currency 255 3" xfId="19413"/>
    <cellStyle name="Currency 255 4" xfId="19414"/>
    <cellStyle name="Currency 256" xfId="19415"/>
    <cellStyle name="Currency 257" xfId="19416"/>
    <cellStyle name="Currency 258" xfId="19417"/>
    <cellStyle name="Currency 259" xfId="19418"/>
    <cellStyle name="Currency 26" xfId="19419"/>
    <cellStyle name="Currency 260" xfId="19420"/>
    <cellStyle name="Currency 261" xfId="19421"/>
    <cellStyle name="Currency 262" xfId="19422"/>
    <cellStyle name="Currency 263" xfId="19423"/>
    <cellStyle name="Currency 264" xfId="19424"/>
    <cellStyle name="Currency 264 2" xfId="19425"/>
    <cellStyle name="Currency 264 2 2" xfId="19426"/>
    <cellStyle name="Currency 264 3" xfId="19427"/>
    <cellStyle name="Currency 264 4" xfId="19428"/>
    <cellStyle name="Currency 265" xfId="19429"/>
    <cellStyle name="Currency 265 2" xfId="19430"/>
    <cellStyle name="Currency 265 2 2" xfId="19431"/>
    <cellStyle name="Currency 265 3" xfId="19432"/>
    <cellStyle name="Currency 265 4" xfId="19433"/>
    <cellStyle name="Currency 266" xfId="19434"/>
    <cellStyle name="Currency 267" xfId="19435"/>
    <cellStyle name="Currency 268" xfId="19436"/>
    <cellStyle name="Currency 269" xfId="19437"/>
    <cellStyle name="Currency 27" xfId="19438"/>
    <cellStyle name="Currency 27 2" xfId="19439"/>
    <cellStyle name="Currency 270" xfId="19440"/>
    <cellStyle name="Currency 271" xfId="19441"/>
    <cellStyle name="Currency 272" xfId="19442"/>
    <cellStyle name="Currency 273" xfId="19443"/>
    <cellStyle name="Currency 274" xfId="19444"/>
    <cellStyle name="Currency 275" xfId="19445"/>
    <cellStyle name="Currency 276" xfId="19446"/>
    <cellStyle name="Currency 277" xfId="35779"/>
    <cellStyle name="Currency 278" xfId="36127"/>
    <cellStyle name="Currency 28" xfId="19447"/>
    <cellStyle name="Currency 28 2" xfId="19448"/>
    <cellStyle name="Currency 29" xfId="19449"/>
    <cellStyle name="Currency 29 2" xfId="19450"/>
    <cellStyle name="Currency 3" xfId="60"/>
    <cellStyle name="Currency 3 2" xfId="265"/>
    <cellStyle name="Currency 3 2 2" xfId="19452"/>
    <cellStyle name="Currency 3 2 3" xfId="35570"/>
    <cellStyle name="Currency 3 2 4" xfId="19451"/>
    <cellStyle name="Currency 3 3" xfId="19453"/>
    <cellStyle name="Currency 3 3 2" xfId="19454"/>
    <cellStyle name="Currency 3 3 3" xfId="19455"/>
    <cellStyle name="Currency 3 4" xfId="19456"/>
    <cellStyle name="Currency 3 4 2" xfId="19457"/>
    <cellStyle name="Currency 3 4 3" xfId="19458"/>
    <cellStyle name="Currency 3 4 3 2" xfId="19459"/>
    <cellStyle name="Currency 3 4 3 2 2" xfId="19460"/>
    <cellStyle name="Currency 3 4 3 3" xfId="19461"/>
    <cellStyle name="Currency 3 4 3 4" xfId="19462"/>
    <cellStyle name="Currency 3 5" xfId="19463"/>
    <cellStyle name="Currency 3 6" xfId="35731"/>
    <cellStyle name="Currency 30" xfId="19464"/>
    <cellStyle name="Currency 30 2" xfId="19465"/>
    <cellStyle name="Currency 30 2 2" xfId="19466"/>
    <cellStyle name="Currency 30 3" xfId="19467"/>
    <cellStyle name="Currency 31" xfId="19468"/>
    <cellStyle name="Currency 31 2" xfId="19469"/>
    <cellStyle name="Currency 31 2 2" xfId="19470"/>
    <cellStyle name="Currency 31 3" xfId="19471"/>
    <cellStyle name="Currency 32" xfId="19472"/>
    <cellStyle name="Currency 32 2" xfId="19473"/>
    <cellStyle name="Currency 32 2 2" xfId="19474"/>
    <cellStyle name="Currency 32 3" xfId="19475"/>
    <cellStyle name="Currency 33" xfId="19476"/>
    <cellStyle name="Currency 33 2" xfId="19477"/>
    <cellStyle name="Currency 33 2 2" xfId="19478"/>
    <cellStyle name="Currency 33 3" xfId="19479"/>
    <cellStyle name="Currency 34" xfId="19480"/>
    <cellStyle name="Currency 34 2" xfId="19481"/>
    <cellStyle name="Currency 34 2 2" xfId="19482"/>
    <cellStyle name="Currency 34 3" xfId="19483"/>
    <cellStyle name="Currency 35" xfId="19484"/>
    <cellStyle name="Currency 36" xfId="19485"/>
    <cellStyle name="Currency 36 2" xfId="19486"/>
    <cellStyle name="Currency 36 2 2" xfId="19487"/>
    <cellStyle name="Currency 36 3" xfId="19488"/>
    <cellStyle name="Currency 37" xfId="19489"/>
    <cellStyle name="Currency 37 2" xfId="19490"/>
    <cellStyle name="Currency 37 2 2" xfId="19491"/>
    <cellStyle name="Currency 37 3" xfId="19492"/>
    <cellStyle name="Currency 38" xfId="19493"/>
    <cellStyle name="Currency 38 10" xfId="19494"/>
    <cellStyle name="Currency 38 11" xfId="19495"/>
    <cellStyle name="Currency 38 2" xfId="19496"/>
    <cellStyle name="Currency 38 2 10" xfId="19497"/>
    <cellStyle name="Currency 38 2 2" xfId="19498"/>
    <cellStyle name="Currency 38 2 2 2" xfId="19499"/>
    <cellStyle name="Currency 38 2 2 2 2" xfId="19500"/>
    <cellStyle name="Currency 38 2 2 2 2 2" xfId="19501"/>
    <cellStyle name="Currency 38 2 2 2 2 2 2" xfId="19502"/>
    <cellStyle name="Currency 38 2 2 2 2 3" xfId="19503"/>
    <cellStyle name="Currency 38 2 2 2 2 4" xfId="19504"/>
    <cellStyle name="Currency 38 2 2 2 3" xfId="19505"/>
    <cellStyle name="Currency 38 2 2 2 3 2" xfId="19506"/>
    <cellStyle name="Currency 38 2 2 2 4" xfId="19507"/>
    <cellStyle name="Currency 38 2 2 2 5" xfId="19508"/>
    <cellStyle name="Currency 38 2 2 3" xfId="19509"/>
    <cellStyle name="Currency 38 2 2 3 2" xfId="19510"/>
    <cellStyle name="Currency 38 2 2 3 2 2" xfId="19511"/>
    <cellStyle name="Currency 38 2 2 3 2 2 2" xfId="19512"/>
    <cellStyle name="Currency 38 2 2 3 2 3" xfId="19513"/>
    <cellStyle name="Currency 38 2 2 3 2 4" xfId="19514"/>
    <cellStyle name="Currency 38 2 2 3 3" xfId="19515"/>
    <cellStyle name="Currency 38 2 2 3 3 2" xfId="19516"/>
    <cellStyle name="Currency 38 2 2 3 4" xfId="19517"/>
    <cellStyle name="Currency 38 2 2 3 5" xfId="19518"/>
    <cellStyle name="Currency 38 2 2 4" xfId="19519"/>
    <cellStyle name="Currency 38 2 2 4 2" xfId="19520"/>
    <cellStyle name="Currency 38 2 2 4 2 2" xfId="19521"/>
    <cellStyle name="Currency 38 2 2 4 3" xfId="19522"/>
    <cellStyle name="Currency 38 2 2 4 4" xfId="19523"/>
    <cellStyle name="Currency 38 2 2 5" xfId="19524"/>
    <cellStyle name="Currency 38 2 2 5 2" xfId="19525"/>
    <cellStyle name="Currency 38 2 2 5 2 2" xfId="19526"/>
    <cellStyle name="Currency 38 2 2 5 3" xfId="19527"/>
    <cellStyle name="Currency 38 2 2 5 4" xfId="19528"/>
    <cellStyle name="Currency 38 2 2 6" xfId="19529"/>
    <cellStyle name="Currency 38 2 2 6 2" xfId="19530"/>
    <cellStyle name="Currency 38 2 2 6 2 2" xfId="19531"/>
    <cellStyle name="Currency 38 2 2 6 3" xfId="19532"/>
    <cellStyle name="Currency 38 2 2 6 4" xfId="19533"/>
    <cellStyle name="Currency 38 2 2 7" xfId="19534"/>
    <cellStyle name="Currency 38 2 2 7 2" xfId="19535"/>
    <cellStyle name="Currency 38 2 2 8" xfId="19536"/>
    <cellStyle name="Currency 38 2 2 9" xfId="19537"/>
    <cellStyle name="Currency 38 2 3" xfId="19538"/>
    <cellStyle name="Currency 38 2 3 2" xfId="19539"/>
    <cellStyle name="Currency 38 2 3 2 2" xfId="19540"/>
    <cellStyle name="Currency 38 2 3 2 2 2" xfId="19541"/>
    <cellStyle name="Currency 38 2 3 2 3" xfId="19542"/>
    <cellStyle name="Currency 38 2 3 2 4" xfId="19543"/>
    <cellStyle name="Currency 38 2 3 3" xfId="19544"/>
    <cellStyle name="Currency 38 2 3 3 2" xfId="19545"/>
    <cellStyle name="Currency 38 2 3 4" xfId="19546"/>
    <cellStyle name="Currency 38 2 3 5" xfId="19547"/>
    <cellStyle name="Currency 38 2 4" xfId="19548"/>
    <cellStyle name="Currency 38 2 4 2" xfId="19549"/>
    <cellStyle name="Currency 38 2 4 2 2" xfId="19550"/>
    <cellStyle name="Currency 38 2 4 2 2 2" xfId="19551"/>
    <cellStyle name="Currency 38 2 4 2 3" xfId="19552"/>
    <cellStyle name="Currency 38 2 4 2 4" xfId="19553"/>
    <cellStyle name="Currency 38 2 4 3" xfId="19554"/>
    <cellStyle name="Currency 38 2 4 3 2" xfId="19555"/>
    <cellStyle name="Currency 38 2 4 4" xfId="19556"/>
    <cellStyle name="Currency 38 2 4 5" xfId="19557"/>
    <cellStyle name="Currency 38 2 5" xfId="19558"/>
    <cellStyle name="Currency 38 2 5 2" xfId="19559"/>
    <cellStyle name="Currency 38 2 5 2 2" xfId="19560"/>
    <cellStyle name="Currency 38 2 5 3" xfId="19561"/>
    <cellStyle name="Currency 38 2 5 4" xfId="19562"/>
    <cellStyle name="Currency 38 2 6" xfId="19563"/>
    <cellStyle name="Currency 38 2 6 2" xfId="19564"/>
    <cellStyle name="Currency 38 2 6 2 2" xfId="19565"/>
    <cellStyle name="Currency 38 2 6 3" xfId="19566"/>
    <cellStyle name="Currency 38 2 6 4" xfId="19567"/>
    <cellStyle name="Currency 38 2 7" xfId="19568"/>
    <cellStyle name="Currency 38 2 7 2" xfId="19569"/>
    <cellStyle name="Currency 38 2 7 2 2" xfId="19570"/>
    <cellStyle name="Currency 38 2 7 3" xfId="19571"/>
    <cellStyle name="Currency 38 2 7 4" xfId="19572"/>
    <cellStyle name="Currency 38 2 8" xfId="19573"/>
    <cellStyle name="Currency 38 2 8 2" xfId="19574"/>
    <cellStyle name="Currency 38 2 9" xfId="19575"/>
    <cellStyle name="Currency 38 3" xfId="19576"/>
    <cellStyle name="Currency 38 3 2" xfId="19577"/>
    <cellStyle name="Currency 38 3 2 2" xfId="19578"/>
    <cellStyle name="Currency 38 3 2 2 2" xfId="19579"/>
    <cellStyle name="Currency 38 3 2 2 2 2" xfId="19580"/>
    <cellStyle name="Currency 38 3 2 2 3" xfId="19581"/>
    <cellStyle name="Currency 38 3 2 2 4" xfId="19582"/>
    <cellStyle name="Currency 38 3 2 3" xfId="19583"/>
    <cellStyle name="Currency 38 3 2 3 2" xfId="19584"/>
    <cellStyle name="Currency 38 3 2 4" xfId="19585"/>
    <cellStyle name="Currency 38 3 2 5" xfId="19586"/>
    <cellStyle name="Currency 38 3 3" xfId="19587"/>
    <cellStyle name="Currency 38 3 3 2" xfId="19588"/>
    <cellStyle name="Currency 38 3 3 2 2" xfId="19589"/>
    <cellStyle name="Currency 38 3 3 2 2 2" xfId="19590"/>
    <cellStyle name="Currency 38 3 3 2 3" xfId="19591"/>
    <cellStyle name="Currency 38 3 3 2 4" xfId="19592"/>
    <cellStyle name="Currency 38 3 3 3" xfId="19593"/>
    <cellStyle name="Currency 38 3 3 3 2" xfId="19594"/>
    <cellStyle name="Currency 38 3 3 4" xfId="19595"/>
    <cellStyle name="Currency 38 3 3 5" xfId="19596"/>
    <cellStyle name="Currency 38 3 4" xfId="19597"/>
    <cellStyle name="Currency 38 3 4 2" xfId="19598"/>
    <cellStyle name="Currency 38 3 4 2 2" xfId="19599"/>
    <cellStyle name="Currency 38 3 4 3" xfId="19600"/>
    <cellStyle name="Currency 38 3 4 4" xfId="19601"/>
    <cellStyle name="Currency 38 3 5" xfId="19602"/>
    <cellStyle name="Currency 38 3 5 2" xfId="19603"/>
    <cellStyle name="Currency 38 3 5 2 2" xfId="19604"/>
    <cellStyle name="Currency 38 3 5 3" xfId="19605"/>
    <cellStyle name="Currency 38 3 5 4" xfId="19606"/>
    <cellStyle name="Currency 38 3 6" xfId="19607"/>
    <cellStyle name="Currency 38 3 6 2" xfId="19608"/>
    <cellStyle name="Currency 38 3 6 2 2" xfId="19609"/>
    <cellStyle name="Currency 38 3 6 3" xfId="19610"/>
    <cellStyle name="Currency 38 3 6 4" xfId="19611"/>
    <cellStyle name="Currency 38 3 7" xfId="19612"/>
    <cellStyle name="Currency 38 3 7 2" xfId="19613"/>
    <cellStyle name="Currency 38 3 8" xfId="19614"/>
    <cellStyle name="Currency 38 3 9" xfId="19615"/>
    <cellStyle name="Currency 38 4" xfId="19616"/>
    <cellStyle name="Currency 38 4 2" xfId="19617"/>
    <cellStyle name="Currency 38 4 2 2" xfId="19618"/>
    <cellStyle name="Currency 38 4 2 2 2" xfId="19619"/>
    <cellStyle name="Currency 38 4 2 3" xfId="19620"/>
    <cellStyle name="Currency 38 4 2 4" xfId="19621"/>
    <cellStyle name="Currency 38 4 3" xfId="19622"/>
    <cellStyle name="Currency 38 4 3 2" xfId="19623"/>
    <cellStyle name="Currency 38 4 4" xfId="19624"/>
    <cellStyle name="Currency 38 4 5" xfId="19625"/>
    <cellStyle name="Currency 38 5" xfId="19626"/>
    <cellStyle name="Currency 38 5 2" xfId="19627"/>
    <cellStyle name="Currency 38 5 2 2" xfId="19628"/>
    <cellStyle name="Currency 38 5 2 2 2" xfId="19629"/>
    <cellStyle name="Currency 38 5 2 3" xfId="19630"/>
    <cellStyle name="Currency 38 5 2 4" xfId="19631"/>
    <cellStyle name="Currency 38 5 3" xfId="19632"/>
    <cellStyle name="Currency 38 5 3 2" xfId="19633"/>
    <cellStyle name="Currency 38 5 4" xfId="19634"/>
    <cellStyle name="Currency 38 5 5" xfId="19635"/>
    <cellStyle name="Currency 38 6" xfId="19636"/>
    <cellStyle name="Currency 38 6 2" xfId="19637"/>
    <cellStyle name="Currency 38 6 2 2" xfId="19638"/>
    <cellStyle name="Currency 38 6 3" xfId="19639"/>
    <cellStyle name="Currency 38 6 4" xfId="19640"/>
    <cellStyle name="Currency 38 7" xfId="19641"/>
    <cellStyle name="Currency 38 7 2" xfId="19642"/>
    <cellStyle name="Currency 38 7 2 2" xfId="19643"/>
    <cellStyle name="Currency 38 7 3" xfId="19644"/>
    <cellStyle name="Currency 38 7 4" xfId="19645"/>
    <cellStyle name="Currency 38 8" xfId="19646"/>
    <cellStyle name="Currency 38 8 2" xfId="19647"/>
    <cellStyle name="Currency 38 8 2 2" xfId="19648"/>
    <cellStyle name="Currency 38 8 3" xfId="19649"/>
    <cellStyle name="Currency 38 8 4" xfId="19650"/>
    <cellStyle name="Currency 38 9" xfId="19651"/>
    <cellStyle name="Currency 38 9 2" xfId="19652"/>
    <cellStyle name="Currency 39" xfId="19653"/>
    <cellStyle name="Currency 39 10" xfId="19654"/>
    <cellStyle name="Currency 39 11" xfId="19655"/>
    <cellStyle name="Currency 39 2" xfId="19656"/>
    <cellStyle name="Currency 39 2 10" xfId="19657"/>
    <cellStyle name="Currency 39 2 2" xfId="19658"/>
    <cellStyle name="Currency 39 2 2 2" xfId="19659"/>
    <cellStyle name="Currency 39 2 2 2 2" xfId="19660"/>
    <cellStyle name="Currency 39 2 2 2 2 2" xfId="19661"/>
    <cellStyle name="Currency 39 2 2 2 2 2 2" xfId="19662"/>
    <cellStyle name="Currency 39 2 2 2 2 3" xfId="19663"/>
    <cellStyle name="Currency 39 2 2 2 2 4" xfId="19664"/>
    <cellStyle name="Currency 39 2 2 2 3" xfId="19665"/>
    <cellStyle name="Currency 39 2 2 2 3 2" xfId="19666"/>
    <cellStyle name="Currency 39 2 2 2 4" xfId="19667"/>
    <cellStyle name="Currency 39 2 2 2 5" xfId="19668"/>
    <cellStyle name="Currency 39 2 2 3" xfId="19669"/>
    <cellStyle name="Currency 39 2 2 3 2" xfId="19670"/>
    <cellStyle name="Currency 39 2 2 3 2 2" xfId="19671"/>
    <cellStyle name="Currency 39 2 2 3 2 2 2" xfId="19672"/>
    <cellStyle name="Currency 39 2 2 3 2 3" xfId="19673"/>
    <cellStyle name="Currency 39 2 2 3 2 4" xfId="19674"/>
    <cellStyle name="Currency 39 2 2 3 3" xfId="19675"/>
    <cellStyle name="Currency 39 2 2 3 3 2" xfId="19676"/>
    <cellStyle name="Currency 39 2 2 3 4" xfId="19677"/>
    <cellStyle name="Currency 39 2 2 3 5" xfId="19678"/>
    <cellStyle name="Currency 39 2 2 4" xfId="19679"/>
    <cellStyle name="Currency 39 2 2 4 2" xfId="19680"/>
    <cellStyle name="Currency 39 2 2 4 2 2" xfId="19681"/>
    <cellStyle name="Currency 39 2 2 4 3" xfId="19682"/>
    <cellStyle name="Currency 39 2 2 4 4" xfId="19683"/>
    <cellStyle name="Currency 39 2 2 5" xfId="19684"/>
    <cellStyle name="Currency 39 2 2 5 2" xfId="19685"/>
    <cellStyle name="Currency 39 2 2 5 2 2" xfId="19686"/>
    <cellStyle name="Currency 39 2 2 5 3" xfId="19687"/>
    <cellStyle name="Currency 39 2 2 5 4" xfId="19688"/>
    <cellStyle name="Currency 39 2 2 6" xfId="19689"/>
    <cellStyle name="Currency 39 2 2 6 2" xfId="19690"/>
    <cellStyle name="Currency 39 2 2 6 2 2" xfId="19691"/>
    <cellStyle name="Currency 39 2 2 6 3" xfId="19692"/>
    <cellStyle name="Currency 39 2 2 6 4" xfId="19693"/>
    <cellStyle name="Currency 39 2 2 7" xfId="19694"/>
    <cellStyle name="Currency 39 2 2 7 2" xfId="19695"/>
    <cellStyle name="Currency 39 2 2 8" xfId="19696"/>
    <cellStyle name="Currency 39 2 2 9" xfId="19697"/>
    <cellStyle name="Currency 39 2 3" xfId="19698"/>
    <cellStyle name="Currency 39 2 3 2" xfId="19699"/>
    <cellStyle name="Currency 39 2 3 2 2" xfId="19700"/>
    <cellStyle name="Currency 39 2 3 2 2 2" xfId="19701"/>
    <cellStyle name="Currency 39 2 3 2 3" xfId="19702"/>
    <cellStyle name="Currency 39 2 3 2 4" xfId="19703"/>
    <cellStyle name="Currency 39 2 3 3" xfId="19704"/>
    <cellStyle name="Currency 39 2 3 3 2" xfId="19705"/>
    <cellStyle name="Currency 39 2 3 4" xfId="19706"/>
    <cellStyle name="Currency 39 2 3 5" xfId="19707"/>
    <cellStyle name="Currency 39 2 4" xfId="19708"/>
    <cellStyle name="Currency 39 2 4 2" xfId="19709"/>
    <cellStyle name="Currency 39 2 4 2 2" xfId="19710"/>
    <cellStyle name="Currency 39 2 4 2 2 2" xfId="19711"/>
    <cellStyle name="Currency 39 2 4 2 3" xfId="19712"/>
    <cellStyle name="Currency 39 2 4 2 4" xfId="19713"/>
    <cellStyle name="Currency 39 2 4 3" xfId="19714"/>
    <cellStyle name="Currency 39 2 4 3 2" xfId="19715"/>
    <cellStyle name="Currency 39 2 4 4" xfId="19716"/>
    <cellStyle name="Currency 39 2 4 5" xfId="19717"/>
    <cellStyle name="Currency 39 2 5" xfId="19718"/>
    <cellStyle name="Currency 39 2 5 2" xfId="19719"/>
    <cellStyle name="Currency 39 2 5 2 2" xfId="19720"/>
    <cellStyle name="Currency 39 2 5 3" xfId="19721"/>
    <cellStyle name="Currency 39 2 5 4" xfId="19722"/>
    <cellStyle name="Currency 39 2 6" xfId="19723"/>
    <cellStyle name="Currency 39 2 6 2" xfId="19724"/>
    <cellStyle name="Currency 39 2 6 2 2" xfId="19725"/>
    <cellStyle name="Currency 39 2 6 3" xfId="19726"/>
    <cellStyle name="Currency 39 2 6 4" xfId="19727"/>
    <cellStyle name="Currency 39 2 7" xfId="19728"/>
    <cellStyle name="Currency 39 2 7 2" xfId="19729"/>
    <cellStyle name="Currency 39 2 7 2 2" xfId="19730"/>
    <cellStyle name="Currency 39 2 7 3" xfId="19731"/>
    <cellStyle name="Currency 39 2 7 4" xfId="19732"/>
    <cellStyle name="Currency 39 2 8" xfId="19733"/>
    <cellStyle name="Currency 39 2 8 2" xfId="19734"/>
    <cellStyle name="Currency 39 2 9" xfId="19735"/>
    <cellStyle name="Currency 39 3" xfId="19736"/>
    <cellStyle name="Currency 39 3 2" xfId="19737"/>
    <cellStyle name="Currency 39 3 2 2" xfId="19738"/>
    <cellStyle name="Currency 39 3 2 2 2" xfId="19739"/>
    <cellStyle name="Currency 39 3 2 2 2 2" xfId="19740"/>
    <cellStyle name="Currency 39 3 2 2 3" xfId="19741"/>
    <cellStyle name="Currency 39 3 2 2 4" xfId="19742"/>
    <cellStyle name="Currency 39 3 2 3" xfId="19743"/>
    <cellStyle name="Currency 39 3 2 3 2" xfId="19744"/>
    <cellStyle name="Currency 39 3 2 4" xfId="19745"/>
    <cellStyle name="Currency 39 3 2 5" xfId="19746"/>
    <cellStyle name="Currency 39 3 3" xfId="19747"/>
    <cellStyle name="Currency 39 3 3 2" xfId="19748"/>
    <cellStyle name="Currency 39 3 3 2 2" xfId="19749"/>
    <cellStyle name="Currency 39 3 3 2 2 2" xfId="19750"/>
    <cellStyle name="Currency 39 3 3 2 3" xfId="19751"/>
    <cellStyle name="Currency 39 3 3 2 4" xfId="19752"/>
    <cellStyle name="Currency 39 3 3 3" xfId="19753"/>
    <cellStyle name="Currency 39 3 3 3 2" xfId="19754"/>
    <cellStyle name="Currency 39 3 3 4" xfId="19755"/>
    <cellStyle name="Currency 39 3 3 5" xfId="19756"/>
    <cellStyle name="Currency 39 3 4" xfId="19757"/>
    <cellStyle name="Currency 39 3 4 2" xfId="19758"/>
    <cellStyle name="Currency 39 3 4 2 2" xfId="19759"/>
    <cellStyle name="Currency 39 3 4 3" xfId="19760"/>
    <cellStyle name="Currency 39 3 4 4" xfId="19761"/>
    <cellStyle name="Currency 39 3 5" xfId="19762"/>
    <cellStyle name="Currency 39 3 5 2" xfId="19763"/>
    <cellStyle name="Currency 39 3 5 2 2" xfId="19764"/>
    <cellStyle name="Currency 39 3 5 3" xfId="19765"/>
    <cellStyle name="Currency 39 3 5 4" xfId="19766"/>
    <cellStyle name="Currency 39 3 6" xfId="19767"/>
    <cellStyle name="Currency 39 3 6 2" xfId="19768"/>
    <cellStyle name="Currency 39 3 6 2 2" xfId="19769"/>
    <cellStyle name="Currency 39 3 6 3" xfId="19770"/>
    <cellStyle name="Currency 39 3 6 4" xfId="19771"/>
    <cellStyle name="Currency 39 3 7" xfId="19772"/>
    <cellStyle name="Currency 39 3 7 2" xfId="19773"/>
    <cellStyle name="Currency 39 3 8" xfId="19774"/>
    <cellStyle name="Currency 39 3 9" xfId="19775"/>
    <cellStyle name="Currency 39 4" xfId="19776"/>
    <cellStyle name="Currency 39 4 2" xfId="19777"/>
    <cellStyle name="Currency 39 4 2 2" xfId="19778"/>
    <cellStyle name="Currency 39 4 2 2 2" xfId="19779"/>
    <cellStyle name="Currency 39 4 2 3" xfId="19780"/>
    <cellStyle name="Currency 39 4 2 4" xfId="19781"/>
    <cellStyle name="Currency 39 4 3" xfId="19782"/>
    <cellStyle name="Currency 39 4 3 2" xfId="19783"/>
    <cellStyle name="Currency 39 4 4" xfId="19784"/>
    <cellStyle name="Currency 39 4 5" xfId="19785"/>
    <cellStyle name="Currency 39 5" xfId="19786"/>
    <cellStyle name="Currency 39 5 2" xfId="19787"/>
    <cellStyle name="Currency 39 5 2 2" xfId="19788"/>
    <cellStyle name="Currency 39 5 2 2 2" xfId="19789"/>
    <cellStyle name="Currency 39 5 2 3" xfId="19790"/>
    <cellStyle name="Currency 39 5 2 4" xfId="19791"/>
    <cellStyle name="Currency 39 5 3" xfId="19792"/>
    <cellStyle name="Currency 39 5 3 2" xfId="19793"/>
    <cellStyle name="Currency 39 5 4" xfId="19794"/>
    <cellStyle name="Currency 39 5 5" xfId="19795"/>
    <cellStyle name="Currency 39 6" xfId="19796"/>
    <cellStyle name="Currency 39 6 2" xfId="19797"/>
    <cellStyle name="Currency 39 6 2 2" xfId="19798"/>
    <cellStyle name="Currency 39 6 3" xfId="19799"/>
    <cellStyle name="Currency 39 6 4" xfId="19800"/>
    <cellStyle name="Currency 39 7" xfId="19801"/>
    <cellStyle name="Currency 39 7 2" xfId="19802"/>
    <cellStyle name="Currency 39 7 2 2" xfId="19803"/>
    <cellStyle name="Currency 39 7 3" xfId="19804"/>
    <cellStyle name="Currency 39 7 4" xfId="19805"/>
    <cellStyle name="Currency 39 8" xfId="19806"/>
    <cellStyle name="Currency 39 8 2" xfId="19807"/>
    <cellStyle name="Currency 39 8 2 2" xfId="19808"/>
    <cellStyle name="Currency 39 8 3" xfId="19809"/>
    <cellStyle name="Currency 39 8 4" xfId="19810"/>
    <cellStyle name="Currency 39 9" xfId="19811"/>
    <cellStyle name="Currency 39 9 2" xfId="19812"/>
    <cellStyle name="Currency 4" xfId="86"/>
    <cellStyle name="Currency 4 10" xfId="35571"/>
    <cellStyle name="Currency 4 11" xfId="35655"/>
    <cellStyle name="Currency 4 12" xfId="19813"/>
    <cellStyle name="Currency 4 13" xfId="35802"/>
    <cellStyle name="Currency 4 2" xfId="151"/>
    <cellStyle name="Currency 4 2 2" xfId="325"/>
    <cellStyle name="Currency 4 2 2 10" xfId="35627"/>
    <cellStyle name="Currency 4 2 2 11" xfId="19815"/>
    <cellStyle name="Currency 4 2 2 2" xfId="406"/>
    <cellStyle name="Currency 4 2 2 2 2" xfId="19817"/>
    <cellStyle name="Currency 4 2 2 2 2 2" xfId="19818"/>
    <cellStyle name="Currency 4 2 2 2 2 2 2" xfId="19819"/>
    <cellStyle name="Currency 4 2 2 2 2 3" xfId="19820"/>
    <cellStyle name="Currency 4 2 2 2 2 4" xfId="19821"/>
    <cellStyle name="Currency 4 2 2 2 3" xfId="19822"/>
    <cellStyle name="Currency 4 2 2 2 3 2" xfId="19823"/>
    <cellStyle name="Currency 4 2 2 2 4" xfId="19824"/>
    <cellStyle name="Currency 4 2 2 2 5" xfId="19825"/>
    <cellStyle name="Currency 4 2 2 2 6" xfId="35628"/>
    <cellStyle name="Currency 4 2 2 2 7" xfId="19816"/>
    <cellStyle name="Currency 4 2 2 3" xfId="19826"/>
    <cellStyle name="Currency 4 2 2 3 2" xfId="19827"/>
    <cellStyle name="Currency 4 2 2 3 2 2" xfId="19828"/>
    <cellStyle name="Currency 4 2 2 3 2 2 2" xfId="19829"/>
    <cellStyle name="Currency 4 2 2 3 2 3" xfId="19830"/>
    <cellStyle name="Currency 4 2 2 3 2 4" xfId="19831"/>
    <cellStyle name="Currency 4 2 2 3 3" xfId="19832"/>
    <cellStyle name="Currency 4 2 2 3 3 2" xfId="19833"/>
    <cellStyle name="Currency 4 2 2 3 4" xfId="19834"/>
    <cellStyle name="Currency 4 2 2 3 5" xfId="19835"/>
    <cellStyle name="Currency 4 2 2 4" xfId="19836"/>
    <cellStyle name="Currency 4 2 2 4 2" xfId="19837"/>
    <cellStyle name="Currency 4 2 2 4 2 2" xfId="19838"/>
    <cellStyle name="Currency 4 2 2 4 3" xfId="19839"/>
    <cellStyle name="Currency 4 2 2 4 4" xfId="19840"/>
    <cellStyle name="Currency 4 2 2 5" xfId="19841"/>
    <cellStyle name="Currency 4 2 2 5 2" xfId="19842"/>
    <cellStyle name="Currency 4 2 2 5 2 2" xfId="19843"/>
    <cellStyle name="Currency 4 2 2 5 3" xfId="19844"/>
    <cellStyle name="Currency 4 2 2 5 4" xfId="19845"/>
    <cellStyle name="Currency 4 2 2 6" xfId="19846"/>
    <cellStyle name="Currency 4 2 2 6 2" xfId="19847"/>
    <cellStyle name="Currency 4 2 2 6 2 2" xfId="19848"/>
    <cellStyle name="Currency 4 2 2 6 3" xfId="19849"/>
    <cellStyle name="Currency 4 2 2 6 4" xfId="19850"/>
    <cellStyle name="Currency 4 2 2 7" xfId="19851"/>
    <cellStyle name="Currency 4 2 2 7 2" xfId="19852"/>
    <cellStyle name="Currency 4 2 2 8" xfId="19853"/>
    <cellStyle name="Currency 4 2 2 9" xfId="19854"/>
    <cellStyle name="Currency 4 2 3" xfId="343"/>
    <cellStyle name="Currency 4 2 3 2" xfId="424"/>
    <cellStyle name="Currency 4 2 4" xfId="366"/>
    <cellStyle name="Currency 4 2 5" xfId="35572"/>
    <cellStyle name="Currency 4 2 6" xfId="19814"/>
    <cellStyle name="Currency 4 2 7" xfId="35803"/>
    <cellStyle name="Currency 4 3" xfId="150"/>
    <cellStyle name="Currency 4 3 2" xfId="35657"/>
    <cellStyle name="Currency 4 3 3" xfId="19855"/>
    <cellStyle name="Currency 4 4" xfId="19856"/>
    <cellStyle name="Currency 4 4 2" xfId="19857"/>
    <cellStyle name="Currency 4 5" xfId="19858"/>
    <cellStyle name="Currency 4 5 2" xfId="19859"/>
    <cellStyle name="Currency 4 5 2 2" xfId="19860"/>
    <cellStyle name="Currency 4 5 2 2 2" xfId="19861"/>
    <cellStyle name="Currency 4 5 2 3" xfId="19862"/>
    <cellStyle name="Currency 4 5 2 4" xfId="19863"/>
    <cellStyle name="Currency 4 5 3" xfId="19864"/>
    <cellStyle name="Currency 4 5 3 2" xfId="19865"/>
    <cellStyle name="Currency 4 5 4" xfId="19866"/>
    <cellStyle name="Currency 4 5 5" xfId="19867"/>
    <cellStyle name="Currency 4 6" xfId="19868"/>
    <cellStyle name="Currency 4 6 2" xfId="19869"/>
    <cellStyle name="Currency 4 6 2 2" xfId="19870"/>
    <cellStyle name="Currency 4 6 3" xfId="19871"/>
    <cellStyle name="Currency 4 6 4" xfId="19872"/>
    <cellStyle name="Currency 4 7" xfId="19873"/>
    <cellStyle name="Currency 4 7 2" xfId="19874"/>
    <cellStyle name="Currency 4 8" xfId="19875"/>
    <cellStyle name="Currency 4 9" xfId="19876"/>
    <cellStyle name="Currency 40" xfId="19877"/>
    <cellStyle name="Currency 40 10" xfId="19878"/>
    <cellStyle name="Currency 40 11" xfId="19879"/>
    <cellStyle name="Currency 40 2" xfId="19880"/>
    <cellStyle name="Currency 40 2 10" xfId="19881"/>
    <cellStyle name="Currency 40 2 2" xfId="19882"/>
    <cellStyle name="Currency 40 2 2 2" xfId="19883"/>
    <cellStyle name="Currency 40 2 2 2 2" xfId="19884"/>
    <cellStyle name="Currency 40 2 2 2 2 2" xfId="19885"/>
    <cellStyle name="Currency 40 2 2 2 2 2 2" xfId="19886"/>
    <cellStyle name="Currency 40 2 2 2 2 3" xfId="19887"/>
    <cellStyle name="Currency 40 2 2 2 2 4" xfId="19888"/>
    <cellStyle name="Currency 40 2 2 2 3" xfId="19889"/>
    <cellStyle name="Currency 40 2 2 2 3 2" xfId="19890"/>
    <cellStyle name="Currency 40 2 2 2 4" xfId="19891"/>
    <cellStyle name="Currency 40 2 2 2 5" xfId="19892"/>
    <cellStyle name="Currency 40 2 2 3" xfId="19893"/>
    <cellStyle name="Currency 40 2 2 3 2" xfId="19894"/>
    <cellStyle name="Currency 40 2 2 3 2 2" xfId="19895"/>
    <cellStyle name="Currency 40 2 2 3 2 2 2" xfId="19896"/>
    <cellStyle name="Currency 40 2 2 3 2 3" xfId="19897"/>
    <cellStyle name="Currency 40 2 2 3 2 4" xfId="19898"/>
    <cellStyle name="Currency 40 2 2 3 3" xfId="19899"/>
    <cellStyle name="Currency 40 2 2 3 3 2" xfId="19900"/>
    <cellStyle name="Currency 40 2 2 3 4" xfId="19901"/>
    <cellStyle name="Currency 40 2 2 3 5" xfId="19902"/>
    <cellStyle name="Currency 40 2 2 4" xfId="19903"/>
    <cellStyle name="Currency 40 2 2 4 2" xfId="19904"/>
    <cellStyle name="Currency 40 2 2 4 2 2" xfId="19905"/>
    <cellStyle name="Currency 40 2 2 4 3" xfId="19906"/>
    <cellStyle name="Currency 40 2 2 4 4" xfId="19907"/>
    <cellStyle name="Currency 40 2 2 5" xfId="19908"/>
    <cellStyle name="Currency 40 2 2 5 2" xfId="19909"/>
    <cellStyle name="Currency 40 2 2 5 2 2" xfId="19910"/>
    <cellStyle name="Currency 40 2 2 5 3" xfId="19911"/>
    <cellStyle name="Currency 40 2 2 5 4" xfId="19912"/>
    <cellStyle name="Currency 40 2 2 6" xfId="19913"/>
    <cellStyle name="Currency 40 2 2 6 2" xfId="19914"/>
    <cellStyle name="Currency 40 2 2 6 2 2" xfId="19915"/>
    <cellStyle name="Currency 40 2 2 6 3" xfId="19916"/>
    <cellStyle name="Currency 40 2 2 6 4" xfId="19917"/>
    <cellStyle name="Currency 40 2 2 7" xfId="19918"/>
    <cellStyle name="Currency 40 2 2 7 2" xfId="19919"/>
    <cellStyle name="Currency 40 2 2 8" xfId="19920"/>
    <cellStyle name="Currency 40 2 2 9" xfId="19921"/>
    <cellStyle name="Currency 40 2 3" xfId="19922"/>
    <cellStyle name="Currency 40 2 3 2" xfId="19923"/>
    <cellStyle name="Currency 40 2 3 2 2" xfId="19924"/>
    <cellStyle name="Currency 40 2 3 2 2 2" xfId="19925"/>
    <cellStyle name="Currency 40 2 3 2 3" xfId="19926"/>
    <cellStyle name="Currency 40 2 3 2 4" xfId="19927"/>
    <cellStyle name="Currency 40 2 3 3" xfId="19928"/>
    <cellStyle name="Currency 40 2 3 3 2" xfId="19929"/>
    <cellStyle name="Currency 40 2 3 4" xfId="19930"/>
    <cellStyle name="Currency 40 2 3 5" xfId="19931"/>
    <cellStyle name="Currency 40 2 4" xfId="19932"/>
    <cellStyle name="Currency 40 2 4 2" xfId="19933"/>
    <cellStyle name="Currency 40 2 4 2 2" xfId="19934"/>
    <cellStyle name="Currency 40 2 4 2 2 2" xfId="19935"/>
    <cellStyle name="Currency 40 2 4 2 3" xfId="19936"/>
    <cellStyle name="Currency 40 2 4 2 4" xfId="19937"/>
    <cellStyle name="Currency 40 2 4 3" xfId="19938"/>
    <cellStyle name="Currency 40 2 4 3 2" xfId="19939"/>
    <cellStyle name="Currency 40 2 4 4" xfId="19940"/>
    <cellStyle name="Currency 40 2 4 5" xfId="19941"/>
    <cellStyle name="Currency 40 2 5" xfId="19942"/>
    <cellStyle name="Currency 40 2 5 2" xfId="19943"/>
    <cellStyle name="Currency 40 2 5 2 2" xfId="19944"/>
    <cellStyle name="Currency 40 2 5 3" xfId="19945"/>
    <cellStyle name="Currency 40 2 5 4" xfId="19946"/>
    <cellStyle name="Currency 40 2 6" xfId="19947"/>
    <cellStyle name="Currency 40 2 6 2" xfId="19948"/>
    <cellStyle name="Currency 40 2 6 2 2" xfId="19949"/>
    <cellStyle name="Currency 40 2 6 3" xfId="19950"/>
    <cellStyle name="Currency 40 2 6 4" xfId="19951"/>
    <cellStyle name="Currency 40 2 7" xfId="19952"/>
    <cellStyle name="Currency 40 2 7 2" xfId="19953"/>
    <cellStyle name="Currency 40 2 7 2 2" xfId="19954"/>
    <cellStyle name="Currency 40 2 7 3" xfId="19955"/>
    <cellStyle name="Currency 40 2 7 4" xfId="19956"/>
    <cellStyle name="Currency 40 2 8" xfId="19957"/>
    <cellStyle name="Currency 40 2 8 2" xfId="19958"/>
    <cellStyle name="Currency 40 2 9" xfId="19959"/>
    <cellStyle name="Currency 40 3" xfId="19960"/>
    <cellStyle name="Currency 40 3 2" xfId="19961"/>
    <cellStyle name="Currency 40 3 2 2" xfId="19962"/>
    <cellStyle name="Currency 40 3 2 2 2" xfId="19963"/>
    <cellStyle name="Currency 40 3 2 2 2 2" xfId="19964"/>
    <cellStyle name="Currency 40 3 2 2 3" xfId="19965"/>
    <cellStyle name="Currency 40 3 2 2 4" xfId="19966"/>
    <cellStyle name="Currency 40 3 2 3" xfId="19967"/>
    <cellStyle name="Currency 40 3 2 3 2" xfId="19968"/>
    <cellStyle name="Currency 40 3 2 4" xfId="19969"/>
    <cellStyle name="Currency 40 3 2 5" xfId="19970"/>
    <cellStyle name="Currency 40 3 3" xfId="19971"/>
    <cellStyle name="Currency 40 3 3 2" xfId="19972"/>
    <cellStyle name="Currency 40 3 3 2 2" xfId="19973"/>
    <cellStyle name="Currency 40 3 3 2 2 2" xfId="19974"/>
    <cellStyle name="Currency 40 3 3 2 3" xfId="19975"/>
    <cellStyle name="Currency 40 3 3 2 4" xfId="19976"/>
    <cellStyle name="Currency 40 3 3 3" xfId="19977"/>
    <cellStyle name="Currency 40 3 3 3 2" xfId="19978"/>
    <cellStyle name="Currency 40 3 3 4" xfId="19979"/>
    <cellStyle name="Currency 40 3 3 5" xfId="19980"/>
    <cellStyle name="Currency 40 3 4" xfId="19981"/>
    <cellStyle name="Currency 40 3 4 2" xfId="19982"/>
    <cellStyle name="Currency 40 3 4 2 2" xfId="19983"/>
    <cellStyle name="Currency 40 3 4 3" xfId="19984"/>
    <cellStyle name="Currency 40 3 4 4" xfId="19985"/>
    <cellStyle name="Currency 40 3 5" xfId="19986"/>
    <cellStyle name="Currency 40 3 5 2" xfId="19987"/>
    <cellStyle name="Currency 40 3 5 2 2" xfId="19988"/>
    <cellStyle name="Currency 40 3 5 3" xfId="19989"/>
    <cellStyle name="Currency 40 3 5 4" xfId="19990"/>
    <cellStyle name="Currency 40 3 6" xfId="19991"/>
    <cellStyle name="Currency 40 3 6 2" xfId="19992"/>
    <cellStyle name="Currency 40 3 6 2 2" xfId="19993"/>
    <cellStyle name="Currency 40 3 6 3" xfId="19994"/>
    <cellStyle name="Currency 40 3 6 4" xfId="19995"/>
    <cellStyle name="Currency 40 3 7" xfId="19996"/>
    <cellStyle name="Currency 40 3 7 2" xfId="19997"/>
    <cellStyle name="Currency 40 3 8" xfId="19998"/>
    <cellStyle name="Currency 40 3 9" xfId="19999"/>
    <cellStyle name="Currency 40 4" xfId="20000"/>
    <cellStyle name="Currency 40 4 2" xfId="20001"/>
    <cellStyle name="Currency 40 4 2 2" xfId="20002"/>
    <cellStyle name="Currency 40 4 2 2 2" xfId="20003"/>
    <cellStyle name="Currency 40 4 2 3" xfId="20004"/>
    <cellStyle name="Currency 40 4 2 4" xfId="20005"/>
    <cellStyle name="Currency 40 4 3" xfId="20006"/>
    <cellStyle name="Currency 40 4 3 2" xfId="20007"/>
    <cellStyle name="Currency 40 4 4" xfId="20008"/>
    <cellStyle name="Currency 40 4 5" xfId="20009"/>
    <cellStyle name="Currency 40 5" xfId="20010"/>
    <cellStyle name="Currency 40 5 2" xfId="20011"/>
    <cellStyle name="Currency 40 5 2 2" xfId="20012"/>
    <cellStyle name="Currency 40 5 2 2 2" xfId="20013"/>
    <cellStyle name="Currency 40 5 2 3" xfId="20014"/>
    <cellStyle name="Currency 40 5 2 4" xfId="20015"/>
    <cellStyle name="Currency 40 5 3" xfId="20016"/>
    <cellStyle name="Currency 40 5 3 2" xfId="20017"/>
    <cellStyle name="Currency 40 5 4" xfId="20018"/>
    <cellStyle name="Currency 40 5 5" xfId="20019"/>
    <cellStyle name="Currency 40 6" xfId="20020"/>
    <cellStyle name="Currency 40 6 2" xfId="20021"/>
    <cellStyle name="Currency 40 6 2 2" xfId="20022"/>
    <cellStyle name="Currency 40 6 3" xfId="20023"/>
    <cellStyle name="Currency 40 6 4" xfId="20024"/>
    <cellStyle name="Currency 40 7" xfId="20025"/>
    <cellStyle name="Currency 40 7 2" xfId="20026"/>
    <cellStyle name="Currency 40 7 2 2" xfId="20027"/>
    <cellStyle name="Currency 40 7 3" xfId="20028"/>
    <cellStyle name="Currency 40 7 4" xfId="20029"/>
    <cellStyle name="Currency 40 8" xfId="20030"/>
    <cellStyle name="Currency 40 8 2" xfId="20031"/>
    <cellStyle name="Currency 40 8 2 2" xfId="20032"/>
    <cellStyle name="Currency 40 8 3" xfId="20033"/>
    <cellStyle name="Currency 40 8 4" xfId="20034"/>
    <cellStyle name="Currency 40 9" xfId="20035"/>
    <cellStyle name="Currency 40 9 2" xfId="20036"/>
    <cellStyle name="Currency 41" xfId="20037"/>
    <cellStyle name="Currency 41 2" xfId="20038"/>
    <cellStyle name="Currency 42" xfId="20039"/>
    <cellStyle name="Currency 42 2" xfId="20040"/>
    <cellStyle name="Currency 42 2 2" xfId="20041"/>
    <cellStyle name="Currency 42 3" xfId="20042"/>
    <cellStyle name="Currency 43" xfId="20043"/>
    <cellStyle name="Currency 43 2" xfId="20044"/>
    <cellStyle name="Currency 43 2 2" xfId="20045"/>
    <cellStyle name="Currency 43 3" xfId="20046"/>
    <cellStyle name="Currency 44" xfId="20047"/>
    <cellStyle name="Currency 44 2" xfId="20048"/>
    <cellStyle name="Currency 44 2 2" xfId="20049"/>
    <cellStyle name="Currency 44 3" xfId="20050"/>
    <cellStyle name="Currency 45" xfId="20051"/>
    <cellStyle name="Currency 45 2" xfId="20052"/>
    <cellStyle name="Currency 45 2 2" xfId="20053"/>
    <cellStyle name="Currency 45 3" xfId="20054"/>
    <cellStyle name="Currency 46" xfId="20055"/>
    <cellStyle name="Currency 46 2" xfId="20056"/>
    <cellStyle name="Currency 46 2 2" xfId="20057"/>
    <cellStyle name="Currency 46 3" xfId="20058"/>
    <cellStyle name="Currency 47" xfId="20059"/>
    <cellStyle name="Currency 47 2" xfId="20060"/>
    <cellStyle name="Currency 47 2 2" xfId="20061"/>
    <cellStyle name="Currency 47 3" xfId="20062"/>
    <cellStyle name="Currency 48" xfId="20063"/>
    <cellStyle name="Currency 48 2" xfId="20064"/>
    <cellStyle name="Currency 48 2 2" xfId="20065"/>
    <cellStyle name="Currency 48 3" xfId="20066"/>
    <cellStyle name="Currency 49" xfId="20067"/>
    <cellStyle name="Currency 49 2" xfId="20068"/>
    <cellStyle name="Currency 49 2 2" xfId="20069"/>
    <cellStyle name="Currency 49 3" xfId="20070"/>
    <cellStyle name="Currency 5" xfId="152"/>
    <cellStyle name="Currency 5 2" xfId="266"/>
    <cellStyle name="Currency 5 2 2" xfId="35573"/>
    <cellStyle name="Currency 5 2 3" xfId="20071"/>
    <cellStyle name="Currency 5 3" xfId="20072"/>
    <cellStyle name="Currency 5 3 2" xfId="20073"/>
    <cellStyle name="Currency 5 3 3" xfId="20074"/>
    <cellStyle name="Currency 5 3 3 2" xfId="20075"/>
    <cellStyle name="Currency 5 3 3 2 2" xfId="20076"/>
    <cellStyle name="Currency 5 3 3 3" xfId="20077"/>
    <cellStyle name="Currency 5 3 3 4" xfId="20078"/>
    <cellStyle name="Currency 5 4" xfId="20079"/>
    <cellStyle name="Currency 50" xfId="20080"/>
    <cellStyle name="Currency 50 2" xfId="20081"/>
    <cellStyle name="Currency 50 2 2" xfId="20082"/>
    <cellStyle name="Currency 50 3" xfId="20083"/>
    <cellStyle name="Currency 51" xfId="20084"/>
    <cellStyle name="Currency 51 2" xfId="20085"/>
    <cellStyle name="Currency 51 2 2" xfId="20086"/>
    <cellStyle name="Currency 51 3" xfId="20087"/>
    <cellStyle name="Currency 52" xfId="20088"/>
    <cellStyle name="Currency 52 2" xfId="20089"/>
    <cellStyle name="Currency 53" xfId="20090"/>
    <cellStyle name="Currency 53 2" xfId="20091"/>
    <cellStyle name="Currency 54" xfId="20092"/>
    <cellStyle name="Currency 54 2" xfId="20093"/>
    <cellStyle name="Currency 55" xfId="20094"/>
    <cellStyle name="Currency 55 2" xfId="20095"/>
    <cellStyle name="Currency 56" xfId="20096"/>
    <cellStyle name="Currency 56 2" xfId="20097"/>
    <cellStyle name="Currency 57" xfId="20098"/>
    <cellStyle name="Currency 57 2" xfId="20099"/>
    <cellStyle name="Currency 58" xfId="20100"/>
    <cellStyle name="Currency 58 2" xfId="20101"/>
    <cellStyle name="Currency 59" xfId="20102"/>
    <cellStyle name="Currency 59 2" xfId="20103"/>
    <cellStyle name="Currency 6" xfId="153"/>
    <cellStyle name="Currency 6 2" xfId="154"/>
    <cellStyle name="Currency 6 2 2" xfId="267"/>
    <cellStyle name="Currency 6 2 2 2" xfId="387"/>
    <cellStyle name="Currency 6 2 2 3" xfId="35576"/>
    <cellStyle name="Currency 6 2 2 4" xfId="20106"/>
    <cellStyle name="Currency 6 2 3" xfId="345"/>
    <cellStyle name="Currency 6 2 3 2" xfId="426"/>
    <cellStyle name="Currency 6 2 4" xfId="368"/>
    <cellStyle name="Currency 6 2 5" xfId="35575"/>
    <cellStyle name="Currency 6 2 6" xfId="20105"/>
    <cellStyle name="Currency 6 2 7" xfId="35945"/>
    <cellStyle name="Currency 6 3" xfId="268"/>
    <cellStyle name="Currency 6 3 2" xfId="388"/>
    <cellStyle name="Currency 6 3 2 2" xfId="35629"/>
    <cellStyle name="Currency 6 3 2 3" xfId="20108"/>
    <cellStyle name="Currency 6 3 3" xfId="20109"/>
    <cellStyle name="Currency 6 3 3 2" xfId="20110"/>
    <cellStyle name="Currency 6 3 3 2 2" xfId="20111"/>
    <cellStyle name="Currency 6 3 3 3" xfId="20112"/>
    <cellStyle name="Currency 6 3 3 4" xfId="20113"/>
    <cellStyle name="Currency 6 3 4" xfId="35577"/>
    <cellStyle name="Currency 6 3 5" xfId="20107"/>
    <cellStyle name="Currency 6 4" xfId="344"/>
    <cellStyle name="Currency 6 4 2" xfId="425"/>
    <cellStyle name="Currency 6 5" xfId="367"/>
    <cellStyle name="Currency 6 6" xfId="35574"/>
    <cellStyle name="Currency 6 7" xfId="20104"/>
    <cellStyle name="Currency 60" xfId="20114"/>
    <cellStyle name="Currency 60 2" xfId="20115"/>
    <cellStyle name="Currency 61" xfId="20116"/>
    <cellStyle name="Currency 61 2" xfId="20117"/>
    <cellStyle name="Currency 62" xfId="20118"/>
    <cellStyle name="Currency 62 2" xfId="20119"/>
    <cellStyle name="Currency 63" xfId="20120"/>
    <cellStyle name="Currency 63 2" xfId="20121"/>
    <cellStyle name="Currency 64" xfId="20122"/>
    <cellStyle name="Currency 64 2" xfId="20123"/>
    <cellStyle name="Currency 65" xfId="20124"/>
    <cellStyle name="Currency 65 2" xfId="20125"/>
    <cellStyle name="Currency 66" xfId="20126"/>
    <cellStyle name="Currency 66 2" xfId="20127"/>
    <cellStyle name="Currency 67" xfId="20128"/>
    <cellStyle name="Currency 67 2" xfId="20129"/>
    <cellStyle name="Currency 68" xfId="20130"/>
    <cellStyle name="Currency 68 2" xfId="20131"/>
    <cellStyle name="Currency 69" xfId="20132"/>
    <cellStyle name="Currency 69 2" xfId="20133"/>
    <cellStyle name="Currency 7" xfId="155"/>
    <cellStyle name="Currency 7 2" xfId="156"/>
    <cellStyle name="Currency 7 2 2" xfId="269"/>
    <cellStyle name="Currency 7 2 2 2" xfId="389"/>
    <cellStyle name="Currency 7 2 2 2 2" xfId="35630"/>
    <cellStyle name="Currency 7 2 2 2 3" xfId="20137"/>
    <cellStyle name="Currency 7 2 2 3" xfId="35580"/>
    <cellStyle name="Currency 7 2 2 4" xfId="20136"/>
    <cellStyle name="Currency 7 2 3" xfId="327"/>
    <cellStyle name="Currency 7 2 3 2" xfId="408"/>
    <cellStyle name="Currency 7 2 3 2 2" xfId="20138"/>
    <cellStyle name="Currency 7 2 3 2 2 2" xfId="20139"/>
    <cellStyle name="Currency 7 2 3 2 3" xfId="20140"/>
    <cellStyle name="Currency 7 2 3 2 4" xfId="20141"/>
    <cellStyle name="Currency 7 2 3 3" xfId="20142"/>
    <cellStyle name="Currency 7 2 3 3 2" xfId="20143"/>
    <cellStyle name="Currency 7 2 3 4" xfId="20144"/>
    <cellStyle name="Currency 7 2 3 5" xfId="20145"/>
    <cellStyle name="Currency 7 2 4" xfId="347"/>
    <cellStyle name="Currency 7 2 4 2" xfId="428"/>
    <cellStyle name="Currency 7 2 4 2 2" xfId="20146"/>
    <cellStyle name="Currency 7 2 4 3" xfId="20147"/>
    <cellStyle name="Currency 7 2 4 4" xfId="20148"/>
    <cellStyle name="Currency 7 2 5" xfId="370"/>
    <cellStyle name="Currency 7 2 5 2" xfId="20149"/>
    <cellStyle name="Currency 7 2 6" xfId="20150"/>
    <cellStyle name="Currency 7 2 7" xfId="20151"/>
    <cellStyle name="Currency 7 2 8" xfId="35579"/>
    <cellStyle name="Currency 7 2 9" xfId="20135"/>
    <cellStyle name="Currency 7 3" xfId="270"/>
    <cellStyle name="Currency 7 3 2" xfId="390"/>
    <cellStyle name="Currency 7 3 2 2" xfId="35631"/>
    <cellStyle name="Currency 7 3 2 3" xfId="20153"/>
    <cellStyle name="Currency 7 3 3" xfId="35581"/>
    <cellStyle name="Currency 7 3 4" xfId="20152"/>
    <cellStyle name="Currency 7 4" xfId="326"/>
    <cellStyle name="Currency 7 4 2" xfId="407"/>
    <cellStyle name="Currency 7 5" xfId="346"/>
    <cellStyle name="Currency 7 5 2" xfId="427"/>
    <cellStyle name="Currency 7 6" xfId="369"/>
    <cellStyle name="Currency 7 7" xfId="35578"/>
    <cellStyle name="Currency 7 8" xfId="20134"/>
    <cellStyle name="Currency 70" xfId="20154"/>
    <cellStyle name="Currency 70 2" xfId="20155"/>
    <cellStyle name="Currency 71" xfId="20156"/>
    <cellStyle name="Currency 71 2" xfId="20157"/>
    <cellStyle name="Currency 72" xfId="20158"/>
    <cellStyle name="Currency 72 2" xfId="20159"/>
    <cellStyle name="Currency 73" xfId="20160"/>
    <cellStyle name="Currency 73 2" xfId="20161"/>
    <cellStyle name="Currency 74" xfId="20162"/>
    <cellStyle name="Currency 74 2" xfId="20163"/>
    <cellStyle name="Currency 75" xfId="20164"/>
    <cellStyle name="Currency 75 2" xfId="20165"/>
    <cellStyle name="Currency 76" xfId="20166"/>
    <cellStyle name="Currency 76 2" xfId="20167"/>
    <cellStyle name="Currency 77" xfId="20168"/>
    <cellStyle name="Currency 77 2" xfId="20169"/>
    <cellStyle name="Currency 78" xfId="20170"/>
    <cellStyle name="Currency 78 2" xfId="20171"/>
    <cellStyle name="Currency 79" xfId="20172"/>
    <cellStyle name="Currency 79 2" xfId="20173"/>
    <cellStyle name="Currency 8" xfId="271"/>
    <cellStyle name="Currency 8 2" xfId="391"/>
    <cellStyle name="Currency 8 2 2" xfId="20176"/>
    <cellStyle name="Currency 8 2 3" xfId="35632"/>
    <cellStyle name="Currency 8 2 4" xfId="20175"/>
    <cellStyle name="Currency 8 3" xfId="20177"/>
    <cellStyle name="Currency 8 3 2" xfId="20178"/>
    <cellStyle name="Currency 8 4" xfId="35582"/>
    <cellStyle name="Currency 8 5" xfId="20174"/>
    <cellStyle name="Currency 80" xfId="20179"/>
    <cellStyle name="Currency 80 2" xfId="20180"/>
    <cellStyle name="Currency 81" xfId="20181"/>
    <cellStyle name="Currency 81 2" xfId="20182"/>
    <cellStyle name="Currency 82" xfId="20183"/>
    <cellStyle name="Currency 82 2" xfId="20184"/>
    <cellStyle name="Currency 83" xfId="20185"/>
    <cellStyle name="Currency 83 2" xfId="20186"/>
    <cellStyle name="Currency 84" xfId="20187"/>
    <cellStyle name="Currency 84 2" xfId="20188"/>
    <cellStyle name="Currency 85" xfId="20189"/>
    <cellStyle name="Currency 85 2" xfId="20190"/>
    <cellStyle name="Currency 86" xfId="20191"/>
    <cellStyle name="Currency 86 2" xfId="20192"/>
    <cellStyle name="Currency 87" xfId="20193"/>
    <cellStyle name="Currency 87 2" xfId="20194"/>
    <cellStyle name="Currency 88" xfId="20195"/>
    <cellStyle name="Currency 88 2" xfId="20196"/>
    <cellStyle name="Currency 89" xfId="20197"/>
    <cellStyle name="Currency 89 2" xfId="20198"/>
    <cellStyle name="Currency 9" xfId="272"/>
    <cellStyle name="Currency 9 10" xfId="20199"/>
    <cellStyle name="Currency 9 2" xfId="20200"/>
    <cellStyle name="Currency 9 2 2" xfId="20201"/>
    <cellStyle name="Currency 9 3" xfId="20202"/>
    <cellStyle name="Currency 9 3 2" xfId="20203"/>
    <cellStyle name="Currency 9 4" xfId="20204"/>
    <cellStyle name="Currency 9 4 2" xfId="20205"/>
    <cellStyle name="Currency 9 4 2 2" xfId="20206"/>
    <cellStyle name="Currency 9 4 2 2 2" xfId="20207"/>
    <cellStyle name="Currency 9 4 2 3" xfId="20208"/>
    <cellStyle name="Currency 9 4 2 4" xfId="20209"/>
    <cellStyle name="Currency 9 4 3" xfId="20210"/>
    <cellStyle name="Currency 9 4 3 2" xfId="20211"/>
    <cellStyle name="Currency 9 4 4" xfId="20212"/>
    <cellStyle name="Currency 9 4 5" xfId="20213"/>
    <cellStyle name="Currency 9 5" xfId="20214"/>
    <cellStyle name="Currency 9 5 2" xfId="20215"/>
    <cellStyle name="Currency 9 5 2 2" xfId="20216"/>
    <cellStyle name="Currency 9 5 3" xfId="20217"/>
    <cellStyle name="Currency 9 5 4" xfId="20218"/>
    <cellStyle name="Currency 9 6" xfId="20219"/>
    <cellStyle name="Currency 9 6 2" xfId="20220"/>
    <cellStyle name="Currency 9 7" xfId="20221"/>
    <cellStyle name="Currency 9 8" xfId="20222"/>
    <cellStyle name="Currency 9 9" xfId="35583"/>
    <cellStyle name="Currency 90" xfId="20223"/>
    <cellStyle name="Currency 90 2" xfId="20224"/>
    <cellStyle name="Currency 91" xfId="20225"/>
    <cellStyle name="Currency 91 2" xfId="20226"/>
    <cellStyle name="Currency 92" xfId="20227"/>
    <cellStyle name="Currency 92 2" xfId="20228"/>
    <cellStyle name="Currency 93" xfId="20229"/>
    <cellStyle name="Currency 93 2" xfId="20230"/>
    <cellStyle name="Currency 94" xfId="20231"/>
    <cellStyle name="Currency 94 2" xfId="20232"/>
    <cellStyle name="Currency 95" xfId="20233"/>
    <cellStyle name="Currency 95 2" xfId="20234"/>
    <cellStyle name="Currency 96" xfId="20235"/>
    <cellStyle name="Currency 96 2" xfId="20236"/>
    <cellStyle name="Currency 97" xfId="20237"/>
    <cellStyle name="Currency 97 2" xfId="20238"/>
    <cellStyle name="Currency 98" xfId="20239"/>
    <cellStyle name="Currency 98 2" xfId="20240"/>
    <cellStyle name="Currency 98 2 2" xfId="20241"/>
    <cellStyle name="Currency 98 3" xfId="20242"/>
    <cellStyle name="Currency 99" xfId="20243"/>
    <cellStyle name="Currency 99 2" xfId="20244"/>
    <cellStyle name="Currency 99 2 2" xfId="20245"/>
    <cellStyle name="Currency 99 3" xfId="20246"/>
    <cellStyle name="Currency Assumptions" xfId="35722"/>
    <cellStyle name="Currency Input" xfId="35740"/>
    <cellStyle name="D4_B8B1_005004B79812_.wvu.PrintTitlest" xfId="35804"/>
    <cellStyle name="Data input" xfId="20247"/>
    <cellStyle name="Data input 2" xfId="20248"/>
    <cellStyle name="Data input 2 2" xfId="20249"/>
    <cellStyle name="Data input 2 2 2" xfId="20250"/>
    <cellStyle name="Data input 2 2 3" xfId="20251"/>
    <cellStyle name="Data input 2 2 4" xfId="20252"/>
    <cellStyle name="Data input 2 2 4 2" xfId="20253"/>
    <cellStyle name="Data input 2 2 4 3" xfId="20254"/>
    <cellStyle name="Data input 2 2 5" xfId="20255"/>
    <cellStyle name="Data input 2 2 6" xfId="20256"/>
    <cellStyle name="Data input 2 3" xfId="20257"/>
    <cellStyle name="Data input 2 3 2" xfId="20258"/>
    <cellStyle name="Data input 2 3 2 2" xfId="20259"/>
    <cellStyle name="Data input 2 3 2 3" xfId="20260"/>
    <cellStyle name="Data input 2 3 2 3 2" xfId="20261"/>
    <cellStyle name="Data input 2 3 2 3 3" xfId="20262"/>
    <cellStyle name="Data input 2 3 2 4" xfId="20263"/>
    <cellStyle name="Data input 2 3 2 5" xfId="20264"/>
    <cellStyle name="Data input 2 3 3" xfId="20265"/>
    <cellStyle name="Data input 2 3 4" xfId="20266"/>
    <cellStyle name="Data input 2 3 4 2" xfId="20267"/>
    <cellStyle name="Data input 2 3 4 2 2" xfId="20268"/>
    <cellStyle name="Data input 2 3 4 2 3" xfId="20269"/>
    <cellStyle name="Data input 2 3 4 3" xfId="20270"/>
    <cellStyle name="Data input 2 3 4 4" xfId="20271"/>
    <cellStyle name="Data input 2 3 5" xfId="20272"/>
    <cellStyle name="Data input 2 3 6" xfId="20273"/>
    <cellStyle name="Data input 2 4" xfId="20274"/>
    <cellStyle name="Data input 2 4 2" xfId="20275"/>
    <cellStyle name="Data input 2 4 2 2" xfId="20276"/>
    <cellStyle name="Data input 2 4 2 2 2" xfId="20277"/>
    <cellStyle name="Data input 2 4 2 2 3" xfId="20278"/>
    <cellStyle name="Data input 2 4 2 3" xfId="20279"/>
    <cellStyle name="Data input 2 4 2 4" xfId="20280"/>
    <cellStyle name="Data input 2 4 3" xfId="20281"/>
    <cellStyle name="Data input 2 4 4" xfId="20282"/>
    <cellStyle name="Data input 2 4 4 2" xfId="20283"/>
    <cellStyle name="Data input 2 4 4 3" xfId="20284"/>
    <cellStyle name="Data input 2 4 5" xfId="20285"/>
    <cellStyle name="Data input 2 4 6" xfId="20286"/>
    <cellStyle name="Data input 2 5" xfId="20287"/>
    <cellStyle name="Data input 2 6" xfId="20288"/>
    <cellStyle name="Data input 2 7" xfId="20289"/>
    <cellStyle name="Data input 2 7 2" xfId="20290"/>
    <cellStyle name="Data input 2 7 2 2" xfId="20291"/>
    <cellStyle name="Data input 2 7 2 3" xfId="20292"/>
    <cellStyle name="Data input 2 7 3" xfId="20293"/>
    <cellStyle name="Data input 2 7 4" xfId="20294"/>
    <cellStyle name="Data input 2 8" xfId="20295"/>
    <cellStyle name="Data input 2 9" xfId="20296"/>
    <cellStyle name="Data input 3" xfId="20297"/>
    <cellStyle name="Data input 3 2" xfId="20298"/>
    <cellStyle name="Data input 3 2 2" xfId="20299"/>
    <cellStyle name="Data input 3 2 2 2" xfId="20300"/>
    <cellStyle name="Data input 3 2 2 3" xfId="20301"/>
    <cellStyle name="Data input 3 2 3" xfId="20302"/>
    <cellStyle name="Data input 3 2 4" xfId="20303"/>
    <cellStyle name="Data input 3 3" xfId="20304"/>
    <cellStyle name="Data input 3 4" xfId="20305"/>
    <cellStyle name="Data input 3 4 2" xfId="20306"/>
    <cellStyle name="Data input 3 4 3" xfId="20307"/>
    <cellStyle name="Data input 3 5" xfId="20308"/>
    <cellStyle name="Data input 3 6" xfId="20309"/>
    <cellStyle name="Data input 4" xfId="20310"/>
    <cellStyle name="Data input 5" xfId="20311"/>
    <cellStyle name="Data input 6" xfId="20312"/>
    <cellStyle name="Date" xfId="20313"/>
    <cellStyle name="Date 2" xfId="20314"/>
    <cellStyle name="Date 2 2" xfId="20315"/>
    <cellStyle name="Date 2 3" xfId="35806"/>
    <cellStyle name="Date 3" xfId="35714"/>
    <cellStyle name="Date 4" xfId="35805"/>
    <cellStyle name="Date Assumptions" xfId="35715"/>
    <cellStyle name="Date Input" xfId="35739"/>
    <cellStyle name="Date_ACS Overall" xfId="20316"/>
    <cellStyle name="DateD-MMM-YYYY" xfId="273"/>
    <cellStyle name="DateMMM-YY" xfId="274"/>
    <cellStyle name="Dates" xfId="20317"/>
    <cellStyle name="Dates 2" xfId="20318"/>
    <cellStyle name="Dates 2 2" xfId="20319"/>
    <cellStyle name="Dates 2 2 2" xfId="20320"/>
    <cellStyle name="Dates 2 2 3" xfId="20321"/>
    <cellStyle name="Dates 2 2 4" xfId="20322"/>
    <cellStyle name="Dates 2 2 4 2" xfId="20323"/>
    <cellStyle name="Dates 2 2 4 3" xfId="20324"/>
    <cellStyle name="Dates 2 2 5" xfId="20325"/>
    <cellStyle name="Dates 2 2 6" xfId="20326"/>
    <cellStyle name="Dates 2 3" xfId="20327"/>
    <cellStyle name="Dates 2 3 2" xfId="20328"/>
    <cellStyle name="Dates 2 3 2 2" xfId="20329"/>
    <cellStyle name="Dates 2 3 2 3" xfId="20330"/>
    <cellStyle name="Dates 2 3 2 3 2" xfId="20331"/>
    <cellStyle name="Dates 2 3 2 3 3" xfId="20332"/>
    <cellStyle name="Dates 2 3 2 4" xfId="20333"/>
    <cellStyle name="Dates 2 3 2 5" xfId="20334"/>
    <cellStyle name="Dates 2 3 3" xfId="20335"/>
    <cellStyle name="Dates 2 3 4" xfId="20336"/>
    <cellStyle name="Dates 2 3 4 2" xfId="20337"/>
    <cellStyle name="Dates 2 3 4 2 2" xfId="20338"/>
    <cellStyle name="Dates 2 3 4 2 3" xfId="20339"/>
    <cellStyle name="Dates 2 3 4 3" xfId="20340"/>
    <cellStyle name="Dates 2 3 4 4" xfId="20341"/>
    <cellStyle name="Dates 2 3 5" xfId="20342"/>
    <cellStyle name="Dates 2 3 6" xfId="20343"/>
    <cellStyle name="Dates 2 4" xfId="20344"/>
    <cellStyle name="Dates 2 4 2" xfId="20345"/>
    <cellStyle name="Dates 2 4 2 2" xfId="20346"/>
    <cellStyle name="Dates 2 4 2 2 2" xfId="20347"/>
    <cellStyle name="Dates 2 4 2 2 3" xfId="20348"/>
    <cellStyle name="Dates 2 4 2 3" xfId="20349"/>
    <cellStyle name="Dates 2 4 2 4" xfId="20350"/>
    <cellStyle name="Dates 2 4 3" xfId="20351"/>
    <cellStyle name="Dates 2 4 4" xfId="20352"/>
    <cellStyle name="Dates 2 4 4 2" xfId="20353"/>
    <cellStyle name="Dates 2 4 4 3" xfId="20354"/>
    <cellStyle name="Dates 2 4 5" xfId="20355"/>
    <cellStyle name="Dates 2 4 6" xfId="20356"/>
    <cellStyle name="Dates 2 5" xfId="20357"/>
    <cellStyle name="Dates 2 6" xfId="20358"/>
    <cellStyle name="Dates 2 7" xfId="20359"/>
    <cellStyle name="Dates 2 7 2" xfId="20360"/>
    <cellStyle name="Dates 2 7 2 2" xfId="20361"/>
    <cellStyle name="Dates 2 7 2 3" xfId="20362"/>
    <cellStyle name="Dates 2 7 3" xfId="20363"/>
    <cellStyle name="Dates 2 7 4" xfId="20364"/>
    <cellStyle name="Dates 2 8" xfId="20365"/>
    <cellStyle name="Dates 2 8 2" xfId="20366"/>
    <cellStyle name="Dates 2 8 3" xfId="20367"/>
    <cellStyle name="Dates 3" xfId="20368"/>
    <cellStyle name="Dates 3 2" xfId="20369"/>
    <cellStyle name="Dates 3 2 2" xfId="20370"/>
    <cellStyle name="Dates 3 2 3" xfId="20371"/>
    <cellStyle name="Dates 3 2 3 2" xfId="20372"/>
    <cellStyle name="Dates 3 2 3 3" xfId="20373"/>
    <cellStyle name="Dates 3 3" xfId="20374"/>
    <cellStyle name="Dates 3 4" xfId="20375"/>
    <cellStyle name="Dates 3 4 2" xfId="20376"/>
    <cellStyle name="Dates 3 4 3" xfId="20377"/>
    <cellStyle name="Dates 4" xfId="20378"/>
    <cellStyle name="Dates 5" xfId="20379"/>
    <cellStyle name="Dates 6" xfId="20380"/>
    <cellStyle name="dms_Blue_HDR" xfId="35946"/>
    <cellStyle name="Dropdown" xfId="35744"/>
    <cellStyle name="Emphasis 1" xfId="35807"/>
    <cellStyle name="Emphasis 2" xfId="35808"/>
    <cellStyle name="Emphasis 3" xfId="35809"/>
    <cellStyle name="ErrorCheck" xfId="275"/>
    <cellStyle name="Euro" xfId="20381"/>
    <cellStyle name="Euro 2" xfId="20382"/>
    <cellStyle name="Euro 2 2" xfId="20383"/>
    <cellStyle name="Euro 3" xfId="20384"/>
    <cellStyle name="Euro 3 2" xfId="20385"/>
    <cellStyle name="Euro 4" xfId="20386"/>
    <cellStyle name="Euro 4 2" xfId="20387"/>
    <cellStyle name="Euro 5" xfId="20388"/>
    <cellStyle name="Euro 6" xfId="35810"/>
    <cellStyle name="Explanatory Text" xfId="35681" builtinId="53" customBuiltin="1"/>
    <cellStyle name="Explanatory Text 2" xfId="62"/>
    <cellStyle name="Explanatory Text 2 2" xfId="20389"/>
    <cellStyle name="Explanatory Text 2 2 2" xfId="20390"/>
    <cellStyle name="Explanatory Text 2 3" xfId="20391"/>
    <cellStyle name="Explanatory Text 2 3 2" xfId="20392"/>
    <cellStyle name="Explanatory Text 2 4" xfId="20393"/>
    <cellStyle name="Explanatory Text 2 4 2" xfId="20394"/>
    <cellStyle name="Explanatory Text 2 5" xfId="20395"/>
    <cellStyle name="Explanatory Text 3" xfId="157"/>
    <cellStyle name="Explanatory Text 3 2" xfId="20397"/>
    <cellStyle name="Explanatory Text 3 3" xfId="20398"/>
    <cellStyle name="Explanatory Text 3 4" xfId="20399"/>
    <cellStyle name="Explanatory Text 3 5" xfId="20396"/>
    <cellStyle name="Explanatory Text 4" xfId="20400"/>
    <cellStyle name="Explanatory Text 4 2" xfId="20401"/>
    <cellStyle name="Explanatory Text 4 3" xfId="20402"/>
    <cellStyle name="Explanatory Text 5" xfId="20403"/>
    <cellStyle name="Explanatory Text 6" xfId="20404"/>
    <cellStyle name="External Link" xfId="35746"/>
    <cellStyle name="EY%colcalc" xfId="20405"/>
    <cellStyle name="EY%input" xfId="20406"/>
    <cellStyle name="EY%rowcalc" xfId="20407"/>
    <cellStyle name="EY0dp" xfId="20408"/>
    <cellStyle name="EY1dp" xfId="20409"/>
    <cellStyle name="EY2dp" xfId="20410"/>
    <cellStyle name="EY3dp" xfId="20411"/>
    <cellStyle name="EYColumnHeading" xfId="20412"/>
    <cellStyle name="EYColumnHeading 2" xfId="20413"/>
    <cellStyle name="EYColumnHeading 2 2" xfId="20414"/>
    <cellStyle name="EYColumnHeading 2 3" xfId="20415"/>
    <cellStyle name="EYColumnHeading 2 4" xfId="20416"/>
    <cellStyle name="EYColumnHeading 3" xfId="20417"/>
    <cellStyle name="EYColumnHeading 3 2" xfId="20418"/>
    <cellStyle name="EYColumnHeading 4" xfId="20419"/>
    <cellStyle name="EYColumnHeading 4 2" xfId="20420"/>
    <cellStyle name="EYHeading1" xfId="20421"/>
    <cellStyle name="EYheading2" xfId="20422"/>
    <cellStyle name="EYheading3" xfId="20423"/>
    <cellStyle name="EYnumber" xfId="20424"/>
    <cellStyle name="EYnumber 2" xfId="20425"/>
    <cellStyle name="EYnumber 3" xfId="20426"/>
    <cellStyle name="EYSheetHeader1" xfId="20427"/>
    <cellStyle name="EYtext" xfId="20428"/>
    <cellStyle name="EYtext 2" xfId="20429"/>
    <cellStyle name="EYtext 2 2" xfId="20430"/>
    <cellStyle name="EYtext 2 3" xfId="20431"/>
    <cellStyle name="EYtext 2 4" xfId="20432"/>
    <cellStyle name="EYtext 3" xfId="20433"/>
    <cellStyle name="EYtext 3 2" xfId="20434"/>
    <cellStyle name="EYtext 4" xfId="20435"/>
    <cellStyle name="EYtext 4 2" xfId="20436"/>
    <cellStyle name="Fixed" xfId="20437"/>
    <cellStyle name="Fixed 2" xfId="35812"/>
    <cellStyle name="Fixed 3" xfId="35811"/>
    <cellStyle name="Forecast" xfId="276"/>
    <cellStyle name="ForecastCurrency" xfId="277"/>
    <cellStyle name="ForecastPercent" xfId="278"/>
    <cellStyle name="ForecastValue" xfId="279"/>
    <cellStyle name="Generic" xfId="280"/>
    <cellStyle name="GenericCurrency" xfId="281"/>
    <cellStyle name="GenericPercent" xfId="282"/>
    <cellStyle name="GenericValue" xfId="283"/>
    <cellStyle name="Gilsans" xfId="35813"/>
    <cellStyle name="Gilsansl" xfId="35814"/>
    <cellStyle name="Good" xfId="35671" builtinId="26" customBuiltin="1"/>
    <cellStyle name="Good 2" xfId="63"/>
    <cellStyle name="Good 2 2" xfId="20439"/>
    <cellStyle name="Good 2 2 2" xfId="20440"/>
    <cellStyle name="Good 2 2 3" xfId="20441"/>
    <cellStyle name="Good 2 2 4" xfId="20442"/>
    <cellStyle name="Good 2 3" xfId="20443"/>
    <cellStyle name="Good 2 3 2" xfId="20444"/>
    <cellStyle name="Good 2 4" xfId="20445"/>
    <cellStyle name="Good 2 5" xfId="20446"/>
    <cellStyle name="Good 2 6" xfId="20447"/>
    <cellStyle name="Good 2 6 2" xfId="20448"/>
    <cellStyle name="Good 2 7" xfId="20449"/>
    <cellStyle name="Good 2 8" xfId="20450"/>
    <cellStyle name="Good 2 9" xfId="20438"/>
    <cellStyle name="Good 3" xfId="158"/>
    <cellStyle name="Good 3 2" xfId="20452"/>
    <cellStyle name="Good 3 3" xfId="20453"/>
    <cellStyle name="Good 3 4" xfId="20454"/>
    <cellStyle name="Good 3 5" xfId="20451"/>
    <cellStyle name="Good 4" xfId="20455"/>
    <cellStyle name="Good 4 2" xfId="20456"/>
    <cellStyle name="Good 4 2 2" xfId="20457"/>
    <cellStyle name="Good 4 3" xfId="20458"/>
    <cellStyle name="Good 5" xfId="20459"/>
    <cellStyle name="Good 6" xfId="20460"/>
    <cellStyle name="Good 7" xfId="20461"/>
    <cellStyle name="Good 8" xfId="20462"/>
    <cellStyle name="Good 9" xfId="20463"/>
    <cellStyle name="Grey" xfId="20464"/>
    <cellStyle name="Greyed out" xfId="284"/>
    <cellStyle name="Hard Coded" xfId="20465"/>
    <cellStyle name="Hard Coded 10" xfId="20466"/>
    <cellStyle name="Hard Coded 10 2" xfId="20467"/>
    <cellStyle name="Hard Coded 10 2 2" xfId="20468"/>
    <cellStyle name="Hard Coded 10 2 2 2" xfId="20469"/>
    <cellStyle name="Hard Coded 10 2 2 2 2" xfId="20470"/>
    <cellStyle name="Hard Coded 10 2 2 2 3" xfId="20471"/>
    <cellStyle name="Hard Coded 10 2 2 3" xfId="20472"/>
    <cellStyle name="Hard Coded 10 2 2 4" xfId="20473"/>
    <cellStyle name="Hard Coded 10 2 3" xfId="20474"/>
    <cellStyle name="Hard Coded 10 2 3 2" xfId="20475"/>
    <cellStyle name="Hard Coded 10 2 3 2 2" xfId="20476"/>
    <cellStyle name="Hard Coded 10 2 3 2 3" xfId="20477"/>
    <cellStyle name="Hard Coded 10 2 3 3" xfId="20478"/>
    <cellStyle name="Hard Coded 10 2 3 4" xfId="20479"/>
    <cellStyle name="Hard Coded 10 2 4" xfId="20480"/>
    <cellStyle name="Hard Coded 10 3" xfId="20481"/>
    <cellStyle name="Hard Coded 10 3 2" xfId="20482"/>
    <cellStyle name="Hard Coded 10 3 2 2" xfId="20483"/>
    <cellStyle name="Hard Coded 10 3 2 2 2" xfId="20484"/>
    <cellStyle name="Hard Coded 10 3 2 2 3" xfId="20485"/>
    <cellStyle name="Hard Coded 10 3 2 3" xfId="20486"/>
    <cellStyle name="Hard Coded 10 3 2 4" xfId="20487"/>
    <cellStyle name="Hard Coded 10 3 3" xfId="20488"/>
    <cellStyle name="Hard Coded 10 3 3 2" xfId="20489"/>
    <cellStyle name="Hard Coded 10 3 3 3" xfId="20490"/>
    <cellStyle name="Hard Coded 10 3 4" xfId="20491"/>
    <cellStyle name="Hard Coded 10 4" xfId="20492"/>
    <cellStyle name="Hard Coded 10 4 2" xfId="20493"/>
    <cellStyle name="Hard Coded 10 4 2 2" xfId="20494"/>
    <cellStyle name="Hard Coded 10 4 2 3" xfId="20495"/>
    <cellStyle name="Hard Coded 10 4 3" xfId="20496"/>
    <cellStyle name="Hard Coded 10 4 4" xfId="20497"/>
    <cellStyle name="Hard Coded 10 5" xfId="20498"/>
    <cellStyle name="Hard Coded 10 5 2" xfId="20499"/>
    <cellStyle name="Hard Coded 10 5 2 2" xfId="20500"/>
    <cellStyle name="Hard Coded 10 5 2 3" xfId="20501"/>
    <cellStyle name="Hard Coded 10 5 3" xfId="20502"/>
    <cellStyle name="Hard Coded 10 5 3 2" xfId="20503"/>
    <cellStyle name="Hard Coded 10 5 3 3" xfId="20504"/>
    <cellStyle name="Hard Coded 10 5 4" xfId="20505"/>
    <cellStyle name="Hard Coded 10 6" xfId="20506"/>
    <cellStyle name="Hard Coded 10 7" xfId="20507"/>
    <cellStyle name="Hard Coded 11" xfId="20508"/>
    <cellStyle name="Hard Coded 11 2" xfId="20509"/>
    <cellStyle name="Hard Coded 11 2 2" xfId="20510"/>
    <cellStyle name="Hard Coded 11 2 2 2" xfId="20511"/>
    <cellStyle name="Hard Coded 11 2 2 3" xfId="20512"/>
    <cellStyle name="Hard Coded 11 2 3" xfId="20513"/>
    <cellStyle name="Hard Coded 11 2 4" xfId="20514"/>
    <cellStyle name="Hard Coded 11 3" xfId="20515"/>
    <cellStyle name="Hard Coded 11 3 2" xfId="20516"/>
    <cellStyle name="Hard Coded 11 3 2 2" xfId="20517"/>
    <cellStyle name="Hard Coded 11 3 2 3" xfId="20518"/>
    <cellStyle name="Hard Coded 11 3 3" xfId="20519"/>
    <cellStyle name="Hard Coded 11 3 4" xfId="20520"/>
    <cellStyle name="Hard Coded 11 4" xfId="20521"/>
    <cellStyle name="Hard Coded 11 4 2" xfId="20522"/>
    <cellStyle name="Hard Coded 11 4 2 2" xfId="20523"/>
    <cellStyle name="Hard Coded 11 4 2 3" xfId="20524"/>
    <cellStyle name="Hard Coded 11 4 3" xfId="20525"/>
    <cellStyle name="Hard Coded 11 4 4" xfId="20526"/>
    <cellStyle name="Hard Coded 11 5" xfId="20527"/>
    <cellStyle name="Hard Coded 11 5 2" xfId="20528"/>
    <cellStyle name="Hard Coded 11 5 3" xfId="20529"/>
    <cellStyle name="Hard Coded 11 6" xfId="20530"/>
    <cellStyle name="Hard Coded 12" xfId="20531"/>
    <cellStyle name="Hard Coded 12 2" xfId="20532"/>
    <cellStyle name="Hard Coded 12 2 2" xfId="20533"/>
    <cellStyle name="Hard Coded 12 2 2 2" xfId="20534"/>
    <cellStyle name="Hard Coded 12 2 2 3" xfId="20535"/>
    <cellStyle name="Hard Coded 12 2 3" xfId="20536"/>
    <cellStyle name="Hard Coded 12 2 4" xfId="20537"/>
    <cellStyle name="Hard Coded 12 3" xfId="20538"/>
    <cellStyle name="Hard Coded 12 3 2" xfId="20539"/>
    <cellStyle name="Hard Coded 12 3 3" xfId="20540"/>
    <cellStyle name="Hard Coded 12 4" xfId="20541"/>
    <cellStyle name="Hard Coded 13" xfId="20542"/>
    <cellStyle name="Hard Coded 2" xfId="20543"/>
    <cellStyle name="Hard Coded 2 2" xfId="20544"/>
    <cellStyle name="Hard Coded 2 2 2" xfId="20545"/>
    <cellStyle name="Hard Coded 2 2 2 2" xfId="20546"/>
    <cellStyle name="Hard Coded 2 2 2 2 2" xfId="20547"/>
    <cellStyle name="Hard Coded 2 2 2 2 2 2" xfId="20548"/>
    <cellStyle name="Hard Coded 2 2 2 2 2 3" xfId="20549"/>
    <cellStyle name="Hard Coded 2 2 2 2 3" xfId="20550"/>
    <cellStyle name="Hard Coded 2 2 2 2 4" xfId="20551"/>
    <cellStyle name="Hard Coded 2 2 2 3" xfId="20552"/>
    <cellStyle name="Hard Coded 2 2 2 3 2" xfId="20553"/>
    <cellStyle name="Hard Coded 2 2 2 3 2 2" xfId="20554"/>
    <cellStyle name="Hard Coded 2 2 2 3 2 3" xfId="20555"/>
    <cellStyle name="Hard Coded 2 2 2 3 3" xfId="20556"/>
    <cellStyle name="Hard Coded 2 2 2 3 4" xfId="20557"/>
    <cellStyle name="Hard Coded 2 2 2 4" xfId="20558"/>
    <cellStyle name="Hard Coded 2 2 3" xfId="20559"/>
    <cellStyle name="Hard Coded 2 2 3 2" xfId="20560"/>
    <cellStyle name="Hard Coded 2 2 3 2 2" xfId="20561"/>
    <cellStyle name="Hard Coded 2 2 3 2 2 2" xfId="20562"/>
    <cellStyle name="Hard Coded 2 2 3 2 2 3" xfId="20563"/>
    <cellStyle name="Hard Coded 2 2 3 2 3" xfId="20564"/>
    <cellStyle name="Hard Coded 2 2 3 2 4" xfId="20565"/>
    <cellStyle name="Hard Coded 2 2 3 3" xfId="20566"/>
    <cellStyle name="Hard Coded 2 2 3 3 2" xfId="20567"/>
    <cellStyle name="Hard Coded 2 2 3 3 3" xfId="20568"/>
    <cellStyle name="Hard Coded 2 2 3 4" xfId="20569"/>
    <cellStyle name="Hard Coded 2 2 4" xfId="20570"/>
    <cellStyle name="Hard Coded 2 2 4 2" xfId="20571"/>
    <cellStyle name="Hard Coded 2 2 4 2 2" xfId="20572"/>
    <cellStyle name="Hard Coded 2 2 4 2 3" xfId="20573"/>
    <cellStyle name="Hard Coded 2 2 4 3" xfId="20574"/>
    <cellStyle name="Hard Coded 2 2 4 4" xfId="20575"/>
    <cellStyle name="Hard Coded 2 2 5" xfId="20576"/>
    <cellStyle name="Hard Coded 2 2 5 2" xfId="20577"/>
    <cellStyle name="Hard Coded 2 2 5 2 2" xfId="20578"/>
    <cellStyle name="Hard Coded 2 2 5 2 3" xfId="20579"/>
    <cellStyle name="Hard Coded 2 2 5 3" xfId="20580"/>
    <cellStyle name="Hard Coded 2 2 5 4" xfId="20581"/>
    <cellStyle name="Hard Coded 2 2 6" xfId="20582"/>
    <cellStyle name="Hard Coded 2 2 6 2" xfId="20583"/>
    <cellStyle name="Hard Coded 2 2 6 3" xfId="20584"/>
    <cellStyle name="Hard Coded 2 2 7" xfId="20585"/>
    <cellStyle name="Hard Coded 2 3" xfId="20586"/>
    <cellStyle name="Hard Coded 2 3 2" xfId="20587"/>
    <cellStyle name="Hard Coded 2 3 2 2" xfId="20588"/>
    <cellStyle name="Hard Coded 2 3 2 2 2" xfId="20589"/>
    <cellStyle name="Hard Coded 2 3 2 2 2 2" xfId="20590"/>
    <cellStyle name="Hard Coded 2 3 2 2 2 3" xfId="20591"/>
    <cellStyle name="Hard Coded 2 3 2 2 3" xfId="20592"/>
    <cellStyle name="Hard Coded 2 3 2 2 4" xfId="20593"/>
    <cellStyle name="Hard Coded 2 3 2 3" xfId="20594"/>
    <cellStyle name="Hard Coded 2 3 2 3 2" xfId="20595"/>
    <cellStyle name="Hard Coded 2 3 2 3 2 2" xfId="20596"/>
    <cellStyle name="Hard Coded 2 3 2 3 2 3" xfId="20597"/>
    <cellStyle name="Hard Coded 2 3 2 3 3" xfId="20598"/>
    <cellStyle name="Hard Coded 2 3 2 3 4" xfId="20599"/>
    <cellStyle name="Hard Coded 2 3 2 4" xfId="20600"/>
    <cellStyle name="Hard Coded 2 3 3" xfId="20601"/>
    <cellStyle name="Hard Coded 2 3 3 2" xfId="20602"/>
    <cellStyle name="Hard Coded 2 3 3 2 2" xfId="20603"/>
    <cellStyle name="Hard Coded 2 3 3 2 2 2" xfId="20604"/>
    <cellStyle name="Hard Coded 2 3 3 2 2 3" xfId="20605"/>
    <cellStyle name="Hard Coded 2 3 3 2 3" xfId="20606"/>
    <cellStyle name="Hard Coded 2 3 3 2 4" xfId="20607"/>
    <cellStyle name="Hard Coded 2 3 3 3" xfId="20608"/>
    <cellStyle name="Hard Coded 2 3 3 3 2" xfId="20609"/>
    <cellStyle name="Hard Coded 2 3 3 3 3" xfId="20610"/>
    <cellStyle name="Hard Coded 2 3 3 4" xfId="20611"/>
    <cellStyle name="Hard Coded 2 3 4" xfId="20612"/>
    <cellStyle name="Hard Coded 2 3 4 2" xfId="20613"/>
    <cellStyle name="Hard Coded 2 3 4 2 2" xfId="20614"/>
    <cellStyle name="Hard Coded 2 3 4 2 3" xfId="20615"/>
    <cellStyle name="Hard Coded 2 3 4 3" xfId="20616"/>
    <cellStyle name="Hard Coded 2 3 4 4" xfId="20617"/>
    <cellStyle name="Hard Coded 2 3 5" xfId="20618"/>
    <cellStyle name="Hard Coded 2 3 5 2" xfId="20619"/>
    <cellStyle name="Hard Coded 2 3 5 2 2" xfId="20620"/>
    <cellStyle name="Hard Coded 2 3 5 2 3" xfId="20621"/>
    <cellStyle name="Hard Coded 2 3 5 3" xfId="20622"/>
    <cellStyle name="Hard Coded 2 3 5 4" xfId="20623"/>
    <cellStyle name="Hard Coded 2 3 6" xfId="20624"/>
    <cellStyle name="Hard Coded 2 3 6 2" xfId="20625"/>
    <cellStyle name="Hard Coded 2 3 6 2 2" xfId="20626"/>
    <cellStyle name="Hard Coded 2 3 6 2 3" xfId="20627"/>
    <cellStyle name="Hard Coded 2 3 6 3" xfId="20628"/>
    <cellStyle name="Hard Coded 2 3 6 3 2" xfId="20629"/>
    <cellStyle name="Hard Coded 2 3 6 3 3" xfId="20630"/>
    <cellStyle name="Hard Coded 2 3 6 4" xfId="20631"/>
    <cellStyle name="Hard Coded 2 3 7" xfId="20632"/>
    <cellStyle name="Hard Coded 2 4" xfId="20633"/>
    <cellStyle name="Hard Coded 2 4 2" xfId="20634"/>
    <cellStyle name="Hard Coded 2 4 2 2" xfId="20635"/>
    <cellStyle name="Hard Coded 2 4 2 2 2" xfId="20636"/>
    <cellStyle name="Hard Coded 2 4 2 2 3" xfId="20637"/>
    <cellStyle name="Hard Coded 2 4 2 3" xfId="20638"/>
    <cellStyle name="Hard Coded 2 4 2 4" xfId="20639"/>
    <cellStyle name="Hard Coded 2 4 3" xfId="20640"/>
    <cellStyle name="Hard Coded 2 4 3 2" xfId="20641"/>
    <cellStyle name="Hard Coded 2 4 3 3" xfId="20642"/>
    <cellStyle name="Hard Coded 2 4 4" xfId="20643"/>
    <cellStyle name="Hard Coded 2 5" xfId="20644"/>
    <cellStyle name="Hard Coded 2 5 2" xfId="20645"/>
    <cellStyle name="Hard Coded 2 5 2 2" xfId="20646"/>
    <cellStyle name="Hard Coded 2 5 2 2 2" xfId="20647"/>
    <cellStyle name="Hard Coded 2 5 2 2 3" xfId="20648"/>
    <cellStyle name="Hard Coded 2 5 2 3" xfId="20649"/>
    <cellStyle name="Hard Coded 2 5 2 4" xfId="20650"/>
    <cellStyle name="Hard Coded 2 5 3" xfId="20651"/>
    <cellStyle name="Hard Coded 2 5 3 2" xfId="20652"/>
    <cellStyle name="Hard Coded 2 5 3 3" xfId="20653"/>
    <cellStyle name="Hard Coded 2 5 4" xfId="20654"/>
    <cellStyle name="Hard Coded 2 6" xfId="20655"/>
    <cellStyle name="Hard Coded 2 6 2" xfId="20656"/>
    <cellStyle name="Hard Coded 2 6 2 2" xfId="20657"/>
    <cellStyle name="Hard Coded 2 6 2 3" xfId="20658"/>
    <cellStyle name="Hard Coded 2 6 3" xfId="20659"/>
    <cellStyle name="Hard Coded 2 6 4" xfId="20660"/>
    <cellStyle name="Hard Coded 2 7" xfId="20661"/>
    <cellStyle name="Hard Coded 2 7 2" xfId="20662"/>
    <cellStyle name="Hard Coded 2 7 2 2" xfId="20663"/>
    <cellStyle name="Hard Coded 2 7 2 3" xfId="20664"/>
    <cellStyle name="Hard Coded 2 7 3" xfId="20665"/>
    <cellStyle name="Hard Coded 2 7 3 2" xfId="20666"/>
    <cellStyle name="Hard Coded 2 7 3 3" xfId="20667"/>
    <cellStyle name="Hard Coded 2 7 4" xfId="20668"/>
    <cellStyle name="Hard Coded 2 8" xfId="20669"/>
    <cellStyle name="Hard Coded 3" xfId="20670"/>
    <cellStyle name="Hard Coded 3 2" xfId="20671"/>
    <cellStyle name="Hard Coded 3 2 2" xfId="20672"/>
    <cellStyle name="Hard Coded 3 2 2 2" xfId="20673"/>
    <cellStyle name="Hard Coded 3 2 2 2 2" xfId="20674"/>
    <cellStyle name="Hard Coded 3 2 2 2 2 2" xfId="20675"/>
    <cellStyle name="Hard Coded 3 2 2 2 2 3" xfId="20676"/>
    <cellStyle name="Hard Coded 3 2 2 2 3" xfId="20677"/>
    <cellStyle name="Hard Coded 3 2 2 2 4" xfId="20678"/>
    <cellStyle name="Hard Coded 3 2 2 3" xfId="20679"/>
    <cellStyle name="Hard Coded 3 2 2 3 2" xfId="20680"/>
    <cellStyle name="Hard Coded 3 2 2 3 2 2" xfId="20681"/>
    <cellStyle name="Hard Coded 3 2 2 3 2 3" xfId="20682"/>
    <cellStyle name="Hard Coded 3 2 2 3 3" xfId="20683"/>
    <cellStyle name="Hard Coded 3 2 2 3 4" xfId="20684"/>
    <cellStyle name="Hard Coded 3 2 2 4" xfId="20685"/>
    <cellStyle name="Hard Coded 3 2 3" xfId="20686"/>
    <cellStyle name="Hard Coded 3 2 3 2" xfId="20687"/>
    <cellStyle name="Hard Coded 3 2 3 2 2" xfId="20688"/>
    <cellStyle name="Hard Coded 3 2 3 2 2 2" xfId="20689"/>
    <cellStyle name="Hard Coded 3 2 3 2 2 3" xfId="20690"/>
    <cellStyle name="Hard Coded 3 2 3 2 3" xfId="20691"/>
    <cellStyle name="Hard Coded 3 2 3 2 4" xfId="20692"/>
    <cellStyle name="Hard Coded 3 2 3 3" xfId="20693"/>
    <cellStyle name="Hard Coded 3 2 3 3 2" xfId="20694"/>
    <cellStyle name="Hard Coded 3 2 3 3 3" xfId="20695"/>
    <cellStyle name="Hard Coded 3 2 3 4" xfId="20696"/>
    <cellStyle name="Hard Coded 3 2 4" xfId="20697"/>
    <cellStyle name="Hard Coded 3 2 4 2" xfId="20698"/>
    <cellStyle name="Hard Coded 3 2 4 2 2" xfId="20699"/>
    <cellStyle name="Hard Coded 3 2 4 2 3" xfId="20700"/>
    <cellStyle name="Hard Coded 3 2 4 3" xfId="20701"/>
    <cellStyle name="Hard Coded 3 2 4 4" xfId="20702"/>
    <cellStyle name="Hard Coded 3 2 5" xfId="20703"/>
    <cellStyle name="Hard Coded 3 2 5 2" xfId="20704"/>
    <cellStyle name="Hard Coded 3 2 5 2 2" xfId="20705"/>
    <cellStyle name="Hard Coded 3 2 5 2 3" xfId="20706"/>
    <cellStyle name="Hard Coded 3 2 5 3" xfId="20707"/>
    <cellStyle name="Hard Coded 3 2 5 4" xfId="20708"/>
    <cellStyle name="Hard Coded 3 2 6" xfId="20709"/>
    <cellStyle name="Hard Coded 3 2 6 2" xfId="20710"/>
    <cellStyle name="Hard Coded 3 2 6 3" xfId="20711"/>
    <cellStyle name="Hard Coded 3 2 7" xfId="20712"/>
    <cellStyle name="Hard Coded 3 3" xfId="20713"/>
    <cellStyle name="Hard Coded 3 3 2" xfId="20714"/>
    <cellStyle name="Hard Coded 3 3 2 2" xfId="20715"/>
    <cellStyle name="Hard Coded 3 3 2 2 2" xfId="20716"/>
    <cellStyle name="Hard Coded 3 3 2 2 2 2" xfId="20717"/>
    <cellStyle name="Hard Coded 3 3 2 2 2 3" xfId="20718"/>
    <cellStyle name="Hard Coded 3 3 2 2 3" xfId="20719"/>
    <cellStyle name="Hard Coded 3 3 2 2 4" xfId="20720"/>
    <cellStyle name="Hard Coded 3 3 2 3" xfId="20721"/>
    <cellStyle name="Hard Coded 3 3 2 3 2" xfId="20722"/>
    <cellStyle name="Hard Coded 3 3 2 3 3" xfId="20723"/>
    <cellStyle name="Hard Coded 3 3 2 4" xfId="20724"/>
    <cellStyle name="Hard Coded 3 3 3" xfId="20725"/>
    <cellStyle name="Hard Coded 3 3 3 2" xfId="20726"/>
    <cellStyle name="Hard Coded 3 3 3 2 2" xfId="20727"/>
    <cellStyle name="Hard Coded 3 3 3 2 2 2" xfId="20728"/>
    <cellStyle name="Hard Coded 3 3 3 2 2 3" xfId="20729"/>
    <cellStyle name="Hard Coded 3 3 3 2 3" xfId="20730"/>
    <cellStyle name="Hard Coded 3 3 3 2 4" xfId="20731"/>
    <cellStyle name="Hard Coded 3 3 3 3" xfId="20732"/>
    <cellStyle name="Hard Coded 3 3 3 3 2" xfId="20733"/>
    <cellStyle name="Hard Coded 3 3 3 3 3" xfId="20734"/>
    <cellStyle name="Hard Coded 3 3 3 4" xfId="20735"/>
    <cellStyle name="Hard Coded 3 3 4" xfId="20736"/>
    <cellStyle name="Hard Coded 3 3 4 2" xfId="20737"/>
    <cellStyle name="Hard Coded 3 3 4 2 2" xfId="20738"/>
    <cellStyle name="Hard Coded 3 3 4 2 3" xfId="20739"/>
    <cellStyle name="Hard Coded 3 3 4 3" xfId="20740"/>
    <cellStyle name="Hard Coded 3 3 4 4" xfId="20741"/>
    <cellStyle name="Hard Coded 3 3 5" xfId="20742"/>
    <cellStyle name="Hard Coded 3 3 6" xfId="20743"/>
    <cellStyle name="Hard Coded 3 4" xfId="20744"/>
    <cellStyle name="Hard Coded 3 4 2" xfId="20745"/>
    <cellStyle name="Hard Coded 3 4 2 2" xfId="20746"/>
    <cellStyle name="Hard Coded 3 4 2 2 2" xfId="20747"/>
    <cellStyle name="Hard Coded 3 4 2 2 3" xfId="20748"/>
    <cellStyle name="Hard Coded 3 4 2 3" xfId="20749"/>
    <cellStyle name="Hard Coded 3 4 2 4" xfId="20750"/>
    <cellStyle name="Hard Coded 3 4 3" xfId="20751"/>
    <cellStyle name="Hard Coded 3 4 3 2" xfId="20752"/>
    <cellStyle name="Hard Coded 3 4 3 3" xfId="20753"/>
    <cellStyle name="Hard Coded 3 4 4" xfId="20754"/>
    <cellStyle name="Hard Coded 3 5" xfId="20755"/>
    <cellStyle name="Hard Coded 3 5 2" xfId="20756"/>
    <cellStyle name="Hard Coded 3 5 2 2" xfId="20757"/>
    <cellStyle name="Hard Coded 3 5 2 2 2" xfId="20758"/>
    <cellStyle name="Hard Coded 3 5 2 2 3" xfId="20759"/>
    <cellStyle name="Hard Coded 3 5 2 3" xfId="20760"/>
    <cellStyle name="Hard Coded 3 5 2 4" xfId="20761"/>
    <cellStyle name="Hard Coded 3 5 3" xfId="20762"/>
    <cellStyle name="Hard Coded 3 5 3 2" xfId="20763"/>
    <cellStyle name="Hard Coded 3 5 3 3" xfId="20764"/>
    <cellStyle name="Hard Coded 3 5 4" xfId="20765"/>
    <cellStyle name="Hard Coded 3 6" xfId="20766"/>
    <cellStyle name="Hard Coded 3 6 2" xfId="20767"/>
    <cellStyle name="Hard Coded 3 6 2 2" xfId="20768"/>
    <cellStyle name="Hard Coded 3 6 2 3" xfId="20769"/>
    <cellStyle name="Hard Coded 3 6 3" xfId="20770"/>
    <cellStyle name="Hard Coded 3 6 4" xfId="20771"/>
    <cellStyle name="Hard Coded 3 7" xfId="20772"/>
    <cellStyle name="Hard Coded 3 7 2" xfId="20773"/>
    <cellStyle name="Hard Coded 3 7 2 2" xfId="20774"/>
    <cellStyle name="Hard Coded 3 7 2 3" xfId="20775"/>
    <cellStyle name="Hard Coded 3 7 3" xfId="20776"/>
    <cellStyle name="Hard Coded 3 7 4" xfId="20777"/>
    <cellStyle name="Hard Coded 3 8" xfId="20778"/>
    <cellStyle name="Hard Coded 3 8 2" xfId="20779"/>
    <cellStyle name="Hard Coded 3 8 3" xfId="20780"/>
    <cellStyle name="Hard Coded 3 9" xfId="20781"/>
    <cellStyle name="Hard Coded 4" xfId="20782"/>
    <cellStyle name="Hard Coded 4 2" xfId="20783"/>
    <cellStyle name="Hard Coded 4 2 2" xfId="20784"/>
    <cellStyle name="Hard Coded 4 2 2 2" xfId="20785"/>
    <cellStyle name="Hard Coded 4 2 2 2 2" xfId="20786"/>
    <cellStyle name="Hard Coded 4 2 2 2 2 2" xfId="20787"/>
    <cellStyle name="Hard Coded 4 2 2 2 2 3" xfId="20788"/>
    <cellStyle name="Hard Coded 4 2 2 2 3" xfId="20789"/>
    <cellStyle name="Hard Coded 4 2 2 2 4" xfId="20790"/>
    <cellStyle name="Hard Coded 4 2 2 3" xfId="20791"/>
    <cellStyle name="Hard Coded 4 2 2 3 2" xfId="20792"/>
    <cellStyle name="Hard Coded 4 2 2 3 2 2" xfId="20793"/>
    <cellStyle name="Hard Coded 4 2 2 3 2 3" xfId="20794"/>
    <cellStyle name="Hard Coded 4 2 2 3 3" xfId="20795"/>
    <cellStyle name="Hard Coded 4 2 2 3 4" xfId="20796"/>
    <cellStyle name="Hard Coded 4 2 2 4" xfId="20797"/>
    <cellStyle name="Hard Coded 4 2 3" xfId="20798"/>
    <cellStyle name="Hard Coded 4 2 3 2" xfId="20799"/>
    <cellStyle name="Hard Coded 4 2 3 2 2" xfId="20800"/>
    <cellStyle name="Hard Coded 4 2 3 2 2 2" xfId="20801"/>
    <cellStyle name="Hard Coded 4 2 3 2 2 3" xfId="20802"/>
    <cellStyle name="Hard Coded 4 2 3 2 3" xfId="20803"/>
    <cellStyle name="Hard Coded 4 2 3 2 4" xfId="20804"/>
    <cellStyle name="Hard Coded 4 2 3 3" xfId="20805"/>
    <cellStyle name="Hard Coded 4 2 3 3 2" xfId="20806"/>
    <cellStyle name="Hard Coded 4 2 3 3 3" xfId="20807"/>
    <cellStyle name="Hard Coded 4 2 3 4" xfId="20808"/>
    <cellStyle name="Hard Coded 4 2 4" xfId="20809"/>
    <cellStyle name="Hard Coded 4 2 4 2" xfId="20810"/>
    <cellStyle name="Hard Coded 4 2 4 2 2" xfId="20811"/>
    <cellStyle name="Hard Coded 4 2 4 2 3" xfId="20812"/>
    <cellStyle name="Hard Coded 4 2 4 3" xfId="20813"/>
    <cellStyle name="Hard Coded 4 2 4 4" xfId="20814"/>
    <cellStyle name="Hard Coded 4 2 5" xfId="20815"/>
    <cellStyle name="Hard Coded 4 2 5 2" xfId="20816"/>
    <cellStyle name="Hard Coded 4 2 5 2 2" xfId="20817"/>
    <cellStyle name="Hard Coded 4 2 5 2 3" xfId="20818"/>
    <cellStyle name="Hard Coded 4 2 5 3" xfId="20819"/>
    <cellStyle name="Hard Coded 4 2 5 4" xfId="20820"/>
    <cellStyle name="Hard Coded 4 2 6" xfId="20821"/>
    <cellStyle name="Hard Coded 4 2 7" xfId="20822"/>
    <cellStyle name="Hard Coded 4 3" xfId="20823"/>
    <cellStyle name="Hard Coded 4 3 2" xfId="20824"/>
    <cellStyle name="Hard Coded 4 3 2 2" xfId="20825"/>
    <cellStyle name="Hard Coded 4 3 2 2 2" xfId="20826"/>
    <cellStyle name="Hard Coded 4 3 2 2 2 2" xfId="20827"/>
    <cellStyle name="Hard Coded 4 3 2 2 2 3" xfId="20828"/>
    <cellStyle name="Hard Coded 4 3 2 2 3" xfId="20829"/>
    <cellStyle name="Hard Coded 4 3 2 2 4" xfId="20830"/>
    <cellStyle name="Hard Coded 4 3 2 3" xfId="20831"/>
    <cellStyle name="Hard Coded 4 3 2 3 2" xfId="20832"/>
    <cellStyle name="Hard Coded 4 3 2 3 3" xfId="20833"/>
    <cellStyle name="Hard Coded 4 3 2 4" xfId="20834"/>
    <cellStyle name="Hard Coded 4 3 3" xfId="20835"/>
    <cellStyle name="Hard Coded 4 3 3 2" xfId="20836"/>
    <cellStyle name="Hard Coded 4 3 3 2 2" xfId="20837"/>
    <cellStyle name="Hard Coded 4 3 3 2 2 2" xfId="20838"/>
    <cellStyle name="Hard Coded 4 3 3 2 2 3" xfId="20839"/>
    <cellStyle name="Hard Coded 4 3 3 2 3" xfId="20840"/>
    <cellStyle name="Hard Coded 4 3 3 2 4" xfId="20841"/>
    <cellStyle name="Hard Coded 4 3 3 3" xfId="20842"/>
    <cellStyle name="Hard Coded 4 3 3 3 2" xfId="20843"/>
    <cellStyle name="Hard Coded 4 3 3 3 3" xfId="20844"/>
    <cellStyle name="Hard Coded 4 3 3 4" xfId="20845"/>
    <cellStyle name="Hard Coded 4 3 4" xfId="20846"/>
    <cellStyle name="Hard Coded 4 3 4 2" xfId="20847"/>
    <cellStyle name="Hard Coded 4 3 4 2 2" xfId="20848"/>
    <cellStyle name="Hard Coded 4 3 4 2 3" xfId="20849"/>
    <cellStyle name="Hard Coded 4 3 4 3" xfId="20850"/>
    <cellStyle name="Hard Coded 4 3 4 4" xfId="20851"/>
    <cellStyle name="Hard Coded 4 3 5" xfId="20852"/>
    <cellStyle name="Hard Coded 4 3 6" xfId="20853"/>
    <cellStyle name="Hard Coded 4 4" xfId="20854"/>
    <cellStyle name="Hard Coded 4 4 2" xfId="20855"/>
    <cellStyle name="Hard Coded 4 4 2 2" xfId="20856"/>
    <cellStyle name="Hard Coded 4 4 2 2 2" xfId="20857"/>
    <cellStyle name="Hard Coded 4 4 2 2 3" xfId="20858"/>
    <cellStyle name="Hard Coded 4 4 2 3" xfId="20859"/>
    <cellStyle name="Hard Coded 4 4 2 4" xfId="20860"/>
    <cellStyle name="Hard Coded 4 4 3" xfId="20861"/>
    <cellStyle name="Hard Coded 4 4 3 2" xfId="20862"/>
    <cellStyle name="Hard Coded 4 4 3 3" xfId="20863"/>
    <cellStyle name="Hard Coded 4 4 4" xfId="20864"/>
    <cellStyle name="Hard Coded 4 5" xfId="20865"/>
    <cellStyle name="Hard Coded 4 5 2" xfId="20866"/>
    <cellStyle name="Hard Coded 4 5 2 2" xfId="20867"/>
    <cellStyle name="Hard Coded 4 5 2 2 2" xfId="20868"/>
    <cellStyle name="Hard Coded 4 5 2 2 3" xfId="20869"/>
    <cellStyle name="Hard Coded 4 5 2 3" xfId="20870"/>
    <cellStyle name="Hard Coded 4 5 2 4" xfId="20871"/>
    <cellStyle name="Hard Coded 4 5 3" xfId="20872"/>
    <cellStyle name="Hard Coded 4 5 3 2" xfId="20873"/>
    <cellStyle name="Hard Coded 4 5 3 3" xfId="20874"/>
    <cellStyle name="Hard Coded 4 5 4" xfId="20875"/>
    <cellStyle name="Hard Coded 4 6" xfId="20876"/>
    <cellStyle name="Hard Coded 4 6 2" xfId="20877"/>
    <cellStyle name="Hard Coded 4 6 2 2" xfId="20878"/>
    <cellStyle name="Hard Coded 4 6 2 3" xfId="20879"/>
    <cellStyle name="Hard Coded 4 6 3" xfId="20880"/>
    <cellStyle name="Hard Coded 4 6 4" xfId="20881"/>
    <cellStyle name="Hard Coded 4 7" xfId="20882"/>
    <cellStyle name="Hard Coded 4 7 2" xfId="20883"/>
    <cellStyle name="Hard Coded 4 7 2 2" xfId="20884"/>
    <cellStyle name="Hard Coded 4 7 2 3" xfId="20885"/>
    <cellStyle name="Hard Coded 4 7 3" xfId="20886"/>
    <cellStyle name="Hard Coded 4 7 4" xfId="20887"/>
    <cellStyle name="Hard Coded 4 8" xfId="20888"/>
    <cellStyle name="Hard Coded 4 9" xfId="20889"/>
    <cellStyle name="Hard Coded 5" xfId="20890"/>
    <cellStyle name="Hard Coded 5 2" xfId="20891"/>
    <cellStyle name="Hard Coded 5 2 2" xfId="20892"/>
    <cellStyle name="Hard Coded 5 2 2 2" xfId="20893"/>
    <cellStyle name="Hard Coded 5 2 2 2 2" xfId="20894"/>
    <cellStyle name="Hard Coded 5 2 2 2 2 2" xfId="20895"/>
    <cellStyle name="Hard Coded 5 2 2 2 2 3" xfId="20896"/>
    <cellStyle name="Hard Coded 5 2 2 2 3" xfId="20897"/>
    <cellStyle name="Hard Coded 5 2 2 2 4" xfId="20898"/>
    <cellStyle name="Hard Coded 5 2 2 3" xfId="20899"/>
    <cellStyle name="Hard Coded 5 2 2 3 2" xfId="20900"/>
    <cellStyle name="Hard Coded 5 2 2 3 2 2" xfId="20901"/>
    <cellStyle name="Hard Coded 5 2 2 3 2 3" xfId="20902"/>
    <cellStyle name="Hard Coded 5 2 2 3 3" xfId="20903"/>
    <cellStyle name="Hard Coded 5 2 2 3 4" xfId="20904"/>
    <cellStyle name="Hard Coded 5 2 2 4" xfId="20905"/>
    <cellStyle name="Hard Coded 5 2 3" xfId="20906"/>
    <cellStyle name="Hard Coded 5 2 3 2" xfId="20907"/>
    <cellStyle name="Hard Coded 5 2 3 2 2" xfId="20908"/>
    <cellStyle name="Hard Coded 5 2 3 2 2 2" xfId="20909"/>
    <cellStyle name="Hard Coded 5 2 3 2 2 3" xfId="20910"/>
    <cellStyle name="Hard Coded 5 2 3 2 3" xfId="20911"/>
    <cellStyle name="Hard Coded 5 2 3 2 4" xfId="20912"/>
    <cellStyle name="Hard Coded 5 2 3 3" xfId="20913"/>
    <cellStyle name="Hard Coded 5 2 3 3 2" xfId="20914"/>
    <cellStyle name="Hard Coded 5 2 3 3 3" xfId="20915"/>
    <cellStyle name="Hard Coded 5 2 3 4" xfId="20916"/>
    <cellStyle name="Hard Coded 5 2 4" xfId="20917"/>
    <cellStyle name="Hard Coded 5 2 4 2" xfId="20918"/>
    <cellStyle name="Hard Coded 5 2 4 2 2" xfId="20919"/>
    <cellStyle name="Hard Coded 5 2 4 2 3" xfId="20920"/>
    <cellStyle name="Hard Coded 5 2 4 3" xfId="20921"/>
    <cellStyle name="Hard Coded 5 2 4 4" xfId="20922"/>
    <cellStyle name="Hard Coded 5 2 5" xfId="20923"/>
    <cellStyle name="Hard Coded 5 2 5 2" xfId="20924"/>
    <cellStyle name="Hard Coded 5 2 5 2 2" xfId="20925"/>
    <cellStyle name="Hard Coded 5 2 5 2 3" xfId="20926"/>
    <cellStyle name="Hard Coded 5 2 5 3" xfId="20927"/>
    <cellStyle name="Hard Coded 5 2 5 4" xfId="20928"/>
    <cellStyle name="Hard Coded 5 2 6" xfId="20929"/>
    <cellStyle name="Hard Coded 5 2 7" xfId="20930"/>
    <cellStyle name="Hard Coded 5 3" xfId="20931"/>
    <cellStyle name="Hard Coded 5 3 2" xfId="20932"/>
    <cellStyle name="Hard Coded 5 3 2 2" xfId="20933"/>
    <cellStyle name="Hard Coded 5 3 2 2 2" xfId="20934"/>
    <cellStyle name="Hard Coded 5 3 2 2 2 2" xfId="20935"/>
    <cellStyle name="Hard Coded 5 3 2 2 2 3" xfId="20936"/>
    <cellStyle name="Hard Coded 5 3 2 2 3" xfId="20937"/>
    <cellStyle name="Hard Coded 5 3 2 2 4" xfId="20938"/>
    <cellStyle name="Hard Coded 5 3 2 3" xfId="20939"/>
    <cellStyle name="Hard Coded 5 3 2 3 2" xfId="20940"/>
    <cellStyle name="Hard Coded 5 3 2 3 3" xfId="20941"/>
    <cellStyle name="Hard Coded 5 3 2 4" xfId="20942"/>
    <cellStyle name="Hard Coded 5 3 3" xfId="20943"/>
    <cellStyle name="Hard Coded 5 3 3 2" xfId="20944"/>
    <cellStyle name="Hard Coded 5 3 3 2 2" xfId="20945"/>
    <cellStyle name="Hard Coded 5 3 3 2 2 2" xfId="20946"/>
    <cellStyle name="Hard Coded 5 3 3 2 2 3" xfId="20947"/>
    <cellStyle name="Hard Coded 5 3 3 2 3" xfId="20948"/>
    <cellStyle name="Hard Coded 5 3 3 2 4" xfId="20949"/>
    <cellStyle name="Hard Coded 5 3 3 3" xfId="20950"/>
    <cellStyle name="Hard Coded 5 3 3 3 2" xfId="20951"/>
    <cellStyle name="Hard Coded 5 3 3 3 3" xfId="20952"/>
    <cellStyle name="Hard Coded 5 3 3 4" xfId="20953"/>
    <cellStyle name="Hard Coded 5 3 4" xfId="20954"/>
    <cellStyle name="Hard Coded 5 3 4 2" xfId="20955"/>
    <cellStyle name="Hard Coded 5 3 4 2 2" xfId="20956"/>
    <cellStyle name="Hard Coded 5 3 4 2 3" xfId="20957"/>
    <cellStyle name="Hard Coded 5 3 4 3" xfId="20958"/>
    <cellStyle name="Hard Coded 5 3 4 4" xfId="20959"/>
    <cellStyle name="Hard Coded 5 3 5" xfId="20960"/>
    <cellStyle name="Hard Coded 5 3 6" xfId="20961"/>
    <cellStyle name="Hard Coded 5 4" xfId="20962"/>
    <cellStyle name="Hard Coded 5 4 2" xfId="20963"/>
    <cellStyle name="Hard Coded 5 4 2 2" xfId="20964"/>
    <cellStyle name="Hard Coded 5 4 2 2 2" xfId="20965"/>
    <cellStyle name="Hard Coded 5 4 2 2 3" xfId="20966"/>
    <cellStyle name="Hard Coded 5 4 2 3" xfId="20967"/>
    <cellStyle name="Hard Coded 5 4 2 4" xfId="20968"/>
    <cellStyle name="Hard Coded 5 4 3" xfId="20969"/>
    <cellStyle name="Hard Coded 5 4 3 2" xfId="20970"/>
    <cellStyle name="Hard Coded 5 4 3 3" xfId="20971"/>
    <cellStyle name="Hard Coded 5 4 4" xfId="20972"/>
    <cellStyle name="Hard Coded 5 5" xfId="20973"/>
    <cellStyle name="Hard Coded 5 5 2" xfId="20974"/>
    <cellStyle name="Hard Coded 5 5 2 2" xfId="20975"/>
    <cellStyle name="Hard Coded 5 5 2 2 2" xfId="20976"/>
    <cellStyle name="Hard Coded 5 5 2 2 3" xfId="20977"/>
    <cellStyle name="Hard Coded 5 5 2 3" xfId="20978"/>
    <cellStyle name="Hard Coded 5 5 2 4" xfId="20979"/>
    <cellStyle name="Hard Coded 5 5 3" xfId="20980"/>
    <cellStyle name="Hard Coded 5 5 3 2" xfId="20981"/>
    <cellStyle name="Hard Coded 5 5 3 3" xfId="20982"/>
    <cellStyle name="Hard Coded 5 5 4" xfId="20983"/>
    <cellStyle name="Hard Coded 5 6" xfId="20984"/>
    <cellStyle name="Hard Coded 5 6 2" xfId="20985"/>
    <cellStyle name="Hard Coded 5 6 2 2" xfId="20986"/>
    <cellStyle name="Hard Coded 5 6 2 3" xfId="20987"/>
    <cellStyle name="Hard Coded 5 6 3" xfId="20988"/>
    <cellStyle name="Hard Coded 5 6 4" xfId="20989"/>
    <cellStyle name="Hard Coded 5 7" xfId="20990"/>
    <cellStyle name="Hard Coded 5 7 2" xfId="20991"/>
    <cellStyle name="Hard Coded 5 7 2 2" xfId="20992"/>
    <cellStyle name="Hard Coded 5 7 2 3" xfId="20993"/>
    <cellStyle name="Hard Coded 5 7 3" xfId="20994"/>
    <cellStyle name="Hard Coded 5 7 4" xfId="20995"/>
    <cellStyle name="Hard Coded 5 8" xfId="20996"/>
    <cellStyle name="Hard Coded 5 9" xfId="20997"/>
    <cellStyle name="Hard Coded 6" xfId="20998"/>
    <cellStyle name="Hard Coded 6 2" xfId="20999"/>
    <cellStyle name="Hard Coded 6 2 2" xfId="21000"/>
    <cellStyle name="Hard Coded 6 2 2 2" xfId="21001"/>
    <cellStyle name="Hard Coded 6 2 2 2 2" xfId="21002"/>
    <cellStyle name="Hard Coded 6 2 2 2 2 2" xfId="21003"/>
    <cellStyle name="Hard Coded 6 2 2 2 2 3" xfId="21004"/>
    <cellStyle name="Hard Coded 6 2 2 2 3" xfId="21005"/>
    <cellStyle name="Hard Coded 6 2 2 2 4" xfId="21006"/>
    <cellStyle name="Hard Coded 6 2 2 3" xfId="21007"/>
    <cellStyle name="Hard Coded 6 2 2 3 2" xfId="21008"/>
    <cellStyle name="Hard Coded 6 2 2 3 2 2" xfId="21009"/>
    <cellStyle name="Hard Coded 6 2 2 3 2 3" xfId="21010"/>
    <cellStyle name="Hard Coded 6 2 2 3 3" xfId="21011"/>
    <cellStyle name="Hard Coded 6 2 2 3 4" xfId="21012"/>
    <cellStyle name="Hard Coded 6 2 2 4" xfId="21013"/>
    <cellStyle name="Hard Coded 6 2 3" xfId="21014"/>
    <cellStyle name="Hard Coded 6 2 3 2" xfId="21015"/>
    <cellStyle name="Hard Coded 6 2 3 2 2" xfId="21016"/>
    <cellStyle name="Hard Coded 6 2 3 2 2 2" xfId="21017"/>
    <cellStyle name="Hard Coded 6 2 3 2 2 3" xfId="21018"/>
    <cellStyle name="Hard Coded 6 2 3 2 3" xfId="21019"/>
    <cellStyle name="Hard Coded 6 2 3 2 4" xfId="21020"/>
    <cellStyle name="Hard Coded 6 2 3 3" xfId="21021"/>
    <cellStyle name="Hard Coded 6 2 3 3 2" xfId="21022"/>
    <cellStyle name="Hard Coded 6 2 3 3 3" xfId="21023"/>
    <cellStyle name="Hard Coded 6 2 3 4" xfId="21024"/>
    <cellStyle name="Hard Coded 6 2 4" xfId="21025"/>
    <cellStyle name="Hard Coded 6 2 4 2" xfId="21026"/>
    <cellStyle name="Hard Coded 6 2 4 2 2" xfId="21027"/>
    <cellStyle name="Hard Coded 6 2 4 2 3" xfId="21028"/>
    <cellStyle name="Hard Coded 6 2 4 3" xfId="21029"/>
    <cellStyle name="Hard Coded 6 2 4 4" xfId="21030"/>
    <cellStyle name="Hard Coded 6 2 5" xfId="21031"/>
    <cellStyle name="Hard Coded 6 2 5 2" xfId="21032"/>
    <cellStyle name="Hard Coded 6 2 5 2 2" xfId="21033"/>
    <cellStyle name="Hard Coded 6 2 5 2 3" xfId="21034"/>
    <cellStyle name="Hard Coded 6 2 5 3" xfId="21035"/>
    <cellStyle name="Hard Coded 6 2 5 4" xfId="21036"/>
    <cellStyle name="Hard Coded 6 2 6" xfId="21037"/>
    <cellStyle name="Hard Coded 6 2 7" xfId="21038"/>
    <cellStyle name="Hard Coded 6 3" xfId="21039"/>
    <cellStyle name="Hard Coded 6 3 2" xfId="21040"/>
    <cellStyle name="Hard Coded 6 3 2 2" xfId="21041"/>
    <cellStyle name="Hard Coded 6 3 2 2 2" xfId="21042"/>
    <cellStyle name="Hard Coded 6 3 2 2 2 2" xfId="21043"/>
    <cellStyle name="Hard Coded 6 3 2 2 2 3" xfId="21044"/>
    <cellStyle name="Hard Coded 6 3 2 2 3" xfId="21045"/>
    <cellStyle name="Hard Coded 6 3 2 2 4" xfId="21046"/>
    <cellStyle name="Hard Coded 6 3 2 3" xfId="21047"/>
    <cellStyle name="Hard Coded 6 3 2 3 2" xfId="21048"/>
    <cellStyle name="Hard Coded 6 3 2 3 3" xfId="21049"/>
    <cellStyle name="Hard Coded 6 3 2 4" xfId="21050"/>
    <cellStyle name="Hard Coded 6 3 3" xfId="21051"/>
    <cellStyle name="Hard Coded 6 3 3 2" xfId="21052"/>
    <cellStyle name="Hard Coded 6 3 3 2 2" xfId="21053"/>
    <cellStyle name="Hard Coded 6 3 3 2 2 2" xfId="21054"/>
    <cellStyle name="Hard Coded 6 3 3 2 2 3" xfId="21055"/>
    <cellStyle name="Hard Coded 6 3 3 2 3" xfId="21056"/>
    <cellStyle name="Hard Coded 6 3 3 2 4" xfId="21057"/>
    <cellStyle name="Hard Coded 6 3 3 3" xfId="21058"/>
    <cellStyle name="Hard Coded 6 3 3 3 2" xfId="21059"/>
    <cellStyle name="Hard Coded 6 3 3 3 3" xfId="21060"/>
    <cellStyle name="Hard Coded 6 3 3 4" xfId="21061"/>
    <cellStyle name="Hard Coded 6 3 4" xfId="21062"/>
    <cellStyle name="Hard Coded 6 3 4 2" xfId="21063"/>
    <cellStyle name="Hard Coded 6 3 4 2 2" xfId="21064"/>
    <cellStyle name="Hard Coded 6 3 4 2 3" xfId="21065"/>
    <cellStyle name="Hard Coded 6 3 4 3" xfId="21066"/>
    <cellStyle name="Hard Coded 6 3 4 4" xfId="21067"/>
    <cellStyle name="Hard Coded 6 3 5" xfId="21068"/>
    <cellStyle name="Hard Coded 6 3 6" xfId="21069"/>
    <cellStyle name="Hard Coded 6 4" xfId="21070"/>
    <cellStyle name="Hard Coded 6 4 2" xfId="21071"/>
    <cellStyle name="Hard Coded 6 4 2 2" xfId="21072"/>
    <cellStyle name="Hard Coded 6 4 2 2 2" xfId="21073"/>
    <cellStyle name="Hard Coded 6 4 2 2 3" xfId="21074"/>
    <cellStyle name="Hard Coded 6 4 2 3" xfId="21075"/>
    <cellStyle name="Hard Coded 6 4 2 4" xfId="21076"/>
    <cellStyle name="Hard Coded 6 4 3" xfId="21077"/>
    <cellStyle name="Hard Coded 6 4 3 2" xfId="21078"/>
    <cellStyle name="Hard Coded 6 4 3 3" xfId="21079"/>
    <cellStyle name="Hard Coded 6 4 4" xfId="21080"/>
    <cellStyle name="Hard Coded 6 5" xfId="21081"/>
    <cellStyle name="Hard Coded 6 5 2" xfId="21082"/>
    <cellStyle name="Hard Coded 6 5 2 2" xfId="21083"/>
    <cellStyle name="Hard Coded 6 5 2 2 2" xfId="21084"/>
    <cellStyle name="Hard Coded 6 5 2 2 3" xfId="21085"/>
    <cellStyle name="Hard Coded 6 5 2 3" xfId="21086"/>
    <cellStyle name="Hard Coded 6 5 2 4" xfId="21087"/>
    <cellStyle name="Hard Coded 6 5 3" xfId="21088"/>
    <cellStyle name="Hard Coded 6 5 3 2" xfId="21089"/>
    <cellStyle name="Hard Coded 6 5 3 3" xfId="21090"/>
    <cellStyle name="Hard Coded 6 5 4" xfId="21091"/>
    <cellStyle name="Hard Coded 6 6" xfId="21092"/>
    <cellStyle name="Hard Coded 6 6 2" xfId="21093"/>
    <cellStyle name="Hard Coded 6 6 2 2" xfId="21094"/>
    <cellStyle name="Hard Coded 6 6 2 3" xfId="21095"/>
    <cellStyle name="Hard Coded 6 6 3" xfId="21096"/>
    <cellStyle name="Hard Coded 6 6 4" xfId="21097"/>
    <cellStyle name="Hard Coded 6 7" xfId="21098"/>
    <cellStyle name="Hard Coded 6 7 2" xfId="21099"/>
    <cellStyle name="Hard Coded 6 7 2 2" xfId="21100"/>
    <cellStyle name="Hard Coded 6 7 2 3" xfId="21101"/>
    <cellStyle name="Hard Coded 6 7 3" xfId="21102"/>
    <cellStyle name="Hard Coded 6 7 4" xfId="21103"/>
    <cellStyle name="Hard Coded 6 8" xfId="21104"/>
    <cellStyle name="Hard Coded 6 9" xfId="21105"/>
    <cellStyle name="Hard Coded 7" xfId="21106"/>
    <cellStyle name="Hard Coded 7 2" xfId="21107"/>
    <cellStyle name="Hard Coded 7 2 2" xfId="21108"/>
    <cellStyle name="Hard Coded 7 2 2 2" xfId="21109"/>
    <cellStyle name="Hard Coded 7 2 2 2 2" xfId="21110"/>
    <cellStyle name="Hard Coded 7 2 2 2 2 2" xfId="21111"/>
    <cellStyle name="Hard Coded 7 2 2 2 2 3" xfId="21112"/>
    <cellStyle name="Hard Coded 7 2 2 2 3" xfId="21113"/>
    <cellStyle name="Hard Coded 7 2 2 2 4" xfId="21114"/>
    <cellStyle name="Hard Coded 7 2 2 3" xfId="21115"/>
    <cellStyle name="Hard Coded 7 2 2 3 2" xfId="21116"/>
    <cellStyle name="Hard Coded 7 2 2 3 2 2" xfId="21117"/>
    <cellStyle name="Hard Coded 7 2 2 3 2 3" xfId="21118"/>
    <cellStyle name="Hard Coded 7 2 2 3 3" xfId="21119"/>
    <cellStyle name="Hard Coded 7 2 2 3 4" xfId="21120"/>
    <cellStyle name="Hard Coded 7 2 2 4" xfId="21121"/>
    <cellStyle name="Hard Coded 7 2 3" xfId="21122"/>
    <cellStyle name="Hard Coded 7 2 3 2" xfId="21123"/>
    <cellStyle name="Hard Coded 7 2 3 2 2" xfId="21124"/>
    <cellStyle name="Hard Coded 7 2 3 2 2 2" xfId="21125"/>
    <cellStyle name="Hard Coded 7 2 3 2 2 3" xfId="21126"/>
    <cellStyle name="Hard Coded 7 2 3 2 3" xfId="21127"/>
    <cellStyle name="Hard Coded 7 2 3 2 4" xfId="21128"/>
    <cellStyle name="Hard Coded 7 2 3 3" xfId="21129"/>
    <cellStyle name="Hard Coded 7 2 3 3 2" xfId="21130"/>
    <cellStyle name="Hard Coded 7 2 3 3 3" xfId="21131"/>
    <cellStyle name="Hard Coded 7 2 3 4" xfId="21132"/>
    <cellStyle name="Hard Coded 7 2 4" xfId="21133"/>
    <cellStyle name="Hard Coded 7 2 4 2" xfId="21134"/>
    <cellStyle name="Hard Coded 7 2 4 2 2" xfId="21135"/>
    <cellStyle name="Hard Coded 7 2 4 2 3" xfId="21136"/>
    <cellStyle name="Hard Coded 7 2 4 3" xfId="21137"/>
    <cellStyle name="Hard Coded 7 2 4 4" xfId="21138"/>
    <cellStyle name="Hard Coded 7 2 5" xfId="21139"/>
    <cellStyle name="Hard Coded 7 2 5 2" xfId="21140"/>
    <cellStyle name="Hard Coded 7 2 5 2 2" xfId="21141"/>
    <cellStyle name="Hard Coded 7 2 5 2 3" xfId="21142"/>
    <cellStyle name="Hard Coded 7 2 5 3" xfId="21143"/>
    <cellStyle name="Hard Coded 7 2 5 4" xfId="21144"/>
    <cellStyle name="Hard Coded 7 2 6" xfId="21145"/>
    <cellStyle name="Hard Coded 7 2 7" xfId="21146"/>
    <cellStyle name="Hard Coded 7 3" xfId="21147"/>
    <cellStyle name="Hard Coded 7 3 2" xfId="21148"/>
    <cellStyle name="Hard Coded 7 3 2 2" xfId="21149"/>
    <cellStyle name="Hard Coded 7 3 2 2 2" xfId="21150"/>
    <cellStyle name="Hard Coded 7 3 2 2 2 2" xfId="21151"/>
    <cellStyle name="Hard Coded 7 3 2 2 2 3" xfId="21152"/>
    <cellStyle name="Hard Coded 7 3 2 2 3" xfId="21153"/>
    <cellStyle name="Hard Coded 7 3 2 2 4" xfId="21154"/>
    <cellStyle name="Hard Coded 7 3 2 3" xfId="21155"/>
    <cellStyle name="Hard Coded 7 3 2 3 2" xfId="21156"/>
    <cellStyle name="Hard Coded 7 3 2 3 3" xfId="21157"/>
    <cellStyle name="Hard Coded 7 3 2 4" xfId="21158"/>
    <cellStyle name="Hard Coded 7 3 3" xfId="21159"/>
    <cellStyle name="Hard Coded 7 3 3 2" xfId="21160"/>
    <cellStyle name="Hard Coded 7 3 3 2 2" xfId="21161"/>
    <cellStyle name="Hard Coded 7 3 3 2 2 2" xfId="21162"/>
    <cellStyle name="Hard Coded 7 3 3 2 2 3" xfId="21163"/>
    <cellStyle name="Hard Coded 7 3 3 2 3" xfId="21164"/>
    <cellStyle name="Hard Coded 7 3 3 2 4" xfId="21165"/>
    <cellStyle name="Hard Coded 7 3 3 3" xfId="21166"/>
    <cellStyle name="Hard Coded 7 3 3 3 2" xfId="21167"/>
    <cellStyle name="Hard Coded 7 3 3 3 3" xfId="21168"/>
    <cellStyle name="Hard Coded 7 3 3 4" xfId="21169"/>
    <cellStyle name="Hard Coded 7 3 4" xfId="21170"/>
    <cellStyle name="Hard Coded 7 3 4 2" xfId="21171"/>
    <cellStyle name="Hard Coded 7 3 4 2 2" xfId="21172"/>
    <cellStyle name="Hard Coded 7 3 4 2 3" xfId="21173"/>
    <cellStyle name="Hard Coded 7 3 4 3" xfId="21174"/>
    <cellStyle name="Hard Coded 7 3 4 4" xfId="21175"/>
    <cellStyle name="Hard Coded 7 3 5" xfId="21176"/>
    <cellStyle name="Hard Coded 7 3 6" xfId="21177"/>
    <cellStyle name="Hard Coded 7 4" xfId="21178"/>
    <cellStyle name="Hard Coded 7 4 2" xfId="21179"/>
    <cellStyle name="Hard Coded 7 4 2 2" xfId="21180"/>
    <cellStyle name="Hard Coded 7 4 2 2 2" xfId="21181"/>
    <cellStyle name="Hard Coded 7 4 2 2 3" xfId="21182"/>
    <cellStyle name="Hard Coded 7 4 2 3" xfId="21183"/>
    <cellStyle name="Hard Coded 7 4 2 4" xfId="21184"/>
    <cellStyle name="Hard Coded 7 4 3" xfId="21185"/>
    <cellStyle name="Hard Coded 7 4 3 2" xfId="21186"/>
    <cellStyle name="Hard Coded 7 4 3 3" xfId="21187"/>
    <cellStyle name="Hard Coded 7 4 4" xfId="21188"/>
    <cellStyle name="Hard Coded 7 5" xfId="21189"/>
    <cellStyle name="Hard Coded 7 5 2" xfId="21190"/>
    <cellStyle name="Hard Coded 7 5 2 2" xfId="21191"/>
    <cellStyle name="Hard Coded 7 5 2 2 2" xfId="21192"/>
    <cellStyle name="Hard Coded 7 5 2 2 3" xfId="21193"/>
    <cellStyle name="Hard Coded 7 5 2 3" xfId="21194"/>
    <cellStyle name="Hard Coded 7 5 2 4" xfId="21195"/>
    <cellStyle name="Hard Coded 7 5 3" xfId="21196"/>
    <cellStyle name="Hard Coded 7 5 3 2" xfId="21197"/>
    <cellStyle name="Hard Coded 7 5 3 3" xfId="21198"/>
    <cellStyle name="Hard Coded 7 5 4" xfId="21199"/>
    <cellStyle name="Hard Coded 7 6" xfId="21200"/>
    <cellStyle name="Hard Coded 7 6 2" xfId="21201"/>
    <cellStyle name="Hard Coded 7 6 2 2" xfId="21202"/>
    <cellStyle name="Hard Coded 7 6 2 3" xfId="21203"/>
    <cellStyle name="Hard Coded 7 6 3" xfId="21204"/>
    <cellStyle name="Hard Coded 7 6 4" xfId="21205"/>
    <cellStyle name="Hard Coded 7 7" xfId="21206"/>
    <cellStyle name="Hard Coded 7 7 2" xfId="21207"/>
    <cellStyle name="Hard Coded 7 7 2 2" xfId="21208"/>
    <cellStyle name="Hard Coded 7 7 2 3" xfId="21209"/>
    <cellStyle name="Hard Coded 7 7 3" xfId="21210"/>
    <cellStyle name="Hard Coded 7 7 4" xfId="21211"/>
    <cellStyle name="Hard Coded 7 8" xfId="21212"/>
    <cellStyle name="Hard Coded 7 9" xfId="21213"/>
    <cellStyle name="Hard Coded 8" xfId="21214"/>
    <cellStyle name="Hard Coded 8 2" xfId="21215"/>
    <cellStyle name="Hard Coded 8 2 2" xfId="21216"/>
    <cellStyle name="Hard Coded 8 2 2 2" xfId="21217"/>
    <cellStyle name="Hard Coded 8 2 2 2 2" xfId="21218"/>
    <cellStyle name="Hard Coded 8 2 2 2 2 2" xfId="21219"/>
    <cellStyle name="Hard Coded 8 2 2 2 2 3" xfId="21220"/>
    <cellStyle name="Hard Coded 8 2 2 2 3" xfId="21221"/>
    <cellStyle name="Hard Coded 8 2 2 2 4" xfId="21222"/>
    <cellStyle name="Hard Coded 8 2 2 3" xfId="21223"/>
    <cellStyle name="Hard Coded 8 2 2 3 2" xfId="21224"/>
    <cellStyle name="Hard Coded 8 2 2 3 2 2" xfId="21225"/>
    <cellStyle name="Hard Coded 8 2 2 3 2 3" xfId="21226"/>
    <cellStyle name="Hard Coded 8 2 2 3 3" xfId="21227"/>
    <cellStyle name="Hard Coded 8 2 2 3 4" xfId="21228"/>
    <cellStyle name="Hard Coded 8 2 2 4" xfId="21229"/>
    <cellStyle name="Hard Coded 8 2 3" xfId="21230"/>
    <cellStyle name="Hard Coded 8 2 3 2" xfId="21231"/>
    <cellStyle name="Hard Coded 8 2 3 2 2" xfId="21232"/>
    <cellStyle name="Hard Coded 8 2 3 2 2 2" xfId="21233"/>
    <cellStyle name="Hard Coded 8 2 3 2 2 3" xfId="21234"/>
    <cellStyle name="Hard Coded 8 2 3 2 3" xfId="21235"/>
    <cellStyle name="Hard Coded 8 2 3 2 4" xfId="21236"/>
    <cellStyle name="Hard Coded 8 2 3 3" xfId="21237"/>
    <cellStyle name="Hard Coded 8 2 3 3 2" xfId="21238"/>
    <cellStyle name="Hard Coded 8 2 3 3 3" xfId="21239"/>
    <cellStyle name="Hard Coded 8 2 3 4" xfId="21240"/>
    <cellStyle name="Hard Coded 8 2 4" xfId="21241"/>
    <cellStyle name="Hard Coded 8 2 4 2" xfId="21242"/>
    <cellStyle name="Hard Coded 8 2 4 2 2" xfId="21243"/>
    <cellStyle name="Hard Coded 8 2 4 2 3" xfId="21244"/>
    <cellStyle name="Hard Coded 8 2 4 3" xfId="21245"/>
    <cellStyle name="Hard Coded 8 2 4 4" xfId="21246"/>
    <cellStyle name="Hard Coded 8 2 5" xfId="21247"/>
    <cellStyle name="Hard Coded 8 3" xfId="21248"/>
    <cellStyle name="Hard Coded 8 3 2" xfId="21249"/>
    <cellStyle name="Hard Coded 8 3 2 2" xfId="21250"/>
    <cellStyle name="Hard Coded 8 3 2 2 2" xfId="21251"/>
    <cellStyle name="Hard Coded 8 3 2 2 2 2" xfId="21252"/>
    <cellStyle name="Hard Coded 8 3 2 2 2 3" xfId="21253"/>
    <cellStyle name="Hard Coded 8 3 2 2 3" xfId="21254"/>
    <cellStyle name="Hard Coded 8 3 2 2 4" xfId="21255"/>
    <cellStyle name="Hard Coded 8 3 2 3" xfId="21256"/>
    <cellStyle name="Hard Coded 8 3 2 3 2" xfId="21257"/>
    <cellStyle name="Hard Coded 8 3 2 3 2 2" xfId="21258"/>
    <cellStyle name="Hard Coded 8 3 2 3 2 3" xfId="21259"/>
    <cellStyle name="Hard Coded 8 3 2 3 3" xfId="21260"/>
    <cellStyle name="Hard Coded 8 3 2 3 4" xfId="21261"/>
    <cellStyle name="Hard Coded 8 3 2 4" xfId="21262"/>
    <cellStyle name="Hard Coded 8 3 3" xfId="21263"/>
    <cellStyle name="Hard Coded 8 3 3 2" xfId="21264"/>
    <cellStyle name="Hard Coded 8 3 3 2 2" xfId="21265"/>
    <cellStyle name="Hard Coded 8 3 3 2 2 2" xfId="21266"/>
    <cellStyle name="Hard Coded 8 3 3 2 2 3" xfId="21267"/>
    <cellStyle name="Hard Coded 8 3 3 2 3" xfId="21268"/>
    <cellStyle name="Hard Coded 8 3 3 2 4" xfId="21269"/>
    <cellStyle name="Hard Coded 8 3 3 3" xfId="21270"/>
    <cellStyle name="Hard Coded 8 3 3 3 2" xfId="21271"/>
    <cellStyle name="Hard Coded 8 3 3 3 3" xfId="21272"/>
    <cellStyle name="Hard Coded 8 3 3 4" xfId="21273"/>
    <cellStyle name="Hard Coded 8 3 4" xfId="21274"/>
    <cellStyle name="Hard Coded 8 3 4 2" xfId="21275"/>
    <cellStyle name="Hard Coded 8 3 4 2 2" xfId="21276"/>
    <cellStyle name="Hard Coded 8 3 4 2 3" xfId="21277"/>
    <cellStyle name="Hard Coded 8 3 4 3" xfId="21278"/>
    <cellStyle name="Hard Coded 8 3 4 4" xfId="21279"/>
    <cellStyle name="Hard Coded 8 3 5" xfId="21280"/>
    <cellStyle name="Hard Coded 8 4" xfId="21281"/>
    <cellStyle name="Hard Coded 8 4 2" xfId="21282"/>
    <cellStyle name="Hard Coded 8 4 2 2" xfId="21283"/>
    <cellStyle name="Hard Coded 8 4 2 2 2" xfId="21284"/>
    <cellStyle name="Hard Coded 8 4 2 2 2 2" xfId="21285"/>
    <cellStyle name="Hard Coded 8 4 2 2 2 3" xfId="21286"/>
    <cellStyle name="Hard Coded 8 4 2 2 3" xfId="21287"/>
    <cellStyle name="Hard Coded 8 4 2 2 4" xfId="21288"/>
    <cellStyle name="Hard Coded 8 4 2 3" xfId="21289"/>
    <cellStyle name="Hard Coded 8 4 2 3 2" xfId="21290"/>
    <cellStyle name="Hard Coded 8 4 2 3 3" xfId="21291"/>
    <cellStyle name="Hard Coded 8 4 2 4" xfId="21292"/>
    <cellStyle name="Hard Coded 8 4 3" xfId="21293"/>
    <cellStyle name="Hard Coded 8 4 3 2" xfId="21294"/>
    <cellStyle name="Hard Coded 8 4 3 2 2" xfId="21295"/>
    <cellStyle name="Hard Coded 8 4 3 2 2 2" xfId="21296"/>
    <cellStyle name="Hard Coded 8 4 3 2 2 3" xfId="21297"/>
    <cellStyle name="Hard Coded 8 4 3 2 3" xfId="21298"/>
    <cellStyle name="Hard Coded 8 4 3 2 4" xfId="21299"/>
    <cellStyle name="Hard Coded 8 4 3 3" xfId="21300"/>
    <cellStyle name="Hard Coded 8 4 3 3 2" xfId="21301"/>
    <cellStyle name="Hard Coded 8 4 3 3 3" xfId="21302"/>
    <cellStyle name="Hard Coded 8 4 3 4" xfId="21303"/>
    <cellStyle name="Hard Coded 8 4 4" xfId="21304"/>
    <cellStyle name="Hard Coded 8 4 4 2" xfId="21305"/>
    <cellStyle name="Hard Coded 8 4 4 2 2" xfId="21306"/>
    <cellStyle name="Hard Coded 8 4 4 2 3" xfId="21307"/>
    <cellStyle name="Hard Coded 8 4 4 3" xfId="21308"/>
    <cellStyle name="Hard Coded 8 4 4 4" xfId="21309"/>
    <cellStyle name="Hard Coded 8 4 5" xfId="21310"/>
    <cellStyle name="Hard Coded 8 4 6" xfId="21311"/>
    <cellStyle name="Hard Coded 8 5" xfId="21312"/>
    <cellStyle name="Hard Coded 8 5 2" xfId="21313"/>
    <cellStyle name="Hard Coded 8 5 2 2" xfId="21314"/>
    <cellStyle name="Hard Coded 8 5 2 2 2" xfId="21315"/>
    <cellStyle name="Hard Coded 8 5 2 2 3" xfId="21316"/>
    <cellStyle name="Hard Coded 8 5 2 3" xfId="21317"/>
    <cellStyle name="Hard Coded 8 5 2 4" xfId="21318"/>
    <cellStyle name="Hard Coded 8 5 3" xfId="21319"/>
    <cellStyle name="Hard Coded 8 5 3 2" xfId="21320"/>
    <cellStyle name="Hard Coded 8 5 3 3" xfId="21321"/>
    <cellStyle name="Hard Coded 8 5 4" xfId="21322"/>
    <cellStyle name="Hard Coded 8 6" xfId="21323"/>
    <cellStyle name="Hard Coded 8 6 2" xfId="21324"/>
    <cellStyle name="Hard Coded 8 6 2 2" xfId="21325"/>
    <cellStyle name="Hard Coded 8 6 2 2 2" xfId="21326"/>
    <cellStyle name="Hard Coded 8 6 2 2 3" xfId="21327"/>
    <cellStyle name="Hard Coded 8 6 2 3" xfId="21328"/>
    <cellStyle name="Hard Coded 8 6 2 4" xfId="21329"/>
    <cellStyle name="Hard Coded 8 6 3" xfId="21330"/>
    <cellStyle name="Hard Coded 8 6 3 2" xfId="21331"/>
    <cellStyle name="Hard Coded 8 6 3 3" xfId="21332"/>
    <cellStyle name="Hard Coded 8 6 4" xfId="21333"/>
    <cellStyle name="Hard Coded 8 7" xfId="21334"/>
    <cellStyle name="Hard Coded 9" xfId="21335"/>
    <cellStyle name="Hard Coded 9 2" xfId="21336"/>
    <cellStyle name="Hard Coded 9 2 2" xfId="21337"/>
    <cellStyle name="Hard Coded 9 2 2 2" xfId="21338"/>
    <cellStyle name="Hard Coded 9 2 2 2 2" xfId="21339"/>
    <cellStyle name="Hard Coded 9 2 2 2 3" xfId="21340"/>
    <cellStyle name="Hard Coded 9 2 2 3" xfId="21341"/>
    <cellStyle name="Hard Coded 9 2 2 4" xfId="21342"/>
    <cellStyle name="Hard Coded 9 2 3" xfId="21343"/>
    <cellStyle name="Hard Coded 9 2 3 2" xfId="21344"/>
    <cellStyle name="Hard Coded 9 2 3 2 2" xfId="21345"/>
    <cellStyle name="Hard Coded 9 2 3 2 3" xfId="21346"/>
    <cellStyle name="Hard Coded 9 2 3 3" xfId="21347"/>
    <cellStyle name="Hard Coded 9 2 3 4" xfId="21348"/>
    <cellStyle name="Hard Coded 9 2 4" xfId="21349"/>
    <cellStyle name="Hard Coded 9 3" xfId="21350"/>
    <cellStyle name="Hard Coded 9 3 2" xfId="21351"/>
    <cellStyle name="Hard Coded 9 3 2 2" xfId="21352"/>
    <cellStyle name="Hard Coded 9 3 2 2 2" xfId="21353"/>
    <cellStyle name="Hard Coded 9 3 2 2 3" xfId="21354"/>
    <cellStyle name="Hard Coded 9 3 2 3" xfId="21355"/>
    <cellStyle name="Hard Coded 9 3 2 4" xfId="21356"/>
    <cellStyle name="Hard Coded 9 3 3" xfId="21357"/>
    <cellStyle name="Hard Coded 9 3 3 2" xfId="21358"/>
    <cellStyle name="Hard Coded 9 3 3 3" xfId="21359"/>
    <cellStyle name="Hard Coded 9 3 4" xfId="21360"/>
    <cellStyle name="Hard Coded 9 4" xfId="21361"/>
    <cellStyle name="Hard Coded 9 4 2" xfId="21362"/>
    <cellStyle name="Hard Coded 9 4 2 2" xfId="21363"/>
    <cellStyle name="Hard Coded 9 4 2 3" xfId="21364"/>
    <cellStyle name="Hard Coded 9 4 3" xfId="21365"/>
    <cellStyle name="Hard Coded 9 4 4" xfId="21366"/>
    <cellStyle name="Hard Coded 9 5" xfId="21367"/>
    <cellStyle name="Hard Coded 9 5 2" xfId="21368"/>
    <cellStyle name="Hard Coded 9 5 2 2" xfId="21369"/>
    <cellStyle name="Hard Coded 9 5 2 3" xfId="21370"/>
    <cellStyle name="Hard Coded 9 5 3" xfId="21371"/>
    <cellStyle name="Hard Coded 9 5 4" xfId="21372"/>
    <cellStyle name="Hard Coded 9 6" xfId="21373"/>
    <cellStyle name="Hard Coded 9 6 2" xfId="21374"/>
    <cellStyle name="Hard Coded 9 6 2 2" xfId="21375"/>
    <cellStyle name="Hard Coded 9 6 2 3" xfId="21376"/>
    <cellStyle name="Hard Coded 9 6 3" xfId="21377"/>
    <cellStyle name="Hard Coded 9 6 3 2" xfId="21378"/>
    <cellStyle name="Hard Coded 9 6 3 3" xfId="21379"/>
    <cellStyle name="Hard Coded 9 6 4" xfId="21380"/>
    <cellStyle name="Hard Coded 9 7" xfId="21381"/>
    <cellStyle name="Header1" xfId="21382"/>
    <cellStyle name="Header1 2" xfId="21383"/>
    <cellStyle name="Header1 2 10" xfId="21384"/>
    <cellStyle name="Header1 2 2" xfId="21385"/>
    <cellStyle name="Header1 2 2 2" xfId="21386"/>
    <cellStyle name="Header1 2 2 2 2" xfId="21387"/>
    <cellStyle name="Header1 2 2 3" xfId="21388"/>
    <cellStyle name="Header1 2 2 4" xfId="21389"/>
    <cellStyle name="Header1 2 2 5" xfId="21390"/>
    <cellStyle name="Header1 2 2 6" xfId="21391"/>
    <cellStyle name="Header1 2 2 7" xfId="21392"/>
    <cellStyle name="Header1 2 2 8" xfId="21393"/>
    <cellStyle name="Header1 2 2 9" xfId="21394"/>
    <cellStyle name="Header1 2 3" xfId="21395"/>
    <cellStyle name="Header1 2 3 2" xfId="21396"/>
    <cellStyle name="Header1 2 3 2 2" xfId="21397"/>
    <cellStyle name="Header1 2 3 3" xfId="21398"/>
    <cellStyle name="Header1 2 3 4" xfId="21399"/>
    <cellStyle name="Header1 2 3 5" xfId="21400"/>
    <cellStyle name="Header1 2 3 6" xfId="21401"/>
    <cellStyle name="Header1 2 3 7" xfId="21402"/>
    <cellStyle name="Header1 2 3 8" xfId="21403"/>
    <cellStyle name="Header1 2 4" xfId="21404"/>
    <cellStyle name="Header1 2 5" xfId="21405"/>
    <cellStyle name="Header1 2 6" xfId="21406"/>
    <cellStyle name="Header1 2 7" xfId="21407"/>
    <cellStyle name="Header1 2 8" xfId="21408"/>
    <cellStyle name="Header1 2 9" xfId="21409"/>
    <cellStyle name="Header1 3" xfId="21410"/>
    <cellStyle name="Header1 3 2" xfId="21411"/>
    <cellStyle name="Header1 3 2 2" xfId="21412"/>
    <cellStyle name="Header1 3 3" xfId="21413"/>
    <cellStyle name="Header1 3 4" xfId="21414"/>
    <cellStyle name="Header1 3 5" xfId="21415"/>
    <cellStyle name="Header1 3 6" xfId="21416"/>
    <cellStyle name="Header1 3 7" xfId="21417"/>
    <cellStyle name="Header1 3 8" xfId="21418"/>
    <cellStyle name="Header1 3 9" xfId="21419"/>
    <cellStyle name="Header1 4" xfId="21420"/>
    <cellStyle name="Header1 4 2" xfId="21421"/>
    <cellStyle name="Header1 4 2 2" xfId="21422"/>
    <cellStyle name="Header1 4 3" xfId="21423"/>
    <cellStyle name="Header1 4 4" xfId="21424"/>
    <cellStyle name="Header1 4 5" xfId="21425"/>
    <cellStyle name="Header1 4 6" xfId="21426"/>
    <cellStyle name="Header1 4 7" xfId="21427"/>
    <cellStyle name="Header1 4 8" xfId="21428"/>
    <cellStyle name="Header1 5" xfId="21429"/>
    <cellStyle name="Header1 5 2" xfId="21430"/>
    <cellStyle name="Header1 5 2 2" xfId="21431"/>
    <cellStyle name="Header1 5 3" xfId="21432"/>
    <cellStyle name="Header1 5 4" xfId="21433"/>
    <cellStyle name="Header1 5 5" xfId="21434"/>
    <cellStyle name="Header1 5 6" xfId="21435"/>
    <cellStyle name="Header1 5 7" xfId="21436"/>
    <cellStyle name="Header1 6" xfId="21437"/>
    <cellStyle name="Header2" xfId="21438"/>
    <cellStyle name="Heading" xfId="21439"/>
    <cellStyle name="Heading 1" xfId="35667" builtinId="16" customBuiltin="1"/>
    <cellStyle name="Heading 1 2" xfId="64"/>
    <cellStyle name="Heading 1 2 10" xfId="35752"/>
    <cellStyle name="Heading 1 2 11" xfId="35815"/>
    <cellStyle name="Heading 1 2 2" xfId="21441"/>
    <cellStyle name="Heading 1 2 2 2" xfId="21442"/>
    <cellStyle name="Heading 1 2 2 3" xfId="21443"/>
    <cellStyle name="Heading 1 2 2 4" xfId="21444"/>
    <cellStyle name="Heading 1 2 2 5" xfId="35816"/>
    <cellStyle name="Heading 1 2 3" xfId="21445"/>
    <cellStyle name="Heading 1 2 3 2" xfId="21446"/>
    <cellStyle name="Heading 1 2 4" xfId="21447"/>
    <cellStyle name="Heading 1 2 5" xfId="21448"/>
    <cellStyle name="Heading 1 2 6" xfId="21449"/>
    <cellStyle name="Heading 1 2 6 2" xfId="21450"/>
    <cellStyle name="Heading 1 2 7" xfId="21451"/>
    <cellStyle name="Heading 1 2 8" xfId="35584"/>
    <cellStyle name="Heading 1 2 9" xfId="21440"/>
    <cellStyle name="Heading 1 3" xfId="159"/>
    <cellStyle name="Heading 1 3 2" xfId="21453"/>
    <cellStyle name="Heading 1 3 3" xfId="21454"/>
    <cellStyle name="Heading 1 3 4" xfId="21455"/>
    <cellStyle name="Heading 1 3 5" xfId="35585"/>
    <cellStyle name="Heading 1 3 6" xfId="21452"/>
    <cellStyle name="Heading 1 3 7" xfId="35711"/>
    <cellStyle name="Heading 1 3 8" xfId="35817"/>
    <cellStyle name="Heading 1 4" xfId="285"/>
    <cellStyle name="Heading 1 4 2" xfId="21457"/>
    <cellStyle name="Heading 1 4 3" xfId="21458"/>
    <cellStyle name="Heading 1 4 4" xfId="35586"/>
    <cellStyle name="Heading 1 4 5" xfId="21456"/>
    <cellStyle name="Heading 1 5" xfId="21459"/>
    <cellStyle name="Heading 1 6" xfId="21460"/>
    <cellStyle name="Heading 1 7" xfId="21461"/>
    <cellStyle name="Heading 1 8" xfId="21462"/>
    <cellStyle name="Heading 1 9" xfId="21463"/>
    <cellStyle name="Heading 2" xfId="35668" builtinId="17" customBuiltin="1"/>
    <cellStyle name="Heading 2 2" xfId="65"/>
    <cellStyle name="Heading 2 2 10" xfId="35587"/>
    <cellStyle name="Heading 2 2 11" xfId="21464"/>
    <cellStyle name="Heading 2 2 12" xfId="35753"/>
    <cellStyle name="Heading 2 2 13" xfId="35818"/>
    <cellStyle name="Heading 2 2 2" xfId="21465"/>
    <cellStyle name="Heading 2 2 2 2" xfId="21466"/>
    <cellStyle name="Heading 2 2 2 3" xfId="21467"/>
    <cellStyle name="Heading 2 2 2 4" xfId="21468"/>
    <cellStyle name="Heading 2 2 2 5" xfId="35819"/>
    <cellStyle name="Heading 2 2 3" xfId="21469"/>
    <cellStyle name="Heading 2 2 3 2" xfId="21470"/>
    <cellStyle name="Heading 2 2 3 3" xfId="21471"/>
    <cellStyle name="Heading 2 2 4" xfId="21472"/>
    <cellStyle name="Heading 2 2 4 2" xfId="21473"/>
    <cellStyle name="Heading 2 2 4 3" xfId="21474"/>
    <cellStyle name="Heading 2 2 5" xfId="21475"/>
    <cellStyle name="Heading 2 2 6" xfId="21476"/>
    <cellStyle name="Heading 2 2 7" xfId="21477"/>
    <cellStyle name="Heading 2 2 8" xfId="21478"/>
    <cellStyle name="Heading 2 2 9" xfId="21479"/>
    <cellStyle name="Heading 2 3" xfId="160"/>
    <cellStyle name="Heading 2 3 2" xfId="21481"/>
    <cellStyle name="Heading 2 3 3" xfId="21482"/>
    <cellStyle name="Heading 2 3 4" xfId="35588"/>
    <cellStyle name="Heading 2 3 5" xfId="21480"/>
    <cellStyle name="Heading 2 3 6" xfId="35820"/>
    <cellStyle name="Heading 2 4" xfId="286"/>
    <cellStyle name="Heading 2 4 2" xfId="21484"/>
    <cellStyle name="Heading 2 4 3" xfId="21485"/>
    <cellStyle name="Heading 2 4 4" xfId="21486"/>
    <cellStyle name="Heading 2 4 5" xfId="35589"/>
    <cellStyle name="Heading 2 4 6" xfId="21483"/>
    <cellStyle name="Heading 2 5" xfId="21487"/>
    <cellStyle name="Heading 2 5 2" xfId="21488"/>
    <cellStyle name="Heading 2 6" xfId="21489"/>
    <cellStyle name="Heading 2 6 2" xfId="21490"/>
    <cellStyle name="Heading 2 7" xfId="21491"/>
    <cellStyle name="Heading 2 8" xfId="21492"/>
    <cellStyle name="Heading 2 8 2" xfId="21493"/>
    <cellStyle name="Heading 2 9" xfId="21494"/>
    <cellStyle name="Heading 2 Input" xfId="35729"/>
    <cellStyle name="Heading 2 Output" xfId="35730"/>
    <cellStyle name="Heading 3" xfId="35669" builtinId="18" customBuiltin="1"/>
    <cellStyle name="Heading 3 2" xfId="66"/>
    <cellStyle name="Heading 3 2 10" xfId="35590"/>
    <cellStyle name="Heading 3 2 11" xfId="21495"/>
    <cellStyle name="Heading 3 2 2" xfId="21496"/>
    <cellStyle name="Heading 3 2 2 2" xfId="21497"/>
    <cellStyle name="Heading 3 2 2 2 2" xfId="21498"/>
    <cellStyle name="Heading 3 2 2 2 2 2" xfId="21499"/>
    <cellStyle name="Heading 3 2 2 2 2 2 2" xfId="21500"/>
    <cellStyle name="Heading 3 2 2 2 2 2 3" xfId="35948"/>
    <cellStyle name="Heading 3 2 2 2 2 3" xfId="21501"/>
    <cellStyle name="Heading 3 2 2 2 2 3 2" xfId="35949"/>
    <cellStyle name="Heading 3 2 2 2 2 4" xfId="35950"/>
    <cellStyle name="Heading 3 2 2 2 2 5" xfId="35947"/>
    <cellStyle name="Heading 3 2 2 2 3" xfId="21502"/>
    <cellStyle name="Heading 3 2 2 2 3 2" xfId="21503"/>
    <cellStyle name="Heading 3 2 2 2 3 3" xfId="35951"/>
    <cellStyle name="Heading 3 2 2 2 4" xfId="35952"/>
    <cellStyle name="Heading 3 2 2 2 5" xfId="35953"/>
    <cellStyle name="Heading 3 2 2 2 6" xfId="35905"/>
    <cellStyle name="Heading 3 2 2 3" xfId="21504"/>
    <cellStyle name="Heading 3 2 2 3 2" xfId="21505"/>
    <cellStyle name="Heading 3 2 2 3 2 2" xfId="21506"/>
    <cellStyle name="Heading 3 2 2 3 2 2 2" xfId="35956"/>
    <cellStyle name="Heading 3 2 2 3 2 3" xfId="35957"/>
    <cellStyle name="Heading 3 2 2 3 2 4" xfId="35958"/>
    <cellStyle name="Heading 3 2 2 3 2 5" xfId="35955"/>
    <cellStyle name="Heading 3 2 2 3 3" xfId="21507"/>
    <cellStyle name="Heading 3 2 2 3 3 2" xfId="35959"/>
    <cellStyle name="Heading 3 2 2 3 4" xfId="35960"/>
    <cellStyle name="Heading 3 2 2 3 5" xfId="35961"/>
    <cellStyle name="Heading 3 2 2 3 6" xfId="35954"/>
    <cellStyle name="Heading 3 2 2 4" xfId="21508"/>
    <cellStyle name="Heading 3 2 2 4 2" xfId="21509"/>
    <cellStyle name="Heading 3 2 2 4 2 2" xfId="21510"/>
    <cellStyle name="Heading 3 2 2 4 2 3" xfId="35963"/>
    <cellStyle name="Heading 3 2 2 4 3" xfId="21511"/>
    <cellStyle name="Heading 3 2 2 4 3 2" xfId="35964"/>
    <cellStyle name="Heading 3 2 2 4 4" xfId="35965"/>
    <cellStyle name="Heading 3 2 2 4 5" xfId="35962"/>
    <cellStyle name="Heading 3 2 2 5" xfId="21512"/>
    <cellStyle name="Heading 3 2 2 5 2" xfId="21513"/>
    <cellStyle name="Heading 3 2 2 5 2 2" xfId="21514"/>
    <cellStyle name="Heading 3 2 2 5 2 3" xfId="35967"/>
    <cellStyle name="Heading 3 2 2 5 3" xfId="21515"/>
    <cellStyle name="Heading 3 2 2 5 3 2" xfId="35968"/>
    <cellStyle name="Heading 3 2 2 5 4" xfId="35966"/>
    <cellStyle name="Heading 3 2 2 6" xfId="21516"/>
    <cellStyle name="Heading 3 2 2 6 2" xfId="21517"/>
    <cellStyle name="Heading 3 2 2 7" xfId="35821"/>
    <cellStyle name="Heading 3 2 3" xfId="21518"/>
    <cellStyle name="Heading 3 2 3 2" xfId="21519"/>
    <cellStyle name="Heading 3 2 3 2 2" xfId="21520"/>
    <cellStyle name="Heading 3 2 3 2 2 2" xfId="21521"/>
    <cellStyle name="Heading 3 2 3 2 3" xfId="21522"/>
    <cellStyle name="Heading 3 2 3 3" xfId="35822"/>
    <cellStyle name="Heading 3 2 4" xfId="21523"/>
    <cellStyle name="Heading 3 2 4 2" xfId="21524"/>
    <cellStyle name="Heading 3 2 4 2 2" xfId="21525"/>
    <cellStyle name="Heading 3 2 4 2 2 2" xfId="35970"/>
    <cellStyle name="Heading 3 2 4 2 3" xfId="35971"/>
    <cellStyle name="Heading 3 2 4 2 4" xfId="35972"/>
    <cellStyle name="Heading 3 2 4 2 5" xfId="35969"/>
    <cellStyle name="Heading 3 2 4 3" xfId="35973"/>
    <cellStyle name="Heading 3 2 4 4" xfId="35974"/>
    <cellStyle name="Heading 3 2 4 5" xfId="35975"/>
    <cellStyle name="Heading 3 2 4 6" xfId="35904"/>
    <cellStyle name="Heading 3 2 5" xfId="21526"/>
    <cellStyle name="Heading 3 2 5 2" xfId="21527"/>
    <cellStyle name="Heading 3 2 5 2 2" xfId="21528"/>
    <cellStyle name="Heading 3 2 5 2 2 2" xfId="21529"/>
    <cellStyle name="Heading 3 2 5 2 2 3" xfId="35978"/>
    <cellStyle name="Heading 3 2 5 2 3" xfId="21530"/>
    <cellStyle name="Heading 3 2 5 2 3 2" xfId="35979"/>
    <cellStyle name="Heading 3 2 5 2 4" xfId="35980"/>
    <cellStyle name="Heading 3 2 5 2 5" xfId="35977"/>
    <cellStyle name="Heading 3 2 5 3" xfId="21531"/>
    <cellStyle name="Heading 3 2 5 3 2" xfId="21532"/>
    <cellStyle name="Heading 3 2 5 3 3" xfId="35981"/>
    <cellStyle name="Heading 3 2 5 4" xfId="35982"/>
    <cellStyle name="Heading 3 2 5 5" xfId="35983"/>
    <cellStyle name="Heading 3 2 5 6" xfId="35976"/>
    <cellStyle name="Heading 3 2 6" xfId="21533"/>
    <cellStyle name="Heading 3 2 6 2" xfId="21534"/>
    <cellStyle name="Heading 3 2 6 2 2" xfId="21535"/>
    <cellStyle name="Heading 3 2 6 2 3" xfId="35985"/>
    <cellStyle name="Heading 3 2 6 3" xfId="21536"/>
    <cellStyle name="Heading 3 2 6 3 2" xfId="35986"/>
    <cellStyle name="Heading 3 2 6 4" xfId="35987"/>
    <cellStyle name="Heading 3 2 6 5" xfId="35984"/>
    <cellStyle name="Heading 3 2 7" xfId="21537"/>
    <cellStyle name="Heading 3 2 7 2" xfId="21538"/>
    <cellStyle name="Heading 3 2 7 2 2" xfId="21539"/>
    <cellStyle name="Heading 3 2 7 2 3" xfId="35989"/>
    <cellStyle name="Heading 3 2 7 3" xfId="35990"/>
    <cellStyle name="Heading 3 2 7 4" xfId="35988"/>
    <cellStyle name="Heading 3 2 8" xfId="21540"/>
    <cellStyle name="Heading 3 2 8 2" xfId="21541"/>
    <cellStyle name="Heading 3 2 8 2 2" xfId="21542"/>
    <cellStyle name="Heading 3 2 8 3" xfId="21543"/>
    <cellStyle name="Heading 3 2 9" xfId="21544"/>
    <cellStyle name="Heading 3 2 9 2" xfId="21545"/>
    <cellStyle name="Heading 3 3" xfId="161"/>
    <cellStyle name="Heading 3 3 2" xfId="21547"/>
    <cellStyle name="Heading 3 3 2 2" xfId="21548"/>
    <cellStyle name="Heading 3 3 2 2 2" xfId="21549"/>
    <cellStyle name="Heading 3 3 3" xfId="21550"/>
    <cellStyle name="Heading 3 3 3 2" xfId="21551"/>
    <cellStyle name="Heading 3 3 3 2 2" xfId="21552"/>
    <cellStyle name="Heading 3 3 3 3" xfId="21553"/>
    <cellStyle name="Heading 3 3 4" xfId="21554"/>
    <cellStyle name="Heading 3 3 4 2" xfId="21555"/>
    <cellStyle name="Heading 3 3 4 2 2" xfId="21556"/>
    <cellStyle name="Heading 3 3 4 3" xfId="21557"/>
    <cellStyle name="Heading 3 3 5" xfId="21558"/>
    <cellStyle name="Heading 3 3 5 2" xfId="21559"/>
    <cellStyle name="Heading 3 3 5 2 2" xfId="21560"/>
    <cellStyle name="Heading 3 3 5 3" xfId="21561"/>
    <cellStyle name="Heading 3 3 6" xfId="21562"/>
    <cellStyle name="Heading 3 3 6 2" xfId="21563"/>
    <cellStyle name="Heading 3 3 7" xfId="35591"/>
    <cellStyle name="Heading 3 3 8" xfId="21546"/>
    <cellStyle name="Heading 3 3 9" xfId="35823"/>
    <cellStyle name="Heading 3 4" xfId="287"/>
    <cellStyle name="Heading 3 4 2" xfId="21565"/>
    <cellStyle name="Heading 3 4 2 2" xfId="21566"/>
    <cellStyle name="Heading 3 4 2 2 2" xfId="21567"/>
    <cellStyle name="Heading 3 4 2 3" xfId="21568"/>
    <cellStyle name="Heading 3 4 3" xfId="21569"/>
    <cellStyle name="Heading 3 4 4" xfId="35592"/>
    <cellStyle name="Heading 3 4 5" xfId="21564"/>
    <cellStyle name="Heading 3 5" xfId="21570"/>
    <cellStyle name="Heading 3 5 2" xfId="21571"/>
    <cellStyle name="Heading 3 5 2 2" xfId="21572"/>
    <cellStyle name="Heading 3 5 2 2 2" xfId="21573"/>
    <cellStyle name="Heading 3 5 2 3" xfId="21574"/>
    <cellStyle name="Heading 3 5 3" xfId="21575"/>
    <cellStyle name="Heading 3 5 3 2" xfId="21576"/>
    <cellStyle name="Heading 3 6" xfId="21577"/>
    <cellStyle name="Heading 3 6 2" xfId="21578"/>
    <cellStyle name="Heading 3 6 2 2" xfId="21579"/>
    <cellStyle name="Heading 3 7" xfId="21580"/>
    <cellStyle name="Heading 3 7 2" xfId="21581"/>
    <cellStyle name="Heading 3 7 2 2" xfId="21582"/>
    <cellStyle name="Heading 3 7 3" xfId="21583"/>
    <cellStyle name="Heading 3 8" xfId="21584"/>
    <cellStyle name="Heading 3 8 2" xfId="21585"/>
    <cellStyle name="Heading 3 8 2 2" xfId="21586"/>
    <cellStyle name="Heading 3 8 3" xfId="21587"/>
    <cellStyle name="Heading 3 9" xfId="21588"/>
    <cellStyle name="Heading 3 Input" xfId="35726"/>
    <cellStyle name="Heading 3 Output" xfId="35708"/>
    <cellStyle name="Heading 3 Output 2" xfId="35751"/>
    <cellStyle name="Heading 3 Output 3" xfId="35727"/>
    <cellStyle name="Heading 4" xfId="35670" builtinId="19" customBuiltin="1"/>
    <cellStyle name="Heading 4 2" xfId="67"/>
    <cellStyle name="Heading 4 2 2" xfId="21590"/>
    <cellStyle name="Heading 4 2 2 2" xfId="21591"/>
    <cellStyle name="Heading 4 2 2 3" xfId="21592"/>
    <cellStyle name="Heading 4 2 2 4" xfId="21593"/>
    <cellStyle name="Heading 4 2 2 5" xfId="35825"/>
    <cellStyle name="Heading 4 2 3" xfId="21594"/>
    <cellStyle name="Heading 4 2 3 2" xfId="21595"/>
    <cellStyle name="Heading 4 2 4" xfId="21596"/>
    <cellStyle name="Heading 4 2 5" xfId="21597"/>
    <cellStyle name="Heading 4 2 6" xfId="21598"/>
    <cellStyle name="Heading 4 2 6 2" xfId="21599"/>
    <cellStyle name="Heading 4 2 7" xfId="21600"/>
    <cellStyle name="Heading 4 2 8" xfId="21589"/>
    <cellStyle name="Heading 4 2 9" xfId="35824"/>
    <cellStyle name="Heading 4 3" xfId="162"/>
    <cellStyle name="Heading 4 3 2" xfId="21602"/>
    <cellStyle name="Heading 4 3 3" xfId="21603"/>
    <cellStyle name="Heading 4 3 4" xfId="21604"/>
    <cellStyle name="Heading 4 3 5" xfId="21601"/>
    <cellStyle name="Heading 4 3 6" xfId="35826"/>
    <cellStyle name="Heading 4 4" xfId="288"/>
    <cellStyle name="Heading 4 4 2" xfId="21606"/>
    <cellStyle name="Heading 4 4 3" xfId="21607"/>
    <cellStyle name="Heading 4 4 4" xfId="35593"/>
    <cellStyle name="Heading 4 4 5" xfId="21605"/>
    <cellStyle name="Heading 4 5" xfId="21608"/>
    <cellStyle name="Heading 4 6" xfId="21609"/>
    <cellStyle name="Heading 4 7" xfId="21610"/>
    <cellStyle name="Heading 4 8" xfId="21611"/>
    <cellStyle name="Heading 4 Assumptions" xfId="35707"/>
    <cellStyle name="Heading 4 Input" xfId="35728"/>
    <cellStyle name="Heading 4 Input 2" xfId="35755"/>
    <cellStyle name="Heading 4 Output" xfId="35709"/>
    <cellStyle name="Heading 5" xfId="21612"/>
    <cellStyle name="Heading 6" xfId="21613"/>
    <cellStyle name="Heading 7" xfId="21614"/>
    <cellStyle name="Heading(4)" xfId="35827"/>
    <cellStyle name="Heading1" xfId="289"/>
    <cellStyle name="Heading2" xfId="290"/>
    <cellStyle name="Heading3" xfId="291"/>
    <cellStyle name="HeadingTitle" xfId="21615"/>
    <cellStyle name="HeadingTitle 2" xfId="21616"/>
    <cellStyle name="Hyperlink" xfId="36131" builtinId="8"/>
    <cellStyle name="Hyperlink 2" xfId="81"/>
    <cellStyle name="Hyperlink 2 2" xfId="21618"/>
    <cellStyle name="Hyperlink 2 2 2" xfId="21619"/>
    <cellStyle name="Hyperlink 2 2 3" xfId="35918"/>
    <cellStyle name="Hyperlink 2 3" xfId="21620"/>
    <cellStyle name="Hyperlink 2 3 2" xfId="35991"/>
    <cellStyle name="Hyperlink 2 4" xfId="35653"/>
    <cellStyle name="Hyperlink 2 5" xfId="21617"/>
    <cellStyle name="Hyperlink 2 6" xfId="35724"/>
    <cellStyle name="Hyperlink 2 7" xfId="35828"/>
    <cellStyle name="Hyperlink 3" xfId="21621"/>
    <cellStyle name="Hyperlink 3 2" xfId="21622"/>
    <cellStyle name="Hyperlink 3 3" xfId="21623"/>
    <cellStyle name="Hyperlink 3 4" xfId="35992"/>
    <cellStyle name="Hyperlink 4" xfId="21624"/>
    <cellStyle name="Hyperlink 4 2" xfId="35993"/>
    <cellStyle name="Hyperlink Arrow" xfId="35829"/>
    <cellStyle name="Hyperlink Text" xfId="35830"/>
    <cellStyle name="if0 -InpFixed" xfId="21625"/>
    <cellStyle name="Import" xfId="21626"/>
    <cellStyle name="import 2" xfId="35919"/>
    <cellStyle name="Import%" xfId="21627"/>
    <cellStyle name="import% 2" xfId="35920"/>
    <cellStyle name="import_ICRC Electricity model 1-1  (1 Feb 2003) " xfId="28"/>
    <cellStyle name="Inconsistant formula" xfId="292"/>
    <cellStyle name="Input" xfId="35674" builtinId="20" customBuiltin="1"/>
    <cellStyle name="Input - Macro Pasted" xfId="293"/>
    <cellStyle name="Input - Manual" xfId="294"/>
    <cellStyle name="Input - Manual Data Dump" xfId="295"/>
    <cellStyle name="Input [yellow]" xfId="21628"/>
    <cellStyle name="Input 10" xfId="21629"/>
    <cellStyle name="Input 10 2" xfId="21630"/>
    <cellStyle name="Input 10 2 2" xfId="21631"/>
    <cellStyle name="Input 10 3" xfId="21632"/>
    <cellStyle name="Input 11" xfId="21633"/>
    <cellStyle name="Input 11 2" xfId="21634"/>
    <cellStyle name="Input 11 2 2" xfId="21635"/>
    <cellStyle name="Input 11 3" xfId="21636"/>
    <cellStyle name="Input 12" xfId="21637"/>
    <cellStyle name="Input 12 2" xfId="21638"/>
    <cellStyle name="Input 12 2 2" xfId="21639"/>
    <cellStyle name="Input 12 3" xfId="21640"/>
    <cellStyle name="Input 13" xfId="21641"/>
    <cellStyle name="Input 13 2" xfId="21642"/>
    <cellStyle name="Input 13 2 2" xfId="21643"/>
    <cellStyle name="Input 13 3" xfId="21644"/>
    <cellStyle name="Input 14" xfId="21645"/>
    <cellStyle name="Input 14 2" xfId="21646"/>
    <cellStyle name="Input 14 2 2" xfId="21647"/>
    <cellStyle name="Input 14 3" xfId="21648"/>
    <cellStyle name="Input 15" xfId="21649"/>
    <cellStyle name="Input 15 2" xfId="21650"/>
    <cellStyle name="Input 15 2 2" xfId="21651"/>
    <cellStyle name="Input 15 3" xfId="21652"/>
    <cellStyle name="Input 16" xfId="21653"/>
    <cellStyle name="Input 16 2" xfId="21654"/>
    <cellStyle name="Input 16 2 2" xfId="21655"/>
    <cellStyle name="Input 16 3" xfId="21656"/>
    <cellStyle name="Input 17" xfId="21657"/>
    <cellStyle name="Input 17 2" xfId="21658"/>
    <cellStyle name="Input 17 2 2" xfId="21659"/>
    <cellStyle name="Input 17 3" xfId="21660"/>
    <cellStyle name="Input 18" xfId="21661"/>
    <cellStyle name="Input 18 2" xfId="21662"/>
    <cellStyle name="Input 18 2 2" xfId="21663"/>
    <cellStyle name="Input 18 3" xfId="21664"/>
    <cellStyle name="Input 19" xfId="21665"/>
    <cellStyle name="Input 19 2" xfId="21666"/>
    <cellStyle name="Input 19 2 2" xfId="21667"/>
    <cellStyle name="Input 19 3" xfId="21668"/>
    <cellStyle name="Input 2" xfId="68"/>
    <cellStyle name="Input 2 10" xfId="21670"/>
    <cellStyle name="Input 2 10 2" xfId="21671"/>
    <cellStyle name="Input 2 10 2 2" xfId="21672"/>
    <cellStyle name="Input 2 10 3" xfId="21673"/>
    <cellStyle name="Input 2 10 3 2" xfId="21674"/>
    <cellStyle name="Input 2 10 4" xfId="21675"/>
    <cellStyle name="Input 2 11" xfId="21676"/>
    <cellStyle name="Input 2 11 2" xfId="21677"/>
    <cellStyle name="Input 2 11 2 2" xfId="21678"/>
    <cellStyle name="Input 2 11 3" xfId="21679"/>
    <cellStyle name="Input 2 12" xfId="21669"/>
    <cellStyle name="Input 2 2" xfId="82"/>
    <cellStyle name="Input 2 2 10" xfId="21681"/>
    <cellStyle name="Input 2 2 10 2" xfId="21682"/>
    <cellStyle name="Input 2 2 10 2 2" xfId="21683"/>
    <cellStyle name="Input 2 2 10 3" xfId="21684"/>
    <cellStyle name="Input 2 2 11" xfId="21685"/>
    <cellStyle name="Input 2 2 11 2" xfId="21686"/>
    <cellStyle name="Input 2 2 12" xfId="21687"/>
    <cellStyle name="Input 2 2 13" xfId="21680"/>
    <cellStyle name="Input 2 2 2" xfId="21688"/>
    <cellStyle name="Input 2 2 2 2" xfId="21689"/>
    <cellStyle name="Input 2 2 2 2 2" xfId="21690"/>
    <cellStyle name="Input 2 2 2 2 2 2" xfId="21691"/>
    <cellStyle name="Input 2 2 2 2 2 2 2" xfId="21692"/>
    <cellStyle name="Input 2 2 2 2 2 3" xfId="21693"/>
    <cellStyle name="Input 2 2 2 2 2 3 2" xfId="21694"/>
    <cellStyle name="Input 2 2 2 2 2 4" xfId="21695"/>
    <cellStyle name="Input 2 2 2 2 3" xfId="21696"/>
    <cellStyle name="Input 2 2 2 2 3 2" xfId="21697"/>
    <cellStyle name="Input 2 2 2 2 3 2 2" xfId="21698"/>
    <cellStyle name="Input 2 2 2 2 3 3" xfId="21699"/>
    <cellStyle name="Input 2 2 2 2 4" xfId="21700"/>
    <cellStyle name="Input 2 2 2 3" xfId="21701"/>
    <cellStyle name="Input 2 2 2 3 2" xfId="21702"/>
    <cellStyle name="Input 2 2 2 3 2 2" xfId="21703"/>
    <cellStyle name="Input 2 2 2 3 3" xfId="21704"/>
    <cellStyle name="Input 2 2 2 4" xfId="21705"/>
    <cellStyle name="Input 2 2 2 4 2" xfId="21706"/>
    <cellStyle name="Input 2 2 2 4 2 2" xfId="21707"/>
    <cellStyle name="Input 2 2 2 4 3" xfId="21708"/>
    <cellStyle name="Input 2 2 2 4 3 2" xfId="21709"/>
    <cellStyle name="Input 2 2 2 4 4" xfId="21710"/>
    <cellStyle name="Input 2 2 2 5" xfId="21711"/>
    <cellStyle name="Input 2 2 2 5 2" xfId="21712"/>
    <cellStyle name="Input 2 2 2 5 2 2" xfId="21713"/>
    <cellStyle name="Input 2 2 2 5 3" xfId="21714"/>
    <cellStyle name="Input 2 2 2 6" xfId="21715"/>
    <cellStyle name="Input 2 2 3" xfId="21716"/>
    <cellStyle name="Input 2 2 3 2" xfId="21717"/>
    <cellStyle name="Input 2 2 3 2 2" xfId="21718"/>
    <cellStyle name="Input 2 2 3 2 2 2" xfId="21719"/>
    <cellStyle name="Input 2 2 3 2 2 2 2" xfId="21720"/>
    <cellStyle name="Input 2 2 3 2 2 3" xfId="21721"/>
    <cellStyle name="Input 2 2 3 2 2 3 2" xfId="21722"/>
    <cellStyle name="Input 2 2 3 2 2 4" xfId="21723"/>
    <cellStyle name="Input 2 2 3 2 3" xfId="21724"/>
    <cellStyle name="Input 2 2 3 2 3 2" xfId="21725"/>
    <cellStyle name="Input 2 2 3 2 3 2 2" xfId="21726"/>
    <cellStyle name="Input 2 2 3 2 3 3" xfId="21727"/>
    <cellStyle name="Input 2 2 3 2 4" xfId="21728"/>
    <cellStyle name="Input 2 2 3 3" xfId="21729"/>
    <cellStyle name="Input 2 2 3 3 2" xfId="21730"/>
    <cellStyle name="Input 2 2 3 3 2 2" xfId="21731"/>
    <cellStyle name="Input 2 2 3 3 3" xfId="21732"/>
    <cellStyle name="Input 2 2 3 4" xfId="21733"/>
    <cellStyle name="Input 2 2 3 4 2" xfId="21734"/>
    <cellStyle name="Input 2 2 3 4 2 2" xfId="21735"/>
    <cellStyle name="Input 2 2 3 4 3" xfId="21736"/>
    <cellStyle name="Input 2 2 3 4 3 2" xfId="21737"/>
    <cellStyle name="Input 2 2 3 4 4" xfId="21738"/>
    <cellStyle name="Input 2 2 3 5" xfId="21739"/>
    <cellStyle name="Input 2 2 3 5 2" xfId="21740"/>
    <cellStyle name="Input 2 2 3 5 2 2" xfId="21741"/>
    <cellStyle name="Input 2 2 3 5 3" xfId="21742"/>
    <cellStyle name="Input 2 2 3 6" xfId="21743"/>
    <cellStyle name="Input 2 2 4" xfId="21744"/>
    <cellStyle name="Input 2 2 4 2" xfId="21745"/>
    <cellStyle name="Input 2 2 4 2 2" xfId="21746"/>
    <cellStyle name="Input 2 2 4 2 2 2" xfId="21747"/>
    <cellStyle name="Input 2 2 4 2 3" xfId="21748"/>
    <cellStyle name="Input 2 2 4 3" xfId="21749"/>
    <cellStyle name="Input 2 2 4 3 2" xfId="21750"/>
    <cellStyle name="Input 2 2 4 3 2 2" xfId="21751"/>
    <cellStyle name="Input 2 2 4 3 3" xfId="21752"/>
    <cellStyle name="Input 2 2 4 4" xfId="21753"/>
    <cellStyle name="Input 2 2 4 4 2" xfId="21754"/>
    <cellStyle name="Input 2 2 4 4 2 2" xfId="21755"/>
    <cellStyle name="Input 2 2 4 4 3" xfId="21756"/>
    <cellStyle name="Input 2 2 4 4 3 2" xfId="21757"/>
    <cellStyle name="Input 2 2 4 4 4" xfId="21758"/>
    <cellStyle name="Input 2 2 4 5" xfId="21759"/>
    <cellStyle name="Input 2 2 4 5 2" xfId="21760"/>
    <cellStyle name="Input 2 2 4 5 2 2" xfId="21761"/>
    <cellStyle name="Input 2 2 4 5 3" xfId="21762"/>
    <cellStyle name="Input 2 2 4 6" xfId="21763"/>
    <cellStyle name="Input 2 2 5" xfId="21764"/>
    <cellStyle name="Input 2 2 5 2" xfId="21765"/>
    <cellStyle name="Input 2 2 5 2 2" xfId="21766"/>
    <cellStyle name="Input 2 2 5 2 2 2" xfId="21767"/>
    <cellStyle name="Input 2 2 5 2 3" xfId="21768"/>
    <cellStyle name="Input 2 2 5 3" xfId="21769"/>
    <cellStyle name="Input 2 2 5 3 2" xfId="21770"/>
    <cellStyle name="Input 2 2 5 3 2 2" xfId="21771"/>
    <cellStyle name="Input 2 2 5 3 3" xfId="21772"/>
    <cellStyle name="Input 2 2 5 4" xfId="21773"/>
    <cellStyle name="Input 2 2 5 4 2" xfId="21774"/>
    <cellStyle name="Input 2 2 5 5" xfId="21775"/>
    <cellStyle name="Input 2 2 6" xfId="21776"/>
    <cellStyle name="Input 2 2 6 2" xfId="21777"/>
    <cellStyle name="Input 2 2 6 2 2" xfId="21778"/>
    <cellStyle name="Input 2 2 6 3" xfId="21779"/>
    <cellStyle name="Input 2 2 7" xfId="21780"/>
    <cellStyle name="Input 2 2 7 2" xfId="21781"/>
    <cellStyle name="Input 2 2 7 2 2" xfId="21782"/>
    <cellStyle name="Input 2 2 7 3" xfId="21783"/>
    <cellStyle name="Input 2 2 8" xfId="21784"/>
    <cellStyle name="Input 2 2 8 2" xfId="21785"/>
    <cellStyle name="Input 2 2 8 2 2" xfId="21786"/>
    <cellStyle name="Input 2 2 8 3" xfId="21787"/>
    <cellStyle name="Input 2 2 9" xfId="21788"/>
    <cellStyle name="Input 2 2 9 2" xfId="21789"/>
    <cellStyle name="Input 2 2 9 2 2" xfId="21790"/>
    <cellStyle name="Input 2 2 9 3" xfId="21791"/>
    <cellStyle name="Input 2 2 9 3 2" xfId="21792"/>
    <cellStyle name="Input 2 2 9 4" xfId="21793"/>
    <cellStyle name="Input 2 3" xfId="437"/>
    <cellStyle name="Input 2 3 10" xfId="21794"/>
    <cellStyle name="Input 2 3 10 2" xfId="21795"/>
    <cellStyle name="Input 2 3 10 2 2" xfId="21796"/>
    <cellStyle name="Input 2 3 10 3" xfId="21797"/>
    <cellStyle name="Input 2 3 10 3 2" xfId="21798"/>
    <cellStyle name="Input 2 3 10 4" xfId="21799"/>
    <cellStyle name="Input 2 3 11" xfId="21800"/>
    <cellStyle name="Input 2 3 11 2" xfId="21801"/>
    <cellStyle name="Input 2 3 11 2 2" xfId="21802"/>
    <cellStyle name="Input 2 3 11 3" xfId="21803"/>
    <cellStyle name="Input 2 3 12" xfId="21804"/>
    <cellStyle name="Input 2 3 12 2" xfId="21805"/>
    <cellStyle name="Input 2 3 2" xfId="21806"/>
    <cellStyle name="Input 2 3 2 2" xfId="21807"/>
    <cellStyle name="Input 2 3 2 2 2" xfId="21808"/>
    <cellStyle name="Input 2 3 2 2 2 2" xfId="21809"/>
    <cellStyle name="Input 2 3 2 2 2 2 2" xfId="21810"/>
    <cellStyle name="Input 2 3 2 2 2 3" xfId="21811"/>
    <cellStyle name="Input 2 3 2 2 2 3 2" xfId="21812"/>
    <cellStyle name="Input 2 3 2 2 2 4" xfId="21813"/>
    <cellStyle name="Input 2 3 2 2 3" xfId="21814"/>
    <cellStyle name="Input 2 3 2 2 3 2" xfId="21815"/>
    <cellStyle name="Input 2 3 2 2 3 2 2" xfId="21816"/>
    <cellStyle name="Input 2 3 2 2 3 3" xfId="21817"/>
    <cellStyle name="Input 2 3 2 2 4" xfId="21818"/>
    <cellStyle name="Input 2 3 2 3" xfId="21819"/>
    <cellStyle name="Input 2 3 2 3 2" xfId="21820"/>
    <cellStyle name="Input 2 3 2 3 2 2" xfId="21821"/>
    <cellStyle name="Input 2 3 2 3 3" xfId="21822"/>
    <cellStyle name="Input 2 3 2 4" xfId="21823"/>
    <cellStyle name="Input 2 3 2 4 2" xfId="21824"/>
    <cellStyle name="Input 2 3 2 4 2 2" xfId="21825"/>
    <cellStyle name="Input 2 3 2 4 3" xfId="21826"/>
    <cellStyle name="Input 2 3 2 4 3 2" xfId="21827"/>
    <cellStyle name="Input 2 3 2 4 4" xfId="21828"/>
    <cellStyle name="Input 2 3 2 5" xfId="21829"/>
    <cellStyle name="Input 2 3 2 5 2" xfId="21830"/>
    <cellStyle name="Input 2 3 2 5 2 2" xfId="21831"/>
    <cellStyle name="Input 2 3 2 5 3" xfId="21832"/>
    <cellStyle name="Input 2 3 2 6" xfId="21833"/>
    <cellStyle name="Input 2 3 3" xfId="21834"/>
    <cellStyle name="Input 2 3 3 2" xfId="21835"/>
    <cellStyle name="Input 2 3 3 2 2" xfId="21836"/>
    <cellStyle name="Input 2 3 3 2 2 2" xfId="21837"/>
    <cellStyle name="Input 2 3 3 2 2 2 2" xfId="21838"/>
    <cellStyle name="Input 2 3 3 2 2 3" xfId="21839"/>
    <cellStyle name="Input 2 3 3 2 2 3 2" xfId="21840"/>
    <cellStyle name="Input 2 3 3 2 2 4" xfId="21841"/>
    <cellStyle name="Input 2 3 3 2 3" xfId="21842"/>
    <cellStyle name="Input 2 3 3 2 3 2" xfId="21843"/>
    <cellStyle name="Input 2 3 3 2 3 2 2" xfId="21844"/>
    <cellStyle name="Input 2 3 3 2 3 3" xfId="21845"/>
    <cellStyle name="Input 2 3 3 2 4" xfId="21846"/>
    <cellStyle name="Input 2 3 3 3" xfId="21847"/>
    <cellStyle name="Input 2 3 3 3 2" xfId="21848"/>
    <cellStyle name="Input 2 3 3 3 2 2" xfId="21849"/>
    <cellStyle name="Input 2 3 3 3 3" xfId="21850"/>
    <cellStyle name="Input 2 3 3 4" xfId="21851"/>
    <cellStyle name="Input 2 3 3 4 2" xfId="21852"/>
    <cellStyle name="Input 2 3 3 4 2 2" xfId="21853"/>
    <cellStyle name="Input 2 3 3 4 3" xfId="21854"/>
    <cellStyle name="Input 2 3 3 4 3 2" xfId="21855"/>
    <cellStyle name="Input 2 3 3 4 4" xfId="21856"/>
    <cellStyle name="Input 2 3 3 5" xfId="21857"/>
    <cellStyle name="Input 2 3 3 5 2" xfId="21858"/>
    <cellStyle name="Input 2 3 3 5 2 2" xfId="21859"/>
    <cellStyle name="Input 2 3 3 5 3" xfId="21860"/>
    <cellStyle name="Input 2 3 3 6" xfId="21861"/>
    <cellStyle name="Input 2 3 4" xfId="21862"/>
    <cellStyle name="Input 2 3 4 2" xfId="21863"/>
    <cellStyle name="Input 2 3 4 2 2" xfId="21864"/>
    <cellStyle name="Input 2 3 4 2 2 2" xfId="21865"/>
    <cellStyle name="Input 2 3 4 2 3" xfId="21866"/>
    <cellStyle name="Input 2 3 4 3" xfId="21867"/>
    <cellStyle name="Input 2 3 4 3 2" xfId="21868"/>
    <cellStyle name="Input 2 3 4 3 2 2" xfId="21869"/>
    <cellStyle name="Input 2 3 4 3 3" xfId="21870"/>
    <cellStyle name="Input 2 3 4 4" xfId="21871"/>
    <cellStyle name="Input 2 3 4 4 2" xfId="21872"/>
    <cellStyle name="Input 2 3 4 4 2 2" xfId="21873"/>
    <cellStyle name="Input 2 3 4 4 3" xfId="21874"/>
    <cellStyle name="Input 2 3 4 4 3 2" xfId="21875"/>
    <cellStyle name="Input 2 3 4 4 4" xfId="21876"/>
    <cellStyle name="Input 2 3 4 5" xfId="21877"/>
    <cellStyle name="Input 2 3 4 5 2" xfId="21878"/>
    <cellStyle name="Input 2 3 4 5 2 2" xfId="21879"/>
    <cellStyle name="Input 2 3 4 5 3" xfId="21880"/>
    <cellStyle name="Input 2 3 4 6" xfId="21881"/>
    <cellStyle name="Input 2 3 5" xfId="21882"/>
    <cellStyle name="Input 2 3 5 2" xfId="21883"/>
    <cellStyle name="Input 2 3 5 2 2" xfId="21884"/>
    <cellStyle name="Input 2 3 5 2 2 2" xfId="21885"/>
    <cellStyle name="Input 2 3 5 2 3" xfId="21886"/>
    <cellStyle name="Input 2 3 5 3" xfId="21887"/>
    <cellStyle name="Input 2 3 5 3 2" xfId="21888"/>
    <cellStyle name="Input 2 3 5 3 2 2" xfId="21889"/>
    <cellStyle name="Input 2 3 5 3 3" xfId="21890"/>
    <cellStyle name="Input 2 3 5 4" xfId="21891"/>
    <cellStyle name="Input 2 3 5 4 2" xfId="21892"/>
    <cellStyle name="Input 2 3 5 5" xfId="21893"/>
    <cellStyle name="Input 2 3 6" xfId="21894"/>
    <cellStyle name="Input 2 3 6 2" xfId="21895"/>
    <cellStyle name="Input 2 3 6 2 2" xfId="21896"/>
    <cellStyle name="Input 2 3 6 3" xfId="21897"/>
    <cellStyle name="Input 2 3 7" xfId="21898"/>
    <cellStyle name="Input 2 3 7 2" xfId="21899"/>
    <cellStyle name="Input 2 3 7 2 2" xfId="21900"/>
    <cellStyle name="Input 2 3 7 3" xfId="21901"/>
    <cellStyle name="Input 2 3 8" xfId="21902"/>
    <cellStyle name="Input 2 3 9" xfId="21903"/>
    <cellStyle name="Input 2 3 9 2" xfId="21904"/>
    <cellStyle name="Input 2 3 9 2 2" xfId="21905"/>
    <cellStyle name="Input 2 3 9 3" xfId="21906"/>
    <cellStyle name="Input 2 4" xfId="21907"/>
    <cellStyle name="Input 2 4 2" xfId="21908"/>
    <cellStyle name="Input 2 4 2 2" xfId="21909"/>
    <cellStyle name="Input 2 4 2 2 2" xfId="21910"/>
    <cellStyle name="Input 2 4 2 2 2 2" xfId="21911"/>
    <cellStyle name="Input 2 4 2 2 3" xfId="21912"/>
    <cellStyle name="Input 2 4 2 3" xfId="21913"/>
    <cellStyle name="Input 2 4 2 3 2" xfId="21914"/>
    <cellStyle name="Input 2 4 2 3 2 2" xfId="21915"/>
    <cellStyle name="Input 2 4 2 3 3" xfId="21916"/>
    <cellStyle name="Input 2 4 2 4" xfId="21917"/>
    <cellStyle name="Input 2 4 2 4 2" xfId="21918"/>
    <cellStyle name="Input 2 4 2 4 2 2" xfId="21919"/>
    <cellStyle name="Input 2 4 2 4 3" xfId="21920"/>
    <cellStyle name="Input 2 4 2 4 3 2" xfId="21921"/>
    <cellStyle name="Input 2 4 2 4 4" xfId="21922"/>
    <cellStyle name="Input 2 4 2 5" xfId="21923"/>
    <cellStyle name="Input 2 4 2 5 2" xfId="21924"/>
    <cellStyle name="Input 2 4 2 5 2 2" xfId="21925"/>
    <cellStyle name="Input 2 4 2 5 3" xfId="21926"/>
    <cellStyle name="Input 2 4 2 6" xfId="21927"/>
    <cellStyle name="Input 2 4 3" xfId="21928"/>
    <cellStyle name="Input 2 4 3 2" xfId="21929"/>
    <cellStyle name="Input 2 4 3 2 2" xfId="21930"/>
    <cellStyle name="Input 2 4 3 2 2 2" xfId="21931"/>
    <cellStyle name="Input 2 4 3 2 3" xfId="21932"/>
    <cellStyle name="Input 2 4 3 3" xfId="21933"/>
    <cellStyle name="Input 2 4 3 3 2" xfId="21934"/>
    <cellStyle name="Input 2 4 3 3 2 2" xfId="21935"/>
    <cellStyle name="Input 2 4 3 3 3" xfId="21936"/>
    <cellStyle name="Input 2 4 3 4" xfId="21937"/>
    <cellStyle name="Input 2 4 3 4 2" xfId="21938"/>
    <cellStyle name="Input 2 4 3 5" xfId="21939"/>
    <cellStyle name="Input 2 4 4" xfId="21940"/>
    <cellStyle name="Input 2 4 4 2" xfId="21941"/>
    <cellStyle name="Input 2 4 4 2 2" xfId="21942"/>
    <cellStyle name="Input 2 4 4 3" xfId="21943"/>
    <cellStyle name="Input 2 4 5" xfId="21944"/>
    <cellStyle name="Input 2 4 5 2" xfId="21945"/>
    <cellStyle name="Input 2 4 5 2 2" xfId="21946"/>
    <cellStyle name="Input 2 4 5 3" xfId="21947"/>
    <cellStyle name="Input 2 4 6" xfId="21948"/>
    <cellStyle name="Input 2 4 6 2" xfId="21949"/>
    <cellStyle name="Input 2 4 6 2 2" xfId="21950"/>
    <cellStyle name="Input 2 4 6 3" xfId="21951"/>
    <cellStyle name="Input 2 4 6 3 2" xfId="21952"/>
    <cellStyle name="Input 2 4 6 4" xfId="21953"/>
    <cellStyle name="Input 2 4 7" xfId="21954"/>
    <cellStyle name="Input 2 4 7 2" xfId="21955"/>
    <cellStyle name="Input 2 4 7 2 2" xfId="21956"/>
    <cellStyle name="Input 2 4 7 3" xfId="21957"/>
    <cellStyle name="Input 2 4 8" xfId="21958"/>
    <cellStyle name="Input 2 4 8 2" xfId="21959"/>
    <cellStyle name="Input 2 4 9" xfId="21960"/>
    <cellStyle name="Input 2 5" xfId="21961"/>
    <cellStyle name="Input 2 5 2" xfId="21962"/>
    <cellStyle name="Input 2 5 2 2" xfId="21963"/>
    <cellStyle name="Input 2 5 2 2 2" xfId="21964"/>
    <cellStyle name="Input 2 5 2 2 2 2" xfId="21965"/>
    <cellStyle name="Input 2 5 2 2 3" xfId="21966"/>
    <cellStyle name="Input 2 5 2 2 3 2" xfId="21967"/>
    <cellStyle name="Input 2 5 2 2 4" xfId="21968"/>
    <cellStyle name="Input 2 5 2 3" xfId="21969"/>
    <cellStyle name="Input 2 5 2 3 2" xfId="21970"/>
    <cellStyle name="Input 2 5 2 3 2 2" xfId="21971"/>
    <cellStyle name="Input 2 5 2 3 3" xfId="21972"/>
    <cellStyle name="Input 2 5 2 4" xfId="21973"/>
    <cellStyle name="Input 2 5 3" xfId="21974"/>
    <cellStyle name="Input 2 5 3 2" xfId="21975"/>
    <cellStyle name="Input 2 5 3 2 2" xfId="21976"/>
    <cellStyle name="Input 2 5 3 3" xfId="21977"/>
    <cellStyle name="Input 2 5 4" xfId="21978"/>
    <cellStyle name="Input 2 5 4 2" xfId="21979"/>
    <cellStyle name="Input 2 5 4 2 2" xfId="21980"/>
    <cellStyle name="Input 2 5 4 3" xfId="21981"/>
    <cellStyle name="Input 2 5 5" xfId="21982"/>
    <cellStyle name="Input 2 5 5 2" xfId="21983"/>
    <cellStyle name="Input 2 5 5 2 2" xfId="21984"/>
    <cellStyle name="Input 2 5 5 3" xfId="21985"/>
    <cellStyle name="Input 2 5 5 3 2" xfId="21986"/>
    <cellStyle name="Input 2 5 5 4" xfId="21987"/>
    <cellStyle name="Input 2 5 6" xfId="21988"/>
    <cellStyle name="Input 2 5 6 2" xfId="21989"/>
    <cellStyle name="Input 2 5 6 2 2" xfId="21990"/>
    <cellStyle name="Input 2 5 6 3" xfId="21991"/>
    <cellStyle name="Input 2 5 7" xfId="21992"/>
    <cellStyle name="Input 2 5 7 2" xfId="21993"/>
    <cellStyle name="Input 2 5 8" xfId="21994"/>
    <cellStyle name="Input 2 6" xfId="21995"/>
    <cellStyle name="Input 2 6 2" xfId="21996"/>
    <cellStyle name="Input 2 6 2 2" xfId="21997"/>
    <cellStyle name="Input 2 6 2 2 2" xfId="21998"/>
    <cellStyle name="Input 2 6 2 3" xfId="21999"/>
    <cellStyle name="Input 2 6 3" xfId="22000"/>
    <cellStyle name="Input 2 6 3 2" xfId="22001"/>
    <cellStyle name="Input 2 6 3 2 2" xfId="22002"/>
    <cellStyle name="Input 2 6 3 3" xfId="22003"/>
    <cellStyle name="Input 2 6 4" xfId="22004"/>
    <cellStyle name="Input 2 6 4 2" xfId="22005"/>
    <cellStyle name="Input 2 6 4 2 2" xfId="22006"/>
    <cellStyle name="Input 2 6 4 3" xfId="22007"/>
    <cellStyle name="Input 2 6 4 3 2" xfId="22008"/>
    <cellStyle name="Input 2 6 4 4" xfId="22009"/>
    <cellStyle name="Input 2 6 5" xfId="22010"/>
    <cellStyle name="Input 2 6 5 2" xfId="22011"/>
    <cellStyle name="Input 2 6 5 2 2" xfId="22012"/>
    <cellStyle name="Input 2 6 5 3" xfId="22013"/>
    <cellStyle name="Input 2 6 6" xfId="22014"/>
    <cellStyle name="Input 2 7" xfId="22015"/>
    <cellStyle name="Input 2 7 2" xfId="22016"/>
    <cellStyle name="Input 2 7 2 2" xfId="22017"/>
    <cellStyle name="Input 2 7 2 2 2" xfId="22018"/>
    <cellStyle name="Input 2 7 2 3" xfId="22019"/>
    <cellStyle name="Input 2 7 3" xfId="22020"/>
    <cellStyle name="Input 2 7 3 2" xfId="22021"/>
    <cellStyle name="Input 2 7 3 2 2" xfId="22022"/>
    <cellStyle name="Input 2 7 3 3" xfId="22023"/>
    <cellStyle name="Input 2 7 4" xfId="22024"/>
    <cellStyle name="Input 2 7 4 2" xfId="22025"/>
    <cellStyle name="Input 2 7 5" xfId="22026"/>
    <cellStyle name="Input 2 8" xfId="22027"/>
    <cellStyle name="Input 2 8 2" xfId="22028"/>
    <cellStyle name="Input 2 8 2 2" xfId="22029"/>
    <cellStyle name="Input 2 8 3" xfId="22030"/>
    <cellStyle name="Input 2 9" xfId="22031"/>
    <cellStyle name="Input 2 9 2" xfId="22032"/>
    <cellStyle name="Input 2 9 2 2" xfId="22033"/>
    <cellStyle name="Input 2 9 3" xfId="22034"/>
    <cellStyle name="Input 20" xfId="22035"/>
    <cellStyle name="Input 20 2" xfId="22036"/>
    <cellStyle name="Input 20 2 2" xfId="22037"/>
    <cellStyle name="Input 20 3" xfId="22038"/>
    <cellStyle name="Input 21" xfId="22039"/>
    <cellStyle name="Input 21 2" xfId="22040"/>
    <cellStyle name="Input 21 2 2" xfId="22041"/>
    <cellStyle name="Input 21 3" xfId="22042"/>
    <cellStyle name="Input 22" xfId="22043"/>
    <cellStyle name="Input 22 2" xfId="22044"/>
    <cellStyle name="Input 22 2 2" xfId="22045"/>
    <cellStyle name="Input 22 3" xfId="22046"/>
    <cellStyle name="Input 23" xfId="22047"/>
    <cellStyle name="Input 23 2" xfId="22048"/>
    <cellStyle name="Input 23 2 2" xfId="22049"/>
    <cellStyle name="Input 23 3" xfId="22050"/>
    <cellStyle name="Input 24" xfId="22051"/>
    <cellStyle name="Input 24 2" xfId="22052"/>
    <cellStyle name="Input 24 2 2" xfId="22053"/>
    <cellStyle name="Input 24 3" xfId="22054"/>
    <cellStyle name="Input 25" xfId="22055"/>
    <cellStyle name="Input 25 2" xfId="22056"/>
    <cellStyle name="Input 25 2 2" xfId="22057"/>
    <cellStyle name="Input 25 3" xfId="22058"/>
    <cellStyle name="Input 26" xfId="22059"/>
    <cellStyle name="Input 26 2" xfId="22060"/>
    <cellStyle name="Input 26 2 2" xfId="22061"/>
    <cellStyle name="Input 26 3" xfId="22062"/>
    <cellStyle name="Input 27" xfId="22063"/>
    <cellStyle name="Input 27 2" xfId="22064"/>
    <cellStyle name="Input 27 2 2" xfId="22065"/>
    <cellStyle name="Input 27 3" xfId="22066"/>
    <cellStyle name="Input 28" xfId="22067"/>
    <cellStyle name="Input 28 2" xfId="22068"/>
    <cellStyle name="Input 28 2 2" xfId="22069"/>
    <cellStyle name="Input 28 3" xfId="22070"/>
    <cellStyle name="Input 29" xfId="22071"/>
    <cellStyle name="Input 29 2" xfId="22072"/>
    <cellStyle name="Input 29 2 2" xfId="22073"/>
    <cellStyle name="Input 29 3" xfId="22074"/>
    <cellStyle name="Input 3" xfId="163"/>
    <cellStyle name="Input 3 10" xfId="22075"/>
    <cellStyle name="Input 3 2" xfId="22076"/>
    <cellStyle name="Input 3 2 2" xfId="22077"/>
    <cellStyle name="Input 3 2 2 2" xfId="22078"/>
    <cellStyle name="Input 3 2 2 2 2" xfId="22079"/>
    <cellStyle name="Input 3 2 2 2 2 2" xfId="22080"/>
    <cellStyle name="Input 3 2 2 2 3" xfId="22081"/>
    <cellStyle name="Input 3 2 2 2 3 2" xfId="22082"/>
    <cellStyle name="Input 3 2 2 2 4" xfId="22083"/>
    <cellStyle name="Input 3 2 2 3" xfId="22084"/>
    <cellStyle name="Input 3 2 2 3 2" xfId="22085"/>
    <cellStyle name="Input 3 2 2 3 2 2" xfId="22086"/>
    <cellStyle name="Input 3 2 2 3 3" xfId="22087"/>
    <cellStyle name="Input 3 2 2 4" xfId="22088"/>
    <cellStyle name="Input 3 2 3" xfId="22089"/>
    <cellStyle name="Input 3 2 3 2" xfId="22090"/>
    <cellStyle name="Input 3 2 3 2 2" xfId="22091"/>
    <cellStyle name="Input 3 2 3 3" xfId="22092"/>
    <cellStyle name="Input 3 2 4" xfId="22093"/>
    <cellStyle name="Input 3 2 4 2" xfId="22094"/>
    <cellStyle name="Input 3 2 4 2 2" xfId="22095"/>
    <cellStyle name="Input 3 2 4 3" xfId="22096"/>
    <cellStyle name="Input 3 2 4 3 2" xfId="22097"/>
    <cellStyle name="Input 3 2 4 4" xfId="22098"/>
    <cellStyle name="Input 3 2 5" xfId="22099"/>
    <cellStyle name="Input 3 2 5 2" xfId="22100"/>
    <cellStyle name="Input 3 2 5 2 2" xfId="22101"/>
    <cellStyle name="Input 3 2 5 3" xfId="22102"/>
    <cellStyle name="Input 3 2 6" xfId="22103"/>
    <cellStyle name="Input 3 3" xfId="22104"/>
    <cellStyle name="Input 3 3 2" xfId="22105"/>
    <cellStyle name="Input 3 3 2 2" xfId="22106"/>
    <cellStyle name="Input 3 3 2 2 2" xfId="22107"/>
    <cellStyle name="Input 3 3 2 2 2 2" xfId="22108"/>
    <cellStyle name="Input 3 3 2 2 3" xfId="22109"/>
    <cellStyle name="Input 3 3 2 2 3 2" xfId="22110"/>
    <cellStyle name="Input 3 3 2 2 4" xfId="22111"/>
    <cellStyle name="Input 3 3 2 3" xfId="22112"/>
    <cellStyle name="Input 3 3 2 3 2" xfId="22113"/>
    <cellStyle name="Input 3 3 2 3 2 2" xfId="22114"/>
    <cellStyle name="Input 3 3 2 3 3" xfId="22115"/>
    <cellStyle name="Input 3 3 2 4" xfId="22116"/>
    <cellStyle name="Input 3 3 3" xfId="22117"/>
    <cellStyle name="Input 3 3 3 2" xfId="22118"/>
    <cellStyle name="Input 3 3 3 2 2" xfId="22119"/>
    <cellStyle name="Input 3 3 3 3" xfId="22120"/>
    <cellStyle name="Input 3 3 4" xfId="22121"/>
    <cellStyle name="Input 3 3 4 2" xfId="22122"/>
    <cellStyle name="Input 3 3 4 2 2" xfId="22123"/>
    <cellStyle name="Input 3 3 4 3" xfId="22124"/>
    <cellStyle name="Input 3 3 4 3 2" xfId="22125"/>
    <cellStyle name="Input 3 3 4 4" xfId="22126"/>
    <cellStyle name="Input 3 3 5" xfId="22127"/>
    <cellStyle name="Input 3 3 5 2" xfId="22128"/>
    <cellStyle name="Input 3 3 5 2 2" xfId="22129"/>
    <cellStyle name="Input 3 3 5 3" xfId="22130"/>
    <cellStyle name="Input 3 3 6" xfId="22131"/>
    <cellStyle name="Input 3 4" xfId="22132"/>
    <cellStyle name="Input 3 4 2" xfId="22133"/>
    <cellStyle name="Input 3 4 2 2" xfId="22134"/>
    <cellStyle name="Input 3 4 2 2 2" xfId="22135"/>
    <cellStyle name="Input 3 4 2 3" xfId="22136"/>
    <cellStyle name="Input 3 4 3" xfId="22137"/>
    <cellStyle name="Input 3 4 3 2" xfId="22138"/>
    <cellStyle name="Input 3 4 3 2 2" xfId="22139"/>
    <cellStyle name="Input 3 4 3 3" xfId="22140"/>
    <cellStyle name="Input 3 4 4" xfId="22141"/>
    <cellStyle name="Input 3 4 4 2" xfId="22142"/>
    <cellStyle name="Input 3 4 4 2 2" xfId="22143"/>
    <cellStyle name="Input 3 4 4 3" xfId="22144"/>
    <cellStyle name="Input 3 4 4 3 2" xfId="22145"/>
    <cellStyle name="Input 3 4 4 4" xfId="22146"/>
    <cellStyle name="Input 3 4 5" xfId="22147"/>
    <cellStyle name="Input 3 4 5 2" xfId="22148"/>
    <cellStyle name="Input 3 4 5 2 2" xfId="22149"/>
    <cellStyle name="Input 3 4 5 3" xfId="22150"/>
    <cellStyle name="Input 3 4 6" xfId="22151"/>
    <cellStyle name="Input 3 5" xfId="22152"/>
    <cellStyle name="Input 3 5 2" xfId="22153"/>
    <cellStyle name="Input 3 5 2 2" xfId="22154"/>
    <cellStyle name="Input 3 5 2 2 2" xfId="22155"/>
    <cellStyle name="Input 3 5 2 3" xfId="22156"/>
    <cellStyle name="Input 3 5 3" xfId="22157"/>
    <cellStyle name="Input 3 5 3 2" xfId="22158"/>
    <cellStyle name="Input 3 5 3 2 2" xfId="22159"/>
    <cellStyle name="Input 3 5 3 3" xfId="22160"/>
    <cellStyle name="Input 3 5 4" xfId="22161"/>
    <cellStyle name="Input 3 5 4 2" xfId="22162"/>
    <cellStyle name="Input 3 5 5" xfId="22163"/>
    <cellStyle name="Input 3 6" xfId="22164"/>
    <cellStyle name="Input 3 6 2" xfId="22165"/>
    <cellStyle name="Input 3 6 2 2" xfId="22166"/>
    <cellStyle name="Input 3 6 3" xfId="22167"/>
    <cellStyle name="Input 3 7" xfId="22168"/>
    <cellStyle name="Input 3 7 2" xfId="22169"/>
    <cellStyle name="Input 3 7 2 2" xfId="22170"/>
    <cellStyle name="Input 3 7 3" xfId="22171"/>
    <cellStyle name="Input 3 8" xfId="22172"/>
    <cellStyle name="Input 3 8 2" xfId="22173"/>
    <cellStyle name="Input 3 8 2 2" xfId="22174"/>
    <cellStyle name="Input 3 8 3" xfId="22175"/>
    <cellStyle name="Input 3 8 3 2" xfId="22176"/>
    <cellStyle name="Input 3 8 4" xfId="22177"/>
    <cellStyle name="Input 3 9" xfId="22178"/>
    <cellStyle name="Input 3 9 2" xfId="22179"/>
    <cellStyle name="Input 3 9 2 2" xfId="22180"/>
    <cellStyle name="Input 3 9 3" xfId="22181"/>
    <cellStyle name="Input 30" xfId="22182"/>
    <cellStyle name="Input 30 2" xfId="22183"/>
    <cellStyle name="Input 30 2 2" xfId="22184"/>
    <cellStyle name="Input 30 3" xfId="22185"/>
    <cellStyle name="Input 31" xfId="22186"/>
    <cellStyle name="Input 31 2" xfId="22187"/>
    <cellStyle name="Input 31 2 2" xfId="22188"/>
    <cellStyle name="Input 31 3" xfId="22189"/>
    <cellStyle name="Input 32" xfId="22190"/>
    <cellStyle name="Input 32 2" xfId="22191"/>
    <cellStyle name="Input 32 2 2" xfId="22192"/>
    <cellStyle name="Input 32 3" xfId="22193"/>
    <cellStyle name="Input 33" xfId="22194"/>
    <cellStyle name="Input 33 2" xfId="22195"/>
    <cellStyle name="Input 33 2 2" xfId="22196"/>
    <cellStyle name="Input 33 3" xfId="22197"/>
    <cellStyle name="Input 34" xfId="22198"/>
    <cellStyle name="Input 34 2" xfId="22199"/>
    <cellStyle name="Input 34 2 2" xfId="22200"/>
    <cellStyle name="Input 34 3" xfId="22201"/>
    <cellStyle name="Input 35" xfId="22202"/>
    <cellStyle name="Input 35 2" xfId="22203"/>
    <cellStyle name="Input 35 2 2" xfId="22204"/>
    <cellStyle name="Input 35 3" xfId="22205"/>
    <cellStyle name="Input 36" xfId="22206"/>
    <cellStyle name="Input 36 2" xfId="22207"/>
    <cellStyle name="Input 36 2 2" xfId="22208"/>
    <cellStyle name="Input 36 3" xfId="22209"/>
    <cellStyle name="Input 37" xfId="22210"/>
    <cellStyle name="Input 37 2" xfId="22211"/>
    <cellStyle name="Input 37 2 2" xfId="22212"/>
    <cellStyle name="Input 37 3" xfId="22213"/>
    <cellStyle name="Input 38" xfId="22214"/>
    <cellStyle name="Input 38 2" xfId="22215"/>
    <cellStyle name="Input 38 2 2" xfId="22216"/>
    <cellStyle name="Input 38 3" xfId="22217"/>
    <cellStyle name="Input 39" xfId="22218"/>
    <cellStyle name="Input 39 2" xfId="22219"/>
    <cellStyle name="Input 39 2 2" xfId="22220"/>
    <cellStyle name="Input 39 3" xfId="22221"/>
    <cellStyle name="Input 4" xfId="22222"/>
    <cellStyle name="Input 4 10" xfId="22223"/>
    <cellStyle name="Input 4 10 2" xfId="22224"/>
    <cellStyle name="Input 4 10 2 2" xfId="22225"/>
    <cellStyle name="Input 4 10 3" xfId="22226"/>
    <cellStyle name="Input 4 10 3 2" xfId="22227"/>
    <cellStyle name="Input 4 10 4" xfId="22228"/>
    <cellStyle name="Input 4 11" xfId="22229"/>
    <cellStyle name="Input 4 11 2" xfId="22230"/>
    <cellStyle name="Input 4 11 2 2" xfId="22231"/>
    <cellStyle name="Input 4 11 3" xfId="22232"/>
    <cellStyle name="Input 4 12" xfId="22233"/>
    <cellStyle name="Input 4 12 2" xfId="22234"/>
    <cellStyle name="Input 4 2" xfId="22235"/>
    <cellStyle name="Input 4 2 2" xfId="22236"/>
    <cellStyle name="Input 4 2 2 2" xfId="22237"/>
    <cellStyle name="Input 4 2 2 2 2" xfId="22238"/>
    <cellStyle name="Input 4 2 2 2 2 2" xfId="22239"/>
    <cellStyle name="Input 4 2 2 2 3" xfId="22240"/>
    <cellStyle name="Input 4 2 2 2 3 2" xfId="22241"/>
    <cellStyle name="Input 4 2 2 2 4" xfId="22242"/>
    <cellStyle name="Input 4 2 2 3" xfId="22243"/>
    <cellStyle name="Input 4 2 2 3 2" xfId="22244"/>
    <cellStyle name="Input 4 2 2 3 2 2" xfId="22245"/>
    <cellStyle name="Input 4 2 2 3 3" xfId="22246"/>
    <cellStyle name="Input 4 2 2 4" xfId="22247"/>
    <cellStyle name="Input 4 2 3" xfId="22248"/>
    <cellStyle name="Input 4 2 3 2" xfId="22249"/>
    <cellStyle name="Input 4 2 3 2 2" xfId="22250"/>
    <cellStyle name="Input 4 2 3 3" xfId="22251"/>
    <cellStyle name="Input 4 2 4" xfId="22252"/>
    <cellStyle name="Input 4 2 4 2" xfId="22253"/>
    <cellStyle name="Input 4 2 4 2 2" xfId="22254"/>
    <cellStyle name="Input 4 2 4 3" xfId="22255"/>
    <cellStyle name="Input 4 2 4 3 2" xfId="22256"/>
    <cellStyle name="Input 4 2 4 4" xfId="22257"/>
    <cellStyle name="Input 4 2 5" xfId="22258"/>
    <cellStyle name="Input 4 2 5 2" xfId="22259"/>
    <cellStyle name="Input 4 2 5 2 2" xfId="22260"/>
    <cellStyle name="Input 4 2 5 3" xfId="22261"/>
    <cellStyle name="Input 4 2 6" xfId="22262"/>
    <cellStyle name="Input 4 3" xfId="22263"/>
    <cellStyle name="Input 4 3 2" xfId="22264"/>
    <cellStyle name="Input 4 3 2 2" xfId="22265"/>
    <cellStyle name="Input 4 3 2 2 2" xfId="22266"/>
    <cellStyle name="Input 4 3 2 2 2 2" xfId="22267"/>
    <cellStyle name="Input 4 3 2 2 3" xfId="22268"/>
    <cellStyle name="Input 4 3 2 2 3 2" xfId="22269"/>
    <cellStyle name="Input 4 3 2 2 4" xfId="22270"/>
    <cellStyle name="Input 4 3 2 3" xfId="22271"/>
    <cellStyle name="Input 4 3 2 3 2" xfId="22272"/>
    <cellStyle name="Input 4 3 2 3 2 2" xfId="22273"/>
    <cellStyle name="Input 4 3 2 3 3" xfId="22274"/>
    <cellStyle name="Input 4 3 2 4" xfId="22275"/>
    <cellStyle name="Input 4 3 3" xfId="22276"/>
    <cellStyle name="Input 4 3 3 2" xfId="22277"/>
    <cellStyle name="Input 4 3 3 2 2" xfId="22278"/>
    <cellStyle name="Input 4 3 3 3" xfId="22279"/>
    <cellStyle name="Input 4 3 4" xfId="22280"/>
    <cellStyle name="Input 4 3 4 2" xfId="22281"/>
    <cellStyle name="Input 4 3 4 2 2" xfId="22282"/>
    <cellStyle name="Input 4 3 4 3" xfId="22283"/>
    <cellStyle name="Input 4 3 4 3 2" xfId="22284"/>
    <cellStyle name="Input 4 3 4 4" xfId="22285"/>
    <cellStyle name="Input 4 3 5" xfId="22286"/>
    <cellStyle name="Input 4 3 5 2" xfId="22287"/>
    <cellStyle name="Input 4 3 5 2 2" xfId="22288"/>
    <cellStyle name="Input 4 3 5 3" xfId="22289"/>
    <cellStyle name="Input 4 3 6" xfId="22290"/>
    <cellStyle name="Input 4 4" xfId="22291"/>
    <cellStyle name="Input 4 4 2" xfId="22292"/>
    <cellStyle name="Input 4 4 2 2" xfId="22293"/>
    <cellStyle name="Input 4 4 2 2 2" xfId="22294"/>
    <cellStyle name="Input 4 4 2 3" xfId="22295"/>
    <cellStyle name="Input 4 4 3" xfId="22296"/>
    <cellStyle name="Input 4 4 3 2" xfId="22297"/>
    <cellStyle name="Input 4 4 3 2 2" xfId="22298"/>
    <cellStyle name="Input 4 4 3 3" xfId="22299"/>
    <cellStyle name="Input 4 4 4" xfId="22300"/>
    <cellStyle name="Input 4 4 4 2" xfId="22301"/>
    <cellStyle name="Input 4 4 4 2 2" xfId="22302"/>
    <cellStyle name="Input 4 4 4 3" xfId="22303"/>
    <cellStyle name="Input 4 4 4 3 2" xfId="22304"/>
    <cellStyle name="Input 4 4 4 4" xfId="22305"/>
    <cellStyle name="Input 4 4 5" xfId="22306"/>
    <cellStyle name="Input 4 4 5 2" xfId="22307"/>
    <cellStyle name="Input 4 4 5 2 2" xfId="22308"/>
    <cellStyle name="Input 4 4 5 3" xfId="22309"/>
    <cellStyle name="Input 4 4 6" xfId="22310"/>
    <cellStyle name="Input 4 5" xfId="22311"/>
    <cellStyle name="Input 4 5 2" xfId="22312"/>
    <cellStyle name="Input 4 5 2 2" xfId="22313"/>
    <cellStyle name="Input 4 5 2 2 2" xfId="22314"/>
    <cellStyle name="Input 4 5 2 3" xfId="22315"/>
    <cellStyle name="Input 4 5 3" xfId="22316"/>
    <cellStyle name="Input 4 5 3 2" xfId="22317"/>
    <cellStyle name="Input 4 5 3 2 2" xfId="22318"/>
    <cellStyle name="Input 4 5 3 3" xfId="22319"/>
    <cellStyle name="Input 4 5 4" xfId="22320"/>
    <cellStyle name="Input 4 5 4 2" xfId="22321"/>
    <cellStyle name="Input 4 5 5" xfId="22322"/>
    <cellStyle name="Input 4 6" xfId="22323"/>
    <cellStyle name="Input 4 6 2" xfId="22324"/>
    <cellStyle name="Input 4 6 2 2" xfId="22325"/>
    <cellStyle name="Input 4 6 3" xfId="22326"/>
    <cellStyle name="Input 4 7" xfId="22327"/>
    <cellStyle name="Input 4 7 2" xfId="22328"/>
    <cellStyle name="Input 4 7 2 2" xfId="22329"/>
    <cellStyle name="Input 4 7 3" xfId="22330"/>
    <cellStyle name="Input 4 8" xfId="22331"/>
    <cellStyle name="Input 4 9" xfId="22332"/>
    <cellStyle name="Input 4 9 2" xfId="22333"/>
    <cellStyle name="Input 4 9 2 2" xfId="22334"/>
    <cellStyle name="Input 4 9 3" xfId="22335"/>
    <cellStyle name="Input 40" xfId="22336"/>
    <cellStyle name="Input 40 2" xfId="22337"/>
    <cellStyle name="Input 40 2 2" xfId="22338"/>
    <cellStyle name="Input 40 3" xfId="22339"/>
    <cellStyle name="Input 41" xfId="22340"/>
    <cellStyle name="Input 41 2" xfId="22341"/>
    <cellStyle name="Input 41 2 2" xfId="22342"/>
    <cellStyle name="Input 41 3" xfId="22343"/>
    <cellStyle name="Input 42" xfId="22344"/>
    <cellStyle name="Input 42 2" xfId="22345"/>
    <cellStyle name="Input 42 2 2" xfId="22346"/>
    <cellStyle name="Input 42 3" xfId="22347"/>
    <cellStyle name="Input 43" xfId="22348"/>
    <cellStyle name="Input 43 2" xfId="22349"/>
    <cellStyle name="Input 43 2 2" xfId="22350"/>
    <cellStyle name="Input 43 3" xfId="22351"/>
    <cellStyle name="Input 44" xfId="22352"/>
    <cellStyle name="Input 44 2" xfId="22353"/>
    <cellStyle name="Input 44 2 2" xfId="22354"/>
    <cellStyle name="Input 44 3" xfId="22355"/>
    <cellStyle name="Input 45" xfId="22356"/>
    <cellStyle name="Input 45 2" xfId="22357"/>
    <cellStyle name="Input 45 2 2" xfId="22358"/>
    <cellStyle name="Input 45 3" xfId="22359"/>
    <cellStyle name="Input 46" xfId="22360"/>
    <cellStyle name="Input 46 2" xfId="22361"/>
    <cellStyle name="Input 46 2 2" xfId="22362"/>
    <cellStyle name="Input 46 3" xfId="22363"/>
    <cellStyle name="Input 47" xfId="22364"/>
    <cellStyle name="Input 47 2" xfId="22365"/>
    <cellStyle name="Input 47 2 2" xfId="22366"/>
    <cellStyle name="Input 47 3" xfId="22367"/>
    <cellStyle name="Input 48" xfId="22368"/>
    <cellStyle name="Input 48 2" xfId="22369"/>
    <cellStyle name="Input 48 2 2" xfId="22370"/>
    <cellStyle name="Input 48 3" xfId="22371"/>
    <cellStyle name="Input 49" xfId="22372"/>
    <cellStyle name="Input 49 2" xfId="22373"/>
    <cellStyle name="Input 49 2 2" xfId="22374"/>
    <cellStyle name="Input 49 3" xfId="22375"/>
    <cellStyle name="Input 5" xfId="22376"/>
    <cellStyle name="Input 5 10" xfId="22377"/>
    <cellStyle name="Input 5 10 2" xfId="22378"/>
    <cellStyle name="Input 5 10 2 2" xfId="22379"/>
    <cellStyle name="Input 5 10 3" xfId="22380"/>
    <cellStyle name="Input 5 11" xfId="22381"/>
    <cellStyle name="Input 5 11 2" xfId="22382"/>
    <cellStyle name="Input 5 2" xfId="22383"/>
    <cellStyle name="Input 5 2 2" xfId="22384"/>
    <cellStyle name="Input 5 2 2 2" xfId="22385"/>
    <cellStyle name="Input 5 2 2 2 2" xfId="22386"/>
    <cellStyle name="Input 5 2 2 2 2 2" xfId="22387"/>
    <cellStyle name="Input 5 2 2 2 3" xfId="22388"/>
    <cellStyle name="Input 5 2 2 2 3 2" xfId="22389"/>
    <cellStyle name="Input 5 2 2 2 4" xfId="22390"/>
    <cellStyle name="Input 5 2 2 3" xfId="22391"/>
    <cellStyle name="Input 5 2 2 3 2" xfId="22392"/>
    <cellStyle name="Input 5 2 2 3 2 2" xfId="22393"/>
    <cellStyle name="Input 5 2 2 3 3" xfId="22394"/>
    <cellStyle name="Input 5 2 2 4" xfId="22395"/>
    <cellStyle name="Input 5 2 3" xfId="22396"/>
    <cellStyle name="Input 5 2 3 2" xfId="22397"/>
    <cellStyle name="Input 5 2 3 2 2" xfId="22398"/>
    <cellStyle name="Input 5 2 3 3" xfId="22399"/>
    <cellStyle name="Input 5 2 4" xfId="22400"/>
    <cellStyle name="Input 5 2 4 2" xfId="22401"/>
    <cellStyle name="Input 5 2 4 2 2" xfId="22402"/>
    <cellStyle name="Input 5 2 4 3" xfId="22403"/>
    <cellStyle name="Input 5 2 4 3 2" xfId="22404"/>
    <cellStyle name="Input 5 2 4 4" xfId="22405"/>
    <cellStyle name="Input 5 2 5" xfId="22406"/>
    <cellStyle name="Input 5 2 5 2" xfId="22407"/>
    <cellStyle name="Input 5 2 5 2 2" xfId="22408"/>
    <cellStyle name="Input 5 2 5 3" xfId="22409"/>
    <cellStyle name="Input 5 2 6" xfId="22410"/>
    <cellStyle name="Input 5 3" xfId="22411"/>
    <cellStyle name="Input 5 3 2" xfId="22412"/>
    <cellStyle name="Input 5 3 2 2" xfId="22413"/>
    <cellStyle name="Input 5 3 2 2 2" xfId="22414"/>
    <cellStyle name="Input 5 3 2 2 2 2" xfId="22415"/>
    <cellStyle name="Input 5 3 2 2 3" xfId="22416"/>
    <cellStyle name="Input 5 3 2 2 3 2" xfId="22417"/>
    <cellStyle name="Input 5 3 2 2 4" xfId="22418"/>
    <cellStyle name="Input 5 3 2 3" xfId="22419"/>
    <cellStyle name="Input 5 3 2 3 2" xfId="22420"/>
    <cellStyle name="Input 5 3 2 3 2 2" xfId="22421"/>
    <cellStyle name="Input 5 3 2 3 3" xfId="22422"/>
    <cellStyle name="Input 5 3 2 4" xfId="22423"/>
    <cellStyle name="Input 5 3 3" xfId="22424"/>
    <cellStyle name="Input 5 3 3 2" xfId="22425"/>
    <cellStyle name="Input 5 3 3 2 2" xfId="22426"/>
    <cellStyle name="Input 5 3 3 3" xfId="22427"/>
    <cellStyle name="Input 5 3 4" xfId="22428"/>
    <cellStyle name="Input 5 3 4 2" xfId="22429"/>
    <cellStyle name="Input 5 3 4 2 2" xfId="22430"/>
    <cellStyle name="Input 5 3 4 3" xfId="22431"/>
    <cellStyle name="Input 5 3 4 3 2" xfId="22432"/>
    <cellStyle name="Input 5 3 4 4" xfId="22433"/>
    <cellStyle name="Input 5 3 5" xfId="22434"/>
    <cellStyle name="Input 5 3 5 2" xfId="22435"/>
    <cellStyle name="Input 5 3 5 2 2" xfId="22436"/>
    <cellStyle name="Input 5 3 5 3" xfId="22437"/>
    <cellStyle name="Input 5 3 6" xfId="22438"/>
    <cellStyle name="Input 5 4" xfId="22439"/>
    <cellStyle name="Input 5 4 2" xfId="22440"/>
    <cellStyle name="Input 5 4 2 2" xfId="22441"/>
    <cellStyle name="Input 5 4 2 2 2" xfId="22442"/>
    <cellStyle name="Input 5 4 2 3" xfId="22443"/>
    <cellStyle name="Input 5 4 3" xfId="22444"/>
    <cellStyle name="Input 5 4 3 2" xfId="22445"/>
    <cellStyle name="Input 5 4 3 2 2" xfId="22446"/>
    <cellStyle name="Input 5 4 3 3" xfId="22447"/>
    <cellStyle name="Input 5 4 4" xfId="22448"/>
    <cellStyle name="Input 5 4 4 2" xfId="22449"/>
    <cellStyle name="Input 5 4 4 2 2" xfId="22450"/>
    <cellStyle name="Input 5 4 4 3" xfId="22451"/>
    <cellStyle name="Input 5 4 4 3 2" xfId="22452"/>
    <cellStyle name="Input 5 4 4 4" xfId="22453"/>
    <cellStyle name="Input 5 4 5" xfId="22454"/>
    <cellStyle name="Input 5 4 5 2" xfId="22455"/>
    <cellStyle name="Input 5 4 5 2 2" xfId="22456"/>
    <cellStyle name="Input 5 4 5 3" xfId="22457"/>
    <cellStyle name="Input 5 4 6" xfId="22458"/>
    <cellStyle name="Input 5 5" xfId="22459"/>
    <cellStyle name="Input 5 5 2" xfId="22460"/>
    <cellStyle name="Input 5 5 2 2" xfId="22461"/>
    <cellStyle name="Input 5 5 2 2 2" xfId="22462"/>
    <cellStyle name="Input 5 5 2 3" xfId="22463"/>
    <cellStyle name="Input 5 5 3" xfId="22464"/>
    <cellStyle name="Input 5 5 3 2" xfId="22465"/>
    <cellStyle name="Input 5 5 3 2 2" xfId="22466"/>
    <cellStyle name="Input 5 5 3 3" xfId="22467"/>
    <cellStyle name="Input 5 5 4" xfId="22468"/>
    <cellStyle name="Input 5 5 4 2" xfId="22469"/>
    <cellStyle name="Input 5 5 5" xfId="22470"/>
    <cellStyle name="Input 5 6" xfId="22471"/>
    <cellStyle name="Input 5 6 2" xfId="22472"/>
    <cellStyle name="Input 5 6 2 2" xfId="22473"/>
    <cellStyle name="Input 5 6 3" xfId="22474"/>
    <cellStyle name="Input 5 7" xfId="22475"/>
    <cellStyle name="Input 5 7 2" xfId="22476"/>
    <cellStyle name="Input 5 7 2 2" xfId="22477"/>
    <cellStyle name="Input 5 7 3" xfId="22478"/>
    <cellStyle name="Input 5 8" xfId="22479"/>
    <cellStyle name="Input 5 9" xfId="22480"/>
    <cellStyle name="Input 5 9 2" xfId="22481"/>
    <cellStyle name="Input 5 9 2 2" xfId="22482"/>
    <cellStyle name="Input 5 9 3" xfId="22483"/>
    <cellStyle name="Input 5 9 3 2" xfId="22484"/>
    <cellStyle name="Input 5 9 4" xfId="22485"/>
    <cellStyle name="Input 50" xfId="22486"/>
    <cellStyle name="Input 50 2" xfId="22487"/>
    <cellStyle name="Input 50 2 2" xfId="22488"/>
    <cellStyle name="Input 50 3" xfId="22489"/>
    <cellStyle name="Input 51" xfId="22490"/>
    <cellStyle name="Input 51 2" xfId="22491"/>
    <cellStyle name="Input 51 2 2" xfId="22492"/>
    <cellStyle name="Input 51 3" xfId="22493"/>
    <cellStyle name="Input 52" xfId="22494"/>
    <cellStyle name="Input 52 2" xfId="22495"/>
    <cellStyle name="Input 52 2 2" xfId="22496"/>
    <cellStyle name="Input 52 3" xfId="22497"/>
    <cellStyle name="Input 53" xfId="22498"/>
    <cellStyle name="Input 53 2" xfId="22499"/>
    <cellStyle name="Input 53 2 2" xfId="22500"/>
    <cellStyle name="Input 53 3" xfId="22501"/>
    <cellStyle name="Input 54" xfId="22502"/>
    <cellStyle name="Input 54 2" xfId="22503"/>
    <cellStyle name="Input 54 2 2" xfId="22504"/>
    <cellStyle name="Input 54 3" xfId="22505"/>
    <cellStyle name="Input 55" xfId="22506"/>
    <cellStyle name="Input 55 2" xfId="22507"/>
    <cellStyle name="Input 55 2 2" xfId="22508"/>
    <cellStyle name="Input 55 3" xfId="22509"/>
    <cellStyle name="Input 56" xfId="22510"/>
    <cellStyle name="Input 56 2" xfId="22511"/>
    <cellStyle name="Input 56 2 2" xfId="22512"/>
    <cellStyle name="Input 56 3" xfId="22513"/>
    <cellStyle name="Input 57" xfId="22514"/>
    <cellStyle name="Input 57 2" xfId="22515"/>
    <cellStyle name="Input 57 2 2" xfId="22516"/>
    <cellStyle name="Input 57 3" xfId="22517"/>
    <cellStyle name="Input 58" xfId="22518"/>
    <cellStyle name="Input 58 2" xfId="22519"/>
    <cellStyle name="Input 58 2 2" xfId="22520"/>
    <cellStyle name="Input 58 3" xfId="22521"/>
    <cellStyle name="Input 59" xfId="22522"/>
    <cellStyle name="Input 59 2" xfId="22523"/>
    <cellStyle name="Input 59 2 2" xfId="22524"/>
    <cellStyle name="Input 59 3" xfId="22525"/>
    <cellStyle name="Input 6" xfId="22526"/>
    <cellStyle name="Input 6 2" xfId="22527"/>
    <cellStyle name="Input 6 2 2" xfId="22528"/>
    <cellStyle name="Input 6 2 2 2" xfId="22529"/>
    <cellStyle name="Input 6 2 2 2 2" xfId="22530"/>
    <cellStyle name="Input 6 2 2 3" xfId="22531"/>
    <cellStyle name="Input 6 2 3" xfId="22532"/>
    <cellStyle name="Input 6 2 3 2" xfId="22533"/>
    <cellStyle name="Input 6 2 3 2 2" xfId="22534"/>
    <cellStyle name="Input 6 2 3 3" xfId="22535"/>
    <cellStyle name="Input 6 2 4" xfId="22536"/>
    <cellStyle name="Input 6 2 4 2" xfId="22537"/>
    <cellStyle name="Input 6 2 5" xfId="22538"/>
    <cellStyle name="Input 6 3" xfId="22539"/>
    <cellStyle name="Input 6 3 2" xfId="22540"/>
    <cellStyle name="Input 6 3 2 2" xfId="22541"/>
    <cellStyle name="Input 6 3 3" xfId="22542"/>
    <cellStyle name="Input 6 4" xfId="22543"/>
    <cellStyle name="Input 6 4 2" xfId="22544"/>
    <cellStyle name="Input 6 4 2 2" xfId="22545"/>
    <cellStyle name="Input 6 4 3" xfId="22546"/>
    <cellStyle name="Input 6 5" xfId="22547"/>
    <cellStyle name="Input 6 6" xfId="22548"/>
    <cellStyle name="Input 6 7" xfId="22549"/>
    <cellStyle name="Input 6 7 2" xfId="22550"/>
    <cellStyle name="Input 60" xfId="22551"/>
    <cellStyle name="Input 60 2" xfId="22552"/>
    <cellStyle name="Input 60 2 2" xfId="22553"/>
    <cellStyle name="Input 60 3" xfId="22554"/>
    <cellStyle name="Input 61" xfId="22555"/>
    <cellStyle name="Input 61 2" xfId="22556"/>
    <cellStyle name="Input 61 2 2" xfId="22557"/>
    <cellStyle name="Input 61 3" xfId="22558"/>
    <cellStyle name="Input 62" xfId="22559"/>
    <cellStyle name="Input 63" xfId="22560"/>
    <cellStyle name="Input 64" xfId="22561"/>
    <cellStyle name="Input 7" xfId="22562"/>
    <cellStyle name="Input 8" xfId="22563"/>
    <cellStyle name="Input 8 2" xfId="22564"/>
    <cellStyle name="Input 8 2 2" xfId="22565"/>
    <cellStyle name="Input 8 3" xfId="22566"/>
    <cellStyle name="Input 9" xfId="22567"/>
    <cellStyle name="Input 9 2" xfId="22568"/>
    <cellStyle name="Input 9 2 2" xfId="22569"/>
    <cellStyle name="Input 9 3" xfId="22570"/>
    <cellStyle name="Input1" xfId="164"/>
    <cellStyle name="Input1 2" xfId="165"/>
    <cellStyle name="Input1 2 2" xfId="22572"/>
    <cellStyle name="Input1 2 2 2" xfId="35994"/>
    <cellStyle name="Input1 2 3" xfId="35595"/>
    <cellStyle name="Input1 2 4" xfId="22571"/>
    <cellStyle name="Input1 3" xfId="166"/>
    <cellStyle name="Input1 3 2" xfId="22573"/>
    <cellStyle name="Input1 3 2 2" xfId="22574"/>
    <cellStyle name="Input1 3 3" xfId="22575"/>
    <cellStyle name="Input1 3 4" xfId="35921"/>
    <cellStyle name="Input1 4" xfId="167"/>
    <cellStyle name="Input1 5" xfId="168"/>
    <cellStyle name="Input1 6" xfId="22576"/>
    <cellStyle name="Input1 7" xfId="22577"/>
    <cellStyle name="Input1 8" xfId="35594"/>
    <cellStyle name="Input1%" xfId="22578"/>
    <cellStyle name="Input1% 2" xfId="35922"/>
    <cellStyle name="Input1_ICRC Electricity model 1-1  (1 Feb 2003) " xfId="29"/>
    <cellStyle name="Input1default" xfId="35923"/>
    <cellStyle name="Input1default%" xfId="22579"/>
    <cellStyle name="Input1default% 2" xfId="35924"/>
    <cellStyle name="Input2" xfId="169"/>
    <cellStyle name="Input2 2" xfId="35831"/>
    <cellStyle name="Input2 3" xfId="35995"/>
    <cellStyle name="Input2%" xfId="22580"/>
    <cellStyle name="Input3" xfId="170"/>
    <cellStyle name="Input3 2" xfId="22581"/>
    <cellStyle name="Input3 3" xfId="22582"/>
    <cellStyle name="Input3 4" xfId="22583"/>
    <cellStyle name="Input3 5" xfId="22584"/>
    <cellStyle name="Input3%" xfId="22585"/>
    <cellStyle name="InputCell" xfId="35911"/>
    <cellStyle name="InputCell 2" xfId="35996"/>
    <cellStyle name="InputCell 3" xfId="35997"/>
    <cellStyle name="InputCellText" xfId="35998"/>
    <cellStyle name="InputCellText 2" xfId="35999"/>
    <cellStyle name="InputCellText 3" xfId="36000"/>
    <cellStyle name="Key assumptions" xfId="22586"/>
    <cellStyle name="Key assumptions 2" xfId="22587"/>
    <cellStyle name="Key assumptions 3" xfId="22588"/>
    <cellStyle name="Key assumptions 4" xfId="22589"/>
    <cellStyle name="key result" xfId="35925"/>
    <cellStyle name="Line Item Modifier" xfId="35732"/>
    <cellStyle name="lineItems" xfId="22590"/>
    <cellStyle name="lineItems 2" xfId="22591"/>
    <cellStyle name="lineItems 2 10" xfId="22592"/>
    <cellStyle name="lineItems 2 2" xfId="22593"/>
    <cellStyle name="lineItems 2 2 2" xfId="22594"/>
    <cellStyle name="lineItems 2 2 3" xfId="22595"/>
    <cellStyle name="lineItems 2 2 4" xfId="22596"/>
    <cellStyle name="lineItems 2 2 4 2" xfId="22597"/>
    <cellStyle name="lineItems 2 2 4 3" xfId="22598"/>
    <cellStyle name="lineItems 2 2 5" xfId="22599"/>
    <cellStyle name="lineItems 2 2 6" xfId="22600"/>
    <cellStyle name="lineItems 2 3" xfId="22601"/>
    <cellStyle name="lineItems 2 3 2" xfId="22602"/>
    <cellStyle name="lineItems 2 3 2 2" xfId="22603"/>
    <cellStyle name="lineItems 2 3 2 3" xfId="22604"/>
    <cellStyle name="lineItems 2 3 2 3 2" xfId="22605"/>
    <cellStyle name="lineItems 2 3 2 3 3" xfId="22606"/>
    <cellStyle name="lineItems 2 3 2 4" xfId="22607"/>
    <cellStyle name="lineItems 2 3 2 5" xfId="22608"/>
    <cellStyle name="lineItems 2 3 3" xfId="22609"/>
    <cellStyle name="lineItems 2 3 4" xfId="22610"/>
    <cellStyle name="lineItems 2 3 4 2" xfId="22611"/>
    <cellStyle name="lineItems 2 3 4 2 2" xfId="22612"/>
    <cellStyle name="lineItems 2 3 4 2 3" xfId="22613"/>
    <cellStyle name="lineItems 2 3 4 3" xfId="22614"/>
    <cellStyle name="lineItems 2 3 4 4" xfId="22615"/>
    <cellStyle name="lineItems 2 3 5" xfId="22616"/>
    <cellStyle name="lineItems 2 3 6" xfId="22617"/>
    <cellStyle name="lineItems 2 4" xfId="22618"/>
    <cellStyle name="lineItems 2 4 2" xfId="22619"/>
    <cellStyle name="lineItems 2 4 2 2" xfId="22620"/>
    <cellStyle name="lineItems 2 4 2 2 2" xfId="22621"/>
    <cellStyle name="lineItems 2 4 2 2 3" xfId="22622"/>
    <cellStyle name="lineItems 2 4 2 3" xfId="22623"/>
    <cellStyle name="lineItems 2 4 2 4" xfId="22624"/>
    <cellStyle name="lineItems 2 4 3" xfId="22625"/>
    <cellStyle name="lineItems 2 4 4" xfId="22626"/>
    <cellStyle name="lineItems 2 4 4 2" xfId="22627"/>
    <cellStyle name="lineItems 2 4 4 3" xfId="22628"/>
    <cellStyle name="lineItems 2 4 5" xfId="22629"/>
    <cellStyle name="lineItems 2 4 6" xfId="22630"/>
    <cellStyle name="lineItems 2 5" xfId="22631"/>
    <cellStyle name="lineItems 2 5 2" xfId="22632"/>
    <cellStyle name="lineItems 2 6" xfId="22633"/>
    <cellStyle name="lineItems 2 7" xfId="22634"/>
    <cellStyle name="lineItems 2 8" xfId="22635"/>
    <cellStyle name="lineItems 2 8 2" xfId="22636"/>
    <cellStyle name="lineItems 2 8 2 2" xfId="22637"/>
    <cellStyle name="lineItems 2 8 2 3" xfId="22638"/>
    <cellStyle name="lineItems 2 8 3" xfId="22639"/>
    <cellStyle name="lineItems 2 8 4" xfId="22640"/>
    <cellStyle name="lineItems 2 9" xfId="22641"/>
    <cellStyle name="lineItems 3" xfId="22642"/>
    <cellStyle name="lineItems 3 2" xfId="22643"/>
    <cellStyle name="lineItems 3 2 2" xfId="22644"/>
    <cellStyle name="lineItems 3 2 2 2" xfId="22645"/>
    <cellStyle name="lineItems 3 2 2 2 2" xfId="22646"/>
    <cellStyle name="lineItems 3 2 2 2 3" xfId="22647"/>
    <cellStyle name="lineItems 3 2 2 3" xfId="22648"/>
    <cellStyle name="lineItems 3 2 2 4" xfId="22649"/>
    <cellStyle name="lineItems 3 2 3" xfId="22650"/>
    <cellStyle name="lineItems 3 2 4" xfId="22651"/>
    <cellStyle name="lineItems 3 2 4 2" xfId="22652"/>
    <cellStyle name="lineItems 3 2 4 3" xfId="22653"/>
    <cellStyle name="lineItems 3 2 5" xfId="22654"/>
    <cellStyle name="lineItems 3 2 6" xfId="22655"/>
    <cellStyle name="lineItems 3 3" xfId="22656"/>
    <cellStyle name="lineItems 3 4" xfId="22657"/>
    <cellStyle name="lineItems 4" xfId="22658"/>
    <cellStyle name="lineItems 4 2" xfId="22659"/>
    <cellStyle name="lineItems 4 2 2" xfId="22660"/>
    <cellStyle name="lineItems 4 2 2 2" xfId="22661"/>
    <cellStyle name="lineItems 4 2 2 3" xfId="22662"/>
    <cellStyle name="lineItems 4 2 3" xfId="22663"/>
    <cellStyle name="lineItems 4 2 4" xfId="22664"/>
    <cellStyle name="lineItems 4 3" xfId="22665"/>
    <cellStyle name="lineItems 4 4" xfId="22666"/>
    <cellStyle name="lineItems 4 5" xfId="22667"/>
    <cellStyle name="lineItems 4 5 2" xfId="22668"/>
    <cellStyle name="lineItems 4 5 3" xfId="22669"/>
    <cellStyle name="lineItems 4 6" xfId="22670"/>
    <cellStyle name="lineItems 4 7" xfId="22671"/>
    <cellStyle name="lineItems 5" xfId="22672"/>
    <cellStyle name="lineItems 5 2" xfId="22673"/>
    <cellStyle name="lineItems 6" xfId="22674"/>
    <cellStyle name="lineItems 7" xfId="22675"/>
    <cellStyle name="Lines" xfId="35832"/>
    <cellStyle name="Linked Cell" xfId="35677" builtinId="24" customBuiltin="1"/>
    <cellStyle name="Linked Cell 2" xfId="69"/>
    <cellStyle name="Linked Cell 2 2" xfId="22677"/>
    <cellStyle name="Linked Cell 2 2 2" xfId="22678"/>
    <cellStyle name="Linked Cell 2 2 3" xfId="22679"/>
    <cellStyle name="Linked Cell 2 2 4" xfId="22680"/>
    <cellStyle name="Linked Cell 2 3" xfId="22681"/>
    <cellStyle name="Linked Cell 2 3 2" xfId="22682"/>
    <cellStyle name="Linked Cell 2 4" xfId="22683"/>
    <cellStyle name="Linked Cell 2 5" xfId="22684"/>
    <cellStyle name="Linked Cell 2 6" xfId="22685"/>
    <cellStyle name="Linked Cell 2 6 2" xfId="22686"/>
    <cellStyle name="Linked Cell 2 7" xfId="22687"/>
    <cellStyle name="Linked Cell 2 8" xfId="22676"/>
    <cellStyle name="Linked Cell 3" xfId="171"/>
    <cellStyle name="Linked Cell 3 2" xfId="22689"/>
    <cellStyle name="Linked Cell 3 3" xfId="22690"/>
    <cellStyle name="Linked Cell 3 4" xfId="22691"/>
    <cellStyle name="Linked Cell 3 5" xfId="22688"/>
    <cellStyle name="Linked Cell 4" xfId="22692"/>
    <cellStyle name="Linked Cell 4 2" xfId="22693"/>
    <cellStyle name="Linked Cell 4 3" xfId="22694"/>
    <cellStyle name="Linked Cell 5" xfId="22695"/>
    <cellStyle name="Linked Cell 6" xfId="22696"/>
    <cellStyle name="Linked Cell 7" xfId="22697"/>
    <cellStyle name="Linked Cell 8" xfId="22698"/>
    <cellStyle name="Local import" xfId="35926"/>
    <cellStyle name="Local import %" xfId="35927"/>
    <cellStyle name="Major Heading" xfId="22699"/>
    <cellStyle name="Major Heading 2" xfId="22700"/>
    <cellStyle name="Major Heading 3" xfId="22701"/>
    <cellStyle name="Major Heading 4" xfId="22702"/>
    <cellStyle name="Major row heading" xfId="22703"/>
    <cellStyle name="Major row heading 2" xfId="22704"/>
    <cellStyle name="Major row heading 3" xfId="22705"/>
    <cellStyle name="Major row heading 4" xfId="22706"/>
    <cellStyle name="Milliers [0]_Feuil1" xfId="22707"/>
    <cellStyle name="Milliers_Feuil1" xfId="22708"/>
    <cellStyle name="Mine" xfId="35833"/>
    <cellStyle name="minor row heading" xfId="22709"/>
    <cellStyle name="minor row heading 2" xfId="22710"/>
    <cellStyle name="minor row heading 2 2" xfId="22711"/>
    <cellStyle name="minor row heading 2 2 2" xfId="22712"/>
    <cellStyle name="minor row heading 2 3" xfId="22713"/>
    <cellStyle name="minor row heading 2 4" xfId="22714"/>
    <cellStyle name="minor row heading 3" xfId="22715"/>
    <cellStyle name="minor row heading 3 2" xfId="22716"/>
    <cellStyle name="minor row heading 3 3" xfId="22717"/>
    <cellStyle name="minor row heading 4" xfId="22718"/>
    <cellStyle name="Model Name" xfId="35834"/>
    <cellStyle name="Monétaire [0]_Feuil1" xfId="22719"/>
    <cellStyle name="Monétaire_Feuil1" xfId="22720"/>
    <cellStyle name="Multiple" xfId="35720"/>
    <cellStyle name="Multiple Assumptions" xfId="35721"/>
    <cellStyle name="Multiple Input" xfId="35741"/>
    <cellStyle name="Named Range Label" xfId="296"/>
    <cellStyle name="Named Range_BuildITHelp" xfId="297"/>
    <cellStyle name="Neutral" xfId="35673" builtinId="28" customBuiltin="1"/>
    <cellStyle name="Neutral 2" xfId="70"/>
    <cellStyle name="Neutral 2 2" xfId="22722"/>
    <cellStyle name="Neutral 2 2 2" xfId="22723"/>
    <cellStyle name="Neutral 2 2 3" xfId="22724"/>
    <cellStyle name="Neutral 2 2 4" xfId="22725"/>
    <cellStyle name="Neutral 2 3" xfId="22726"/>
    <cellStyle name="Neutral 2 3 2" xfId="22727"/>
    <cellStyle name="Neutral 2 4" xfId="22728"/>
    <cellStyle name="Neutral 2 5" xfId="22729"/>
    <cellStyle name="Neutral 2 6" xfId="22730"/>
    <cellStyle name="Neutral 2 7" xfId="22731"/>
    <cellStyle name="Neutral 2 8" xfId="22732"/>
    <cellStyle name="Neutral 2 9" xfId="22721"/>
    <cellStyle name="Neutral 3" xfId="172"/>
    <cellStyle name="Neutral 3 2" xfId="22734"/>
    <cellStyle name="Neutral 3 2 2" xfId="22735"/>
    <cellStyle name="Neutral 3 3" xfId="22736"/>
    <cellStyle name="Neutral 3 4" xfId="22733"/>
    <cellStyle name="Neutral 4" xfId="22737"/>
    <cellStyle name="Neutral 4 2" xfId="22738"/>
    <cellStyle name="Neutral 4 3" xfId="22739"/>
    <cellStyle name="Neutral 4 4" xfId="22740"/>
    <cellStyle name="Neutral 5" xfId="22741"/>
    <cellStyle name="Neutral 5 2" xfId="22742"/>
    <cellStyle name="Neutral 6" xfId="22743"/>
    <cellStyle name="Neutral 7" xfId="22744"/>
    <cellStyle name="Neutral 8" xfId="22745"/>
    <cellStyle name="Neutral 9" xfId="22746"/>
    <cellStyle name="no dec" xfId="22747"/>
    <cellStyle name="NonInputCell" xfId="35912"/>
    <cellStyle name="NonInputCell 2" xfId="36001"/>
    <cellStyle name="NonInputCell 3" xfId="36002"/>
    <cellStyle name="Normal" xfId="0" builtinId="0"/>
    <cellStyle name="Normal - Style1" xfId="22748"/>
    <cellStyle name="Normal - Style1 2" xfId="35835"/>
    <cellStyle name="Normal 10" xfId="173"/>
    <cellStyle name="Normal 10 2" xfId="22750"/>
    <cellStyle name="Normal 10 2 2" xfId="22751"/>
    <cellStyle name="Normal 10 2 2 2" xfId="22752"/>
    <cellStyle name="Normal 10 2 2 2 2" xfId="22753"/>
    <cellStyle name="Normal 10 2 2 2 2 2" xfId="22754"/>
    <cellStyle name="Normal 10 2 2 2 3" xfId="22755"/>
    <cellStyle name="Normal 10 2 2 2 4" xfId="22756"/>
    <cellStyle name="Normal 10 2 2 2 5" xfId="36104"/>
    <cellStyle name="Normal 10 2 3" xfId="22757"/>
    <cellStyle name="Normal 10 2 3 2" xfId="22758"/>
    <cellStyle name="Normal 10 2 3 2 2" xfId="22759"/>
    <cellStyle name="Normal 10 2 3 3" xfId="22760"/>
    <cellStyle name="Normal 10 2 3 4" xfId="22761"/>
    <cellStyle name="Normal 10 2 4" xfId="22762"/>
    <cellStyle name="Normal 10 2 5" xfId="22763"/>
    <cellStyle name="Normal 10 2 5 2" xfId="22764"/>
    <cellStyle name="Normal 10 2 5 2 2" xfId="22765"/>
    <cellStyle name="Normal 10 2 5 3" xfId="22766"/>
    <cellStyle name="Normal 10 2 5 4" xfId="22767"/>
    <cellStyle name="Normal 10 2 6" xfId="35613"/>
    <cellStyle name="Normal 10 2 7" xfId="35747"/>
    <cellStyle name="Normal 10 3" xfId="22768"/>
    <cellStyle name="Normal 10 3 2" xfId="22769"/>
    <cellStyle name="Normal 10 3 2 2" xfId="22770"/>
    <cellStyle name="Normal 10 3 2 2 2" xfId="22771"/>
    <cellStyle name="Normal 10 3 2 3" xfId="22772"/>
    <cellStyle name="Normal 10 3 2 4" xfId="22773"/>
    <cellStyle name="Normal 10 3 3" xfId="22774"/>
    <cellStyle name="Normal 10 3 3 2" xfId="22775"/>
    <cellStyle name="Normal 10 3 3 2 2" xfId="22776"/>
    <cellStyle name="Normal 10 3 3 3" xfId="22777"/>
    <cellStyle name="Normal 10 3 3 4" xfId="22778"/>
    <cellStyle name="Normal 10 3 4" xfId="22779"/>
    <cellStyle name="Normal 10 3 4 2" xfId="22780"/>
    <cellStyle name="Normal 10 3 4 2 2" xfId="22781"/>
    <cellStyle name="Normal 10 3 4 3" xfId="22782"/>
    <cellStyle name="Normal 10 3 4 4" xfId="22783"/>
    <cellStyle name="Normal 10 3 5" xfId="36123"/>
    <cellStyle name="Normal 10 4" xfId="22784"/>
    <cellStyle name="Normal 10 4 2" xfId="22785"/>
    <cellStyle name="Normal 10 4 2 2" xfId="22786"/>
    <cellStyle name="Normal 10 4 2 2 2" xfId="22787"/>
    <cellStyle name="Normal 10 4 2 3" xfId="22788"/>
    <cellStyle name="Normal 10 4 2 4" xfId="22789"/>
    <cellStyle name="Normal 10 4 3" xfId="22790"/>
    <cellStyle name="Normal 10 4 3 2" xfId="22791"/>
    <cellStyle name="Normal 10 4 3 2 2" xfId="22792"/>
    <cellStyle name="Normal 10 4 3 3" xfId="22793"/>
    <cellStyle name="Normal 10 4 3 4" xfId="22794"/>
    <cellStyle name="Normal 10 4 4" xfId="22795"/>
    <cellStyle name="Normal 10 4 4 2" xfId="22796"/>
    <cellStyle name="Normal 10 4 4 2 2" xfId="22797"/>
    <cellStyle name="Normal 10 4 4 3" xfId="22798"/>
    <cellStyle name="Normal 10 4 4 4" xfId="22799"/>
    <cellStyle name="Normal 10 5" xfId="22800"/>
    <cellStyle name="Normal 10 5 2" xfId="22801"/>
    <cellStyle name="Normal 10 5 2 2" xfId="22802"/>
    <cellStyle name="Normal 10 5 3" xfId="22803"/>
    <cellStyle name="Normal 10 5 4" xfId="22804"/>
    <cellStyle name="Normal 10 6" xfId="22805"/>
    <cellStyle name="Normal 10 6 2" xfId="22806"/>
    <cellStyle name="Normal 10 6 2 2" xfId="22807"/>
    <cellStyle name="Normal 10 6 3" xfId="22808"/>
    <cellStyle name="Normal 10 6 4" xfId="22809"/>
    <cellStyle name="Normal 10 7" xfId="22810"/>
    <cellStyle name="Normal 10 8" xfId="22749"/>
    <cellStyle name="Normal 100" xfId="22811"/>
    <cellStyle name="Normal 100 2" xfId="22812"/>
    <cellStyle name="Normal 101" xfId="22813"/>
    <cellStyle name="Normal 101 2" xfId="22814"/>
    <cellStyle name="Normal 102" xfId="22815"/>
    <cellStyle name="Normal 102 2" xfId="22816"/>
    <cellStyle name="Normal 103" xfId="22817"/>
    <cellStyle name="Normal 103 2" xfId="22818"/>
    <cellStyle name="Normal 104" xfId="22819"/>
    <cellStyle name="Normal 104 2" xfId="22820"/>
    <cellStyle name="Normal 105" xfId="22821"/>
    <cellStyle name="Normal 105 2" xfId="22822"/>
    <cellStyle name="Normal 106" xfId="22823"/>
    <cellStyle name="Normal 106 2" xfId="22824"/>
    <cellStyle name="Normal 107" xfId="22825"/>
    <cellStyle name="Normal 107 2" xfId="22826"/>
    <cellStyle name="Normal 108" xfId="22827"/>
    <cellStyle name="Normal 108 2" xfId="22828"/>
    <cellStyle name="Normal 109" xfId="22829"/>
    <cellStyle name="Normal 109 2" xfId="22830"/>
    <cellStyle name="Normal 11" xfId="22831"/>
    <cellStyle name="Normal 11 2" xfId="22832"/>
    <cellStyle name="Normal 11 2 2" xfId="22833"/>
    <cellStyle name="Normal 11 2 2 2" xfId="22834"/>
    <cellStyle name="Normal 11 2 2 2 2" xfId="22835"/>
    <cellStyle name="Normal 11 2 2 3" xfId="22836"/>
    <cellStyle name="Normal 11 2 2 4" xfId="22837"/>
    <cellStyle name="Normal 11 2 3" xfId="22838"/>
    <cellStyle name="Normal 11 2 3 2" xfId="22839"/>
    <cellStyle name="Normal 11 2 3 2 2" xfId="22840"/>
    <cellStyle name="Normal 11 2 3 3" xfId="22841"/>
    <cellStyle name="Normal 11 2 3 4" xfId="22842"/>
    <cellStyle name="Normal 11 2 4" xfId="22843"/>
    <cellStyle name="Normal 11 2 4 2" xfId="22844"/>
    <cellStyle name="Normal 11 2 4 2 2" xfId="22845"/>
    <cellStyle name="Normal 11 2 4 3" xfId="22846"/>
    <cellStyle name="Normal 11 2 4 4" xfId="22847"/>
    <cellStyle name="Normal 11 2 5" xfId="36003"/>
    <cellStyle name="Normal 11 3" xfId="22848"/>
    <cellStyle name="Normal 11 3 2" xfId="22849"/>
    <cellStyle name="Normal 11 3 2 2" xfId="22850"/>
    <cellStyle name="Normal 11 3 2 2 2" xfId="22851"/>
    <cellStyle name="Normal 11 3 2 3" xfId="22852"/>
    <cellStyle name="Normal 11 3 2 4" xfId="22853"/>
    <cellStyle name="Normal 11 3 3" xfId="22854"/>
    <cellStyle name="Normal 11 3 3 2" xfId="22855"/>
    <cellStyle name="Normal 11 3 3 2 2" xfId="22856"/>
    <cellStyle name="Normal 11 3 3 3" xfId="22857"/>
    <cellStyle name="Normal 11 3 3 4" xfId="22858"/>
    <cellStyle name="Normal 11 3 4" xfId="22859"/>
    <cellStyle name="Normal 11 3 4 2" xfId="22860"/>
    <cellStyle name="Normal 11 3 4 2 2" xfId="22861"/>
    <cellStyle name="Normal 11 3 4 3" xfId="22862"/>
    <cellStyle name="Normal 11 3 4 4" xfId="22863"/>
    <cellStyle name="Normal 11 3 5" xfId="36004"/>
    <cellStyle name="Normal 11 4" xfId="22864"/>
    <cellStyle name="Normal 11 4 2" xfId="22865"/>
    <cellStyle name="Normal 11 4 2 2" xfId="22866"/>
    <cellStyle name="Normal 11 4 2 2 2" xfId="22867"/>
    <cellStyle name="Normal 11 4 2 3" xfId="22868"/>
    <cellStyle name="Normal 11 4 2 4" xfId="22869"/>
    <cellStyle name="Normal 11 4 3" xfId="22870"/>
    <cellStyle name="Normal 11 4 3 2" xfId="22871"/>
    <cellStyle name="Normal 11 4 3 2 2" xfId="22872"/>
    <cellStyle name="Normal 11 4 3 3" xfId="22873"/>
    <cellStyle name="Normal 11 4 3 4" xfId="22874"/>
    <cellStyle name="Normal 11 4 4" xfId="22875"/>
    <cellStyle name="Normal 11 4 4 2" xfId="22876"/>
    <cellStyle name="Normal 11 4 5" xfId="22877"/>
    <cellStyle name="Normal 11 4 6" xfId="22878"/>
    <cellStyle name="Normal 11 5" xfId="22879"/>
    <cellStyle name="Normal 11 5 2" xfId="22880"/>
    <cellStyle name="Normal 11 5 2 2" xfId="22881"/>
    <cellStyle name="Normal 11 5 3" xfId="22882"/>
    <cellStyle name="Normal 11 5 4" xfId="22883"/>
    <cellStyle name="Normal 11 6" xfId="22884"/>
    <cellStyle name="Normal 11 6 2" xfId="22885"/>
    <cellStyle name="Normal 11 6 2 2" xfId="22886"/>
    <cellStyle name="Normal 11 6 3" xfId="22887"/>
    <cellStyle name="Normal 11 6 4" xfId="22888"/>
    <cellStyle name="Normal 11 7" xfId="22889"/>
    <cellStyle name="Normal 11 7 2" xfId="22890"/>
    <cellStyle name="Normal 11 7 2 2" xfId="22891"/>
    <cellStyle name="Normal 11 7 3" xfId="22892"/>
    <cellStyle name="Normal 11 7 4" xfId="22893"/>
    <cellStyle name="Normal 11 8" xfId="35633"/>
    <cellStyle name="Normal 110" xfId="22894"/>
    <cellStyle name="Normal 110 2" xfId="22895"/>
    <cellStyle name="Normal 111" xfId="22896"/>
    <cellStyle name="Normal 111 2" xfId="22897"/>
    <cellStyle name="Normal 112" xfId="22898"/>
    <cellStyle name="Normal 112 2" xfId="22899"/>
    <cellStyle name="Normal 113" xfId="22900"/>
    <cellStyle name="Normal 113 2" xfId="22901"/>
    <cellStyle name="Normal 113 2 2" xfId="22902"/>
    <cellStyle name="Normal 113 3" xfId="22903"/>
    <cellStyle name="Normal 114" xfId="174"/>
    <cellStyle name="Normal 114 2" xfId="22905"/>
    <cellStyle name="Normal 114 2 2" xfId="22906"/>
    <cellStyle name="Normal 114 2 3" xfId="36105"/>
    <cellStyle name="Normal 114 3" xfId="22907"/>
    <cellStyle name="Normal 114 4" xfId="35596"/>
    <cellStyle name="Normal 114 5" xfId="22904"/>
    <cellStyle name="Normal 115" xfId="22908"/>
    <cellStyle name="Normal 115 2" xfId="22909"/>
    <cellStyle name="Normal 115 2 2" xfId="22910"/>
    <cellStyle name="Normal 115 3" xfId="22911"/>
    <cellStyle name="Normal 116" xfId="22912"/>
    <cellStyle name="Normal 116 2" xfId="22913"/>
    <cellStyle name="Normal 117" xfId="22914"/>
    <cellStyle name="Normal 117 2" xfId="22915"/>
    <cellStyle name="Normal 118" xfId="22916"/>
    <cellStyle name="Normal 118 2" xfId="22917"/>
    <cellStyle name="Normal 119" xfId="22918"/>
    <cellStyle name="Normal 119 2" xfId="22919"/>
    <cellStyle name="Normal 12" xfId="22920"/>
    <cellStyle name="Normal 12 2" xfId="22921"/>
    <cellStyle name="Normal 12 2 2" xfId="22922"/>
    <cellStyle name="Normal 12 2 2 2" xfId="22923"/>
    <cellStyle name="Normal 12 2 2 2 2" xfId="22924"/>
    <cellStyle name="Normal 12 2 2 2 2 2" xfId="22925"/>
    <cellStyle name="Normal 12 2 2 2 3" xfId="22926"/>
    <cellStyle name="Normal 12 2 2 2 4" xfId="22927"/>
    <cellStyle name="Normal 12 2 3" xfId="22928"/>
    <cellStyle name="Normal 12 2 3 2" xfId="22929"/>
    <cellStyle name="Normal 12 2 3 2 2" xfId="22930"/>
    <cellStyle name="Normal 12 2 3 3" xfId="22931"/>
    <cellStyle name="Normal 12 2 3 4" xfId="22932"/>
    <cellStyle name="Normal 12 2 4" xfId="22933"/>
    <cellStyle name="Normal 12 2 4 2" xfId="22934"/>
    <cellStyle name="Normal 12 2 4 2 2" xfId="22935"/>
    <cellStyle name="Normal 12 2 4 3" xfId="22936"/>
    <cellStyle name="Normal 12 2 4 4" xfId="22937"/>
    <cellStyle name="Normal 12 2 5" xfId="36005"/>
    <cellStyle name="Normal 12 3" xfId="22938"/>
    <cellStyle name="Normal 12 3 2" xfId="22939"/>
    <cellStyle name="Normal 12 3 2 2" xfId="22940"/>
    <cellStyle name="Normal 12 3 2 2 2" xfId="22941"/>
    <cellStyle name="Normal 12 3 2 3" xfId="22942"/>
    <cellStyle name="Normal 12 3 2 4" xfId="22943"/>
    <cellStyle name="Normal 12 3 3" xfId="22944"/>
    <cellStyle name="Normal 12 3 3 2" xfId="22945"/>
    <cellStyle name="Normal 12 3 3 2 2" xfId="22946"/>
    <cellStyle name="Normal 12 3 3 3" xfId="22947"/>
    <cellStyle name="Normal 12 3 3 4" xfId="22948"/>
    <cellStyle name="Normal 12 3 4" xfId="22949"/>
    <cellStyle name="Normal 12 3 4 2" xfId="22950"/>
    <cellStyle name="Normal 12 3 4 2 2" xfId="22951"/>
    <cellStyle name="Normal 12 3 4 3" xfId="22952"/>
    <cellStyle name="Normal 12 3 4 4" xfId="22953"/>
    <cellStyle name="Normal 12 4" xfId="22954"/>
    <cellStyle name="Normal 12 4 2" xfId="22955"/>
    <cellStyle name="Normal 12 4 2 2" xfId="22956"/>
    <cellStyle name="Normal 12 4 2 2 2" xfId="22957"/>
    <cellStyle name="Normal 12 4 2 3" xfId="22958"/>
    <cellStyle name="Normal 12 4 2 4" xfId="22959"/>
    <cellStyle name="Normal 12 4 3" xfId="22960"/>
    <cellStyle name="Normal 12 4 3 2" xfId="22961"/>
    <cellStyle name="Normal 12 4 3 2 2" xfId="22962"/>
    <cellStyle name="Normal 12 4 3 3" xfId="22963"/>
    <cellStyle name="Normal 12 4 3 4" xfId="22964"/>
    <cellStyle name="Normal 12 4 4" xfId="22965"/>
    <cellStyle name="Normal 12 4 4 2" xfId="22966"/>
    <cellStyle name="Normal 12 4 4 2 2" xfId="22967"/>
    <cellStyle name="Normal 12 4 4 3" xfId="22968"/>
    <cellStyle name="Normal 12 4 4 4" xfId="22969"/>
    <cellStyle name="Normal 12 5" xfId="22970"/>
    <cellStyle name="Normal 12 5 2" xfId="22971"/>
    <cellStyle name="Normal 12 5 2 2" xfId="22972"/>
    <cellStyle name="Normal 12 5 3" xfId="22973"/>
    <cellStyle name="Normal 12 5 4" xfId="22974"/>
    <cellStyle name="Normal 12 6" xfId="22975"/>
    <cellStyle name="Normal 12 6 2" xfId="22976"/>
    <cellStyle name="Normal 12 6 2 2" xfId="22977"/>
    <cellStyle name="Normal 12 6 2 2 2" xfId="22978"/>
    <cellStyle name="Normal 12 6 2 3" xfId="22979"/>
    <cellStyle name="Normal 12 6 2 4" xfId="22980"/>
    <cellStyle name="Normal 12 7" xfId="22981"/>
    <cellStyle name="Normal 12 7 2" xfId="22982"/>
    <cellStyle name="Normal 12 7 2 2" xfId="22983"/>
    <cellStyle name="Normal 12 7 3" xfId="22984"/>
    <cellStyle name="Normal 12 7 4" xfId="22985"/>
    <cellStyle name="Normal 120" xfId="22986"/>
    <cellStyle name="Normal 120 2" xfId="22987"/>
    <cellStyle name="Normal 120 2 2" xfId="22988"/>
    <cellStyle name="Normal 120 3" xfId="22989"/>
    <cellStyle name="Normal 121" xfId="22990"/>
    <cellStyle name="Normal 121 2" xfId="22991"/>
    <cellStyle name="Normal 121 2 2" xfId="22992"/>
    <cellStyle name="Normal 121 3" xfId="22993"/>
    <cellStyle name="Normal 122" xfId="22994"/>
    <cellStyle name="Normal 122 2" xfId="22995"/>
    <cellStyle name="Normal 122 2 2" xfId="22996"/>
    <cellStyle name="Normal 122 3" xfId="22997"/>
    <cellStyle name="Normal 123" xfId="22998"/>
    <cellStyle name="Normal 123 2" xfId="22999"/>
    <cellStyle name="Normal 123 2 2" xfId="23000"/>
    <cellStyle name="Normal 123 3" xfId="23001"/>
    <cellStyle name="Normal 124" xfId="23002"/>
    <cellStyle name="Normal 124 2" xfId="23003"/>
    <cellStyle name="Normal 124 2 2" xfId="23004"/>
    <cellStyle name="Normal 124 3" xfId="23005"/>
    <cellStyle name="Normal 125" xfId="23006"/>
    <cellStyle name="Normal 125 2" xfId="23007"/>
    <cellStyle name="Normal 125 2 2" xfId="23008"/>
    <cellStyle name="Normal 125 3" xfId="23009"/>
    <cellStyle name="Normal 126" xfId="23010"/>
    <cellStyle name="Normal 126 2" xfId="23011"/>
    <cellStyle name="Normal 126 2 2" xfId="23012"/>
    <cellStyle name="Normal 126 3" xfId="23013"/>
    <cellStyle name="Normal 127" xfId="23014"/>
    <cellStyle name="Normal 127 2" xfId="23015"/>
    <cellStyle name="Normal 127 2 2" xfId="23016"/>
    <cellStyle name="Normal 127 3" xfId="23017"/>
    <cellStyle name="Normal 128" xfId="23018"/>
    <cellStyle name="Normal 128 2" xfId="23019"/>
    <cellStyle name="Normal 128 2 2" xfId="23020"/>
    <cellStyle name="Normal 128 3" xfId="23021"/>
    <cellStyle name="Normal 129" xfId="23022"/>
    <cellStyle name="Normal 129 2" xfId="23023"/>
    <cellStyle name="Normal 13" xfId="208"/>
    <cellStyle name="Normal 13 2" xfId="23025"/>
    <cellStyle name="Normal 13 2 2" xfId="23026"/>
    <cellStyle name="Normal 13 2 2 2" xfId="23027"/>
    <cellStyle name="Normal 13 2 2 2 2" xfId="23028"/>
    <cellStyle name="Normal 13 2 2 3" xfId="23029"/>
    <cellStyle name="Normal 13 2 2 4" xfId="23030"/>
    <cellStyle name="Normal 13 2 3" xfId="23031"/>
    <cellStyle name="Normal 13 2 3 2" xfId="23032"/>
    <cellStyle name="Normal 13 2 3 2 2" xfId="23033"/>
    <cellStyle name="Normal 13 2 3 3" xfId="23034"/>
    <cellStyle name="Normal 13 2 3 4" xfId="23035"/>
    <cellStyle name="Normal 13 2 4" xfId="23036"/>
    <cellStyle name="Normal 13 2 4 2" xfId="23037"/>
    <cellStyle name="Normal 13 2 4 2 2" xfId="23038"/>
    <cellStyle name="Normal 13 2 4 3" xfId="23039"/>
    <cellStyle name="Normal 13 2 4 4" xfId="23040"/>
    <cellStyle name="Normal 13 2 5" xfId="35836"/>
    <cellStyle name="Normal 13 3" xfId="23041"/>
    <cellStyle name="Normal 13 3 2" xfId="23042"/>
    <cellStyle name="Normal 13 3 2 2" xfId="23043"/>
    <cellStyle name="Normal 13 3 2 2 2" xfId="23044"/>
    <cellStyle name="Normal 13 3 2 3" xfId="23045"/>
    <cellStyle name="Normal 13 3 2 4" xfId="23046"/>
    <cellStyle name="Normal 13 3 3" xfId="23047"/>
    <cellStyle name="Normal 13 3 3 2" xfId="23048"/>
    <cellStyle name="Normal 13 3 3 2 2" xfId="23049"/>
    <cellStyle name="Normal 13 3 3 3" xfId="23050"/>
    <cellStyle name="Normal 13 3 3 4" xfId="23051"/>
    <cellStyle name="Normal 13 3 4" xfId="23052"/>
    <cellStyle name="Normal 13 3 4 2" xfId="23053"/>
    <cellStyle name="Normal 13 3 4 2 2" xfId="23054"/>
    <cellStyle name="Normal 13 3 4 3" xfId="23055"/>
    <cellStyle name="Normal 13 3 4 4" xfId="23056"/>
    <cellStyle name="Normal 13 4" xfId="23057"/>
    <cellStyle name="Normal 13 4 2" xfId="23058"/>
    <cellStyle name="Normal 13 4 2 2" xfId="23059"/>
    <cellStyle name="Normal 13 4 2 2 2" xfId="23060"/>
    <cellStyle name="Normal 13 4 2 3" xfId="23061"/>
    <cellStyle name="Normal 13 4 2 4" xfId="23062"/>
    <cellStyle name="Normal 13 4 3" xfId="23063"/>
    <cellStyle name="Normal 13 4 3 2" xfId="23064"/>
    <cellStyle name="Normal 13 4 3 2 2" xfId="23065"/>
    <cellStyle name="Normal 13 4 3 3" xfId="23066"/>
    <cellStyle name="Normal 13 4 3 4" xfId="23067"/>
    <cellStyle name="Normal 13 4 4" xfId="23068"/>
    <cellStyle name="Normal 13 4 4 2" xfId="23069"/>
    <cellStyle name="Normal 13 4 5" xfId="23070"/>
    <cellStyle name="Normal 13 4 6" xfId="23071"/>
    <cellStyle name="Normal 13 5" xfId="23072"/>
    <cellStyle name="Normal 13 5 2" xfId="23073"/>
    <cellStyle name="Normal 13 5 2 2" xfId="23074"/>
    <cellStyle name="Normal 13 5 3" xfId="23075"/>
    <cellStyle name="Normal 13 5 4" xfId="23076"/>
    <cellStyle name="Normal 13 6" xfId="23077"/>
    <cellStyle name="Normal 13 6 2" xfId="23078"/>
    <cellStyle name="Normal 13 6 2 2" xfId="23079"/>
    <cellStyle name="Normal 13 6 3" xfId="23080"/>
    <cellStyle name="Normal 13 6 4" xfId="23081"/>
    <cellStyle name="Normal 13 7" xfId="23082"/>
    <cellStyle name="Normal 13 7 2" xfId="23083"/>
    <cellStyle name="Normal 13 7 2 2" xfId="23084"/>
    <cellStyle name="Normal 13 7 3" xfId="23085"/>
    <cellStyle name="Normal 13 7 4" xfId="23086"/>
    <cellStyle name="Normal 13 8" xfId="35489"/>
    <cellStyle name="Normal 13 9" xfId="23024"/>
    <cellStyle name="Normal 13_29(d) - Gas extensions -tariffs" xfId="35837"/>
    <cellStyle name="Normal 130" xfId="23087"/>
    <cellStyle name="Normal 130 2" xfId="23088"/>
    <cellStyle name="Normal 131" xfId="23089"/>
    <cellStyle name="Normal 131 2" xfId="23090"/>
    <cellStyle name="Normal 132" xfId="23091"/>
    <cellStyle name="Normal 132 2" xfId="23092"/>
    <cellStyle name="Normal 133" xfId="23093"/>
    <cellStyle name="Normal 133 2" xfId="23094"/>
    <cellStyle name="Normal 134" xfId="23095"/>
    <cellStyle name="Normal 134 2" xfId="23096"/>
    <cellStyle name="Normal 135" xfId="23097"/>
    <cellStyle name="Normal 135 2" xfId="23098"/>
    <cellStyle name="Normal 136" xfId="23099"/>
    <cellStyle name="Normal 137" xfId="23100"/>
    <cellStyle name="Normal 138" xfId="23101"/>
    <cellStyle name="Normal 139" xfId="23102"/>
    <cellStyle name="Normal 14" xfId="23103"/>
    <cellStyle name="Normal 14 2" xfId="23104"/>
    <cellStyle name="Normal 14 2 2" xfId="23105"/>
    <cellStyle name="Normal 14 2 2 2" xfId="23106"/>
    <cellStyle name="Normal 14 2 2 2 2" xfId="23107"/>
    <cellStyle name="Normal 14 2 2 2 2 2" xfId="23108"/>
    <cellStyle name="Normal 14 2 2 2 3" xfId="23109"/>
    <cellStyle name="Normal 14 2 2 2 4" xfId="23110"/>
    <cellStyle name="Normal 14 2 2 3" xfId="23111"/>
    <cellStyle name="Normal 14 2 2 3 2" xfId="23112"/>
    <cellStyle name="Normal 14 2 2 3 2 2" xfId="23113"/>
    <cellStyle name="Normal 14 2 2 3 3" xfId="23114"/>
    <cellStyle name="Normal 14 2 2 3 4" xfId="23115"/>
    <cellStyle name="Normal 14 2 2 4" xfId="23116"/>
    <cellStyle name="Normal 14 2 2 4 2" xfId="23117"/>
    <cellStyle name="Normal 14 2 2 5" xfId="23118"/>
    <cellStyle name="Normal 14 2 2 6" xfId="23119"/>
    <cellStyle name="Normal 14 2 3" xfId="23120"/>
    <cellStyle name="Normal 14 2 3 2" xfId="23121"/>
    <cellStyle name="Normal 14 2 3 2 2" xfId="23122"/>
    <cellStyle name="Normal 14 2 3 2 2 2" xfId="23123"/>
    <cellStyle name="Normal 14 2 3 2 3" xfId="23124"/>
    <cellStyle name="Normal 14 2 3 2 4" xfId="23125"/>
    <cellStyle name="Normal 14 2 3 3" xfId="23126"/>
    <cellStyle name="Normal 14 2 3 3 2" xfId="23127"/>
    <cellStyle name="Normal 14 2 3 4" xfId="23128"/>
    <cellStyle name="Normal 14 2 3 5" xfId="23129"/>
    <cellStyle name="Normal 14 2 4" xfId="23130"/>
    <cellStyle name="Normal 14 2 4 2" xfId="23131"/>
    <cellStyle name="Normal 14 2 4 2 2" xfId="23132"/>
    <cellStyle name="Normal 14 2 4 3" xfId="23133"/>
    <cellStyle name="Normal 14 2 4 4" xfId="23134"/>
    <cellStyle name="Normal 14 2 5" xfId="23135"/>
    <cellStyle name="Normal 14 2 5 2" xfId="23136"/>
    <cellStyle name="Normal 14 2 6" xfId="23137"/>
    <cellStyle name="Normal 14 2 7" xfId="23138"/>
    <cellStyle name="Normal 14 3" xfId="23139"/>
    <cellStyle name="Normal 14 3 2" xfId="23140"/>
    <cellStyle name="Normal 14 3 2 2" xfId="23141"/>
    <cellStyle name="Normal 14 3 2 2 2" xfId="23142"/>
    <cellStyle name="Normal 14 3 2 3" xfId="23143"/>
    <cellStyle name="Normal 14 3 2 4" xfId="23144"/>
    <cellStyle name="Normal 14 3 3" xfId="23145"/>
    <cellStyle name="Normal 14 3 3 2" xfId="23146"/>
    <cellStyle name="Normal 14 3 3 2 2" xfId="23147"/>
    <cellStyle name="Normal 14 3 3 3" xfId="23148"/>
    <cellStyle name="Normal 14 3 3 4" xfId="23149"/>
    <cellStyle name="Normal 14 3 4" xfId="23150"/>
    <cellStyle name="Normal 14 3 4 2" xfId="23151"/>
    <cellStyle name="Normal 14 3 4 2 2" xfId="23152"/>
    <cellStyle name="Normal 14 3 4 3" xfId="23153"/>
    <cellStyle name="Normal 14 3 4 4" xfId="23154"/>
    <cellStyle name="Normal 14 4" xfId="23155"/>
    <cellStyle name="Normal 14 4 2" xfId="23156"/>
    <cellStyle name="Normal 14 4 2 2" xfId="23157"/>
    <cellStyle name="Normal 14 4 2 2 2" xfId="23158"/>
    <cellStyle name="Normal 14 4 2 3" xfId="23159"/>
    <cellStyle name="Normal 14 4 2 4" xfId="23160"/>
    <cellStyle name="Normal 14 4 3" xfId="23161"/>
    <cellStyle name="Normal 14 4 3 2" xfId="23162"/>
    <cellStyle name="Normal 14 4 3 2 2" xfId="23163"/>
    <cellStyle name="Normal 14 4 3 3" xfId="23164"/>
    <cellStyle name="Normal 14 4 3 4" xfId="23165"/>
    <cellStyle name="Normal 14 4 4" xfId="23166"/>
    <cellStyle name="Normal 14 4 4 2" xfId="23167"/>
    <cellStyle name="Normal 14 4 5" xfId="23168"/>
    <cellStyle name="Normal 14 4 6" xfId="23169"/>
    <cellStyle name="Normal 14 5" xfId="23170"/>
    <cellStyle name="Normal 14 5 2" xfId="23171"/>
    <cellStyle name="Normal 14 5 2 2" xfId="23172"/>
    <cellStyle name="Normal 14 5 3" xfId="23173"/>
    <cellStyle name="Normal 14 5 4" xfId="23174"/>
    <cellStyle name="Normal 14 5 5" xfId="36006"/>
    <cellStyle name="Normal 14 6" xfId="23175"/>
    <cellStyle name="Normal 14 6 2" xfId="23176"/>
    <cellStyle name="Normal 14 6 2 2" xfId="23177"/>
    <cellStyle name="Normal 14 6 3" xfId="23178"/>
    <cellStyle name="Normal 14 6 4" xfId="23179"/>
    <cellStyle name="Normal 14 7" xfId="23180"/>
    <cellStyle name="Normal 14 7 2" xfId="23181"/>
    <cellStyle name="Normal 14 7 2 2" xfId="23182"/>
    <cellStyle name="Normal 14 7 3" xfId="23183"/>
    <cellStyle name="Normal 14 7 4" xfId="23184"/>
    <cellStyle name="Normal 14 8" xfId="35649"/>
    <cellStyle name="Normal 140" xfId="23185"/>
    <cellStyle name="Normal 141" xfId="23186"/>
    <cellStyle name="Normal 142" xfId="23187"/>
    <cellStyle name="Normal 143" xfId="23188"/>
    <cellStyle name="Normal 144" xfId="23189"/>
    <cellStyle name="Normal 145" xfId="23190"/>
    <cellStyle name="Normal 146" xfId="23191"/>
    <cellStyle name="Normal 147" xfId="23192"/>
    <cellStyle name="Normal 148" xfId="23193"/>
    <cellStyle name="Normal 149" xfId="23194"/>
    <cellStyle name="Normal 15" xfId="23195"/>
    <cellStyle name="Normal 15 2" xfId="23196"/>
    <cellStyle name="Normal 15 2 2" xfId="23197"/>
    <cellStyle name="Normal 15 2 2 2" xfId="23198"/>
    <cellStyle name="Normal 15 2 2 2 2" xfId="23199"/>
    <cellStyle name="Normal 15 2 2 3" xfId="23200"/>
    <cellStyle name="Normal 15 2 2 4" xfId="23201"/>
    <cellStyle name="Normal 15 2 3" xfId="23202"/>
    <cellStyle name="Normal 15 2 3 2" xfId="23203"/>
    <cellStyle name="Normal 15 2 3 2 2" xfId="23204"/>
    <cellStyle name="Normal 15 2 3 3" xfId="23205"/>
    <cellStyle name="Normal 15 2 3 4" xfId="23206"/>
    <cellStyle name="Normal 15 2 4" xfId="23207"/>
    <cellStyle name="Normal 15 2 4 2" xfId="23208"/>
    <cellStyle name="Normal 15 2 4 2 2" xfId="23209"/>
    <cellStyle name="Normal 15 2 4 3" xfId="23210"/>
    <cellStyle name="Normal 15 2 4 4" xfId="23211"/>
    <cellStyle name="Normal 15 2 5" xfId="36007"/>
    <cellStyle name="Normal 15 3" xfId="23212"/>
    <cellStyle name="Normal 15 3 2" xfId="23213"/>
    <cellStyle name="Normal 15 3 2 2" xfId="23214"/>
    <cellStyle name="Normal 15 3 2 2 2" xfId="23215"/>
    <cellStyle name="Normal 15 3 2 3" xfId="23216"/>
    <cellStyle name="Normal 15 3 2 4" xfId="23217"/>
    <cellStyle name="Normal 15 3 3" xfId="23218"/>
    <cellStyle name="Normal 15 3 3 2" xfId="23219"/>
    <cellStyle name="Normal 15 3 3 2 2" xfId="23220"/>
    <cellStyle name="Normal 15 3 3 3" xfId="23221"/>
    <cellStyle name="Normal 15 3 3 4" xfId="23222"/>
    <cellStyle name="Normal 15 3 4" xfId="23223"/>
    <cellStyle name="Normal 15 3 4 2" xfId="23224"/>
    <cellStyle name="Normal 15 3 5" xfId="23225"/>
    <cellStyle name="Normal 15 3 6" xfId="23226"/>
    <cellStyle name="Normal 15 4" xfId="23227"/>
    <cellStyle name="Normal 15 4 2" xfId="23228"/>
    <cellStyle name="Normal 15 4 2 2" xfId="23229"/>
    <cellStyle name="Normal 15 4 2 2 2" xfId="23230"/>
    <cellStyle name="Normal 15 4 2 3" xfId="23231"/>
    <cellStyle name="Normal 15 4 2 4" xfId="23232"/>
    <cellStyle name="Normal 15 4 3" xfId="23233"/>
    <cellStyle name="Normal 15 4 3 2" xfId="23234"/>
    <cellStyle name="Normal 15 4 3 2 2" xfId="23235"/>
    <cellStyle name="Normal 15 4 3 3" xfId="23236"/>
    <cellStyle name="Normal 15 4 3 4" xfId="23237"/>
    <cellStyle name="Normal 15 4 4" xfId="23238"/>
    <cellStyle name="Normal 15 4 4 2" xfId="23239"/>
    <cellStyle name="Normal 15 4 5" xfId="23240"/>
    <cellStyle name="Normal 15 4 6" xfId="23241"/>
    <cellStyle name="Normal 15 5" xfId="23242"/>
    <cellStyle name="Normal 15 5 2" xfId="23243"/>
    <cellStyle name="Normal 15 5 2 2" xfId="23244"/>
    <cellStyle name="Normal 15 5 3" xfId="23245"/>
    <cellStyle name="Normal 15 5 4" xfId="23246"/>
    <cellStyle name="Normal 15 6" xfId="23247"/>
    <cellStyle name="Normal 15 6 2" xfId="23248"/>
    <cellStyle name="Normal 15 6 2 2" xfId="23249"/>
    <cellStyle name="Normal 15 6 3" xfId="23250"/>
    <cellStyle name="Normal 15 6 4" xfId="23251"/>
    <cellStyle name="Normal 15 7" xfId="35838"/>
    <cellStyle name="Normal 150" xfId="23252"/>
    <cellStyle name="Normal 150 2" xfId="23253"/>
    <cellStyle name="Normal 151" xfId="23254"/>
    <cellStyle name="Normal 151 2" xfId="23255"/>
    <cellStyle name="Normal 152" xfId="23256"/>
    <cellStyle name="Normal 152 2" xfId="23257"/>
    <cellStyle name="Normal 153" xfId="23258"/>
    <cellStyle name="Normal 154" xfId="23259"/>
    <cellStyle name="Normal 155" xfId="23260"/>
    <cellStyle name="Normal 155 2" xfId="23261"/>
    <cellStyle name="Normal 156" xfId="23262"/>
    <cellStyle name="Normal 156 2" xfId="23263"/>
    <cellStyle name="Normal 157" xfId="23264"/>
    <cellStyle name="Normal 157 2" xfId="23265"/>
    <cellStyle name="Normal 158" xfId="23266"/>
    <cellStyle name="Normal 158 2" xfId="23267"/>
    <cellStyle name="Normal 159" xfId="23268"/>
    <cellStyle name="Normal 159 2" xfId="23269"/>
    <cellStyle name="Normal 16" xfId="23270"/>
    <cellStyle name="Normal 16 2" xfId="23271"/>
    <cellStyle name="Normal 16 2 2" xfId="23272"/>
    <cellStyle name="Normal 16 2 2 2" xfId="23273"/>
    <cellStyle name="Normal 16 2 2 2 2" xfId="23274"/>
    <cellStyle name="Normal 16 2 2 3" xfId="23275"/>
    <cellStyle name="Normal 16 2 2 4" xfId="23276"/>
    <cellStyle name="Normal 16 2 3" xfId="23277"/>
    <cellStyle name="Normal 16 2 3 2" xfId="23278"/>
    <cellStyle name="Normal 16 2 3 2 2" xfId="23279"/>
    <cellStyle name="Normal 16 2 3 3" xfId="23280"/>
    <cellStyle name="Normal 16 2 3 4" xfId="23281"/>
    <cellStyle name="Normal 16 2 4" xfId="23282"/>
    <cellStyle name="Normal 16 2 4 2" xfId="23283"/>
    <cellStyle name="Normal 16 2 4 2 2" xfId="23284"/>
    <cellStyle name="Normal 16 2 4 3" xfId="23285"/>
    <cellStyle name="Normal 16 2 4 4" xfId="23286"/>
    <cellStyle name="Normal 16 2 5" xfId="36008"/>
    <cellStyle name="Normal 16 3" xfId="23287"/>
    <cellStyle name="Normal 16 3 2" xfId="23288"/>
    <cellStyle name="Normal 16 3 2 2" xfId="23289"/>
    <cellStyle name="Normal 16 3 2 2 2" xfId="23290"/>
    <cellStyle name="Normal 16 3 2 3" xfId="23291"/>
    <cellStyle name="Normal 16 3 2 4" xfId="23292"/>
    <cellStyle name="Normal 16 3 3" xfId="23293"/>
    <cellStyle name="Normal 16 3 3 2" xfId="23294"/>
    <cellStyle name="Normal 16 3 3 2 2" xfId="23295"/>
    <cellStyle name="Normal 16 3 3 3" xfId="23296"/>
    <cellStyle name="Normal 16 3 3 4" xfId="23297"/>
    <cellStyle name="Normal 16 3 4" xfId="23298"/>
    <cellStyle name="Normal 16 3 4 2" xfId="23299"/>
    <cellStyle name="Normal 16 3 5" xfId="23300"/>
    <cellStyle name="Normal 16 3 6" xfId="23301"/>
    <cellStyle name="Normal 16 4" xfId="23302"/>
    <cellStyle name="Normal 16 4 2" xfId="23303"/>
    <cellStyle name="Normal 16 4 2 2" xfId="23304"/>
    <cellStyle name="Normal 16 4 2 2 2" xfId="23305"/>
    <cellStyle name="Normal 16 4 2 3" xfId="23306"/>
    <cellStyle name="Normal 16 4 2 4" xfId="23307"/>
    <cellStyle name="Normal 16 4 3" xfId="23308"/>
    <cellStyle name="Normal 16 4 3 2" xfId="23309"/>
    <cellStyle name="Normal 16 4 3 2 2" xfId="23310"/>
    <cellStyle name="Normal 16 4 3 3" xfId="23311"/>
    <cellStyle name="Normal 16 4 3 4" xfId="23312"/>
    <cellStyle name="Normal 16 4 4" xfId="23313"/>
    <cellStyle name="Normal 16 4 4 2" xfId="23314"/>
    <cellStyle name="Normal 16 4 5" xfId="23315"/>
    <cellStyle name="Normal 16 4 6" xfId="23316"/>
    <cellStyle name="Normal 16 5" xfId="23317"/>
    <cellStyle name="Normal 16 5 2" xfId="23318"/>
    <cellStyle name="Normal 16 5 2 2" xfId="23319"/>
    <cellStyle name="Normal 16 5 3" xfId="23320"/>
    <cellStyle name="Normal 16 5 4" xfId="23321"/>
    <cellStyle name="Normal 16 6" xfId="23322"/>
    <cellStyle name="Normal 16 6 2" xfId="23323"/>
    <cellStyle name="Normal 16 6 2 2" xfId="23324"/>
    <cellStyle name="Normal 16 6 3" xfId="23325"/>
    <cellStyle name="Normal 16 6 4" xfId="23326"/>
    <cellStyle name="Normal 16 7" xfId="35839"/>
    <cellStyle name="Normal 160" xfId="23327"/>
    <cellStyle name="Normal 160 2" xfId="23328"/>
    <cellStyle name="Normal 161" xfId="23329"/>
    <cellStyle name="Normal 161 2" xfId="23330"/>
    <cellStyle name="Normal 162" xfId="23331"/>
    <cellStyle name="Normal 163" xfId="23332"/>
    <cellStyle name="Normal 164" xfId="23333"/>
    <cellStyle name="Normal 165" xfId="23334"/>
    <cellStyle name="Normal 166" xfId="23335"/>
    <cellStyle name="Normal 166 2" xfId="23336"/>
    <cellStyle name="Normal 167" xfId="23337"/>
    <cellStyle name="Normal 167 2" xfId="23338"/>
    <cellStyle name="Normal 168" xfId="23339"/>
    <cellStyle name="Normal 168 2" xfId="23340"/>
    <cellStyle name="Normal 169" xfId="23341"/>
    <cellStyle name="Normal 169 2" xfId="23342"/>
    <cellStyle name="Normal 17" xfId="23343"/>
    <cellStyle name="Normal 17 2" xfId="23344"/>
    <cellStyle name="Normal 17 2 2" xfId="23345"/>
    <cellStyle name="Normal 17 2 2 2" xfId="23346"/>
    <cellStyle name="Normal 17 2 2 2 2" xfId="23347"/>
    <cellStyle name="Normal 17 2 2 2 2 2" xfId="23348"/>
    <cellStyle name="Normal 17 2 2 2 3" xfId="23349"/>
    <cellStyle name="Normal 17 2 2 2 4" xfId="23350"/>
    <cellStyle name="Normal 17 2 2 3" xfId="36009"/>
    <cellStyle name="Normal 17 2 3" xfId="23351"/>
    <cellStyle name="Normal 17 2 3 2" xfId="23352"/>
    <cellStyle name="Normal 17 2 3 2 2" xfId="23353"/>
    <cellStyle name="Normal 17 2 3 3" xfId="23354"/>
    <cellStyle name="Normal 17 2 3 4" xfId="23355"/>
    <cellStyle name="Normal 17 2 4" xfId="23356"/>
    <cellStyle name="Normal 17 2 4 2" xfId="23357"/>
    <cellStyle name="Normal 17 2 4 2 2" xfId="23358"/>
    <cellStyle name="Normal 17 2 4 3" xfId="23359"/>
    <cellStyle name="Normal 17 2 4 4" xfId="23360"/>
    <cellStyle name="Normal 17 3" xfId="23361"/>
    <cellStyle name="Normal 17 3 2" xfId="23362"/>
    <cellStyle name="Normal 17 3 2 2" xfId="23363"/>
    <cellStyle name="Normal 17 3 2 2 2" xfId="23364"/>
    <cellStyle name="Normal 17 3 2 2 2 2" xfId="23365"/>
    <cellStyle name="Normal 17 3 2 2 3" xfId="23366"/>
    <cellStyle name="Normal 17 3 2 2 4" xfId="23367"/>
    <cellStyle name="Normal 17 3 2 3" xfId="23368"/>
    <cellStyle name="Normal 17 3 2 3 2" xfId="23369"/>
    <cellStyle name="Normal 17 3 2 4" xfId="23370"/>
    <cellStyle name="Normal 17 3 2 5" xfId="23371"/>
    <cellStyle name="Normal 17 3 3" xfId="23372"/>
    <cellStyle name="Normal 17 3 3 2" xfId="23373"/>
    <cellStyle name="Normal 17 3 3 2 2" xfId="23374"/>
    <cellStyle name="Normal 17 3 3 3" xfId="23375"/>
    <cellStyle name="Normal 17 3 3 4" xfId="23376"/>
    <cellStyle name="Normal 17 3 4" xfId="23377"/>
    <cellStyle name="Normal 17 3 4 2" xfId="23378"/>
    <cellStyle name="Normal 17 3 4 2 2" xfId="23379"/>
    <cellStyle name="Normal 17 3 4 3" xfId="23380"/>
    <cellStyle name="Normal 17 3 4 4" xfId="23381"/>
    <cellStyle name="Normal 17 3 5" xfId="23382"/>
    <cellStyle name="Normal 17 3 5 2" xfId="23383"/>
    <cellStyle name="Normal 17 3 6" xfId="23384"/>
    <cellStyle name="Normal 17 3 7" xfId="23385"/>
    <cellStyle name="Normal 17 4" xfId="23386"/>
    <cellStyle name="Normal 17 4 2" xfId="23387"/>
    <cellStyle name="Normal 17 4 2 2" xfId="23388"/>
    <cellStyle name="Normal 17 4 2 2 2" xfId="23389"/>
    <cellStyle name="Normal 17 4 2 3" xfId="23390"/>
    <cellStyle name="Normal 17 4 2 4" xfId="23391"/>
    <cellStyle name="Normal 17 4 3" xfId="23392"/>
    <cellStyle name="Normal 17 4 3 2" xfId="23393"/>
    <cellStyle name="Normal 17 4 3 2 2" xfId="23394"/>
    <cellStyle name="Normal 17 4 3 3" xfId="23395"/>
    <cellStyle name="Normal 17 4 3 4" xfId="23396"/>
    <cellStyle name="Normal 17 4 4" xfId="23397"/>
    <cellStyle name="Normal 17 4 4 2" xfId="23398"/>
    <cellStyle name="Normal 17 4 4 2 2" xfId="23399"/>
    <cellStyle name="Normal 17 4 4 3" xfId="23400"/>
    <cellStyle name="Normal 17 4 4 4" xfId="23401"/>
    <cellStyle name="Normal 17 4 5" xfId="23402"/>
    <cellStyle name="Normal 17 4 5 2" xfId="23403"/>
    <cellStyle name="Normal 17 4 6" xfId="23404"/>
    <cellStyle name="Normal 17 4 7" xfId="23405"/>
    <cellStyle name="Normal 17 5" xfId="23406"/>
    <cellStyle name="Normal 17 5 2" xfId="23407"/>
    <cellStyle name="Normal 17 5 2 2" xfId="23408"/>
    <cellStyle name="Normal 17 5 3" xfId="23409"/>
    <cellStyle name="Normal 17 5 4" xfId="23410"/>
    <cellStyle name="Normal 17 6" xfId="23411"/>
    <cellStyle name="Normal 17 6 2" xfId="23412"/>
    <cellStyle name="Normal 17 6 2 2" xfId="23413"/>
    <cellStyle name="Normal 17 6 3" xfId="23414"/>
    <cellStyle name="Normal 17 6 4" xfId="23415"/>
    <cellStyle name="Normal 17 7" xfId="23416"/>
    <cellStyle name="Normal 17 7 2" xfId="23417"/>
    <cellStyle name="Normal 17 8" xfId="23418"/>
    <cellStyle name="Normal 17 9" xfId="23419"/>
    <cellStyle name="Normal 170" xfId="23420"/>
    <cellStyle name="Normal 170 2" xfId="23421"/>
    <cellStyle name="Normal 171" xfId="23422"/>
    <cellStyle name="Normal 171 2" xfId="23423"/>
    <cellStyle name="Normal 172" xfId="23424"/>
    <cellStyle name="Normal 172 2" xfId="23425"/>
    <cellStyle name="Normal 173" xfId="23426"/>
    <cellStyle name="Normal 173 2" xfId="23427"/>
    <cellStyle name="Normal 174" xfId="23428"/>
    <cellStyle name="Normal 174 2" xfId="23429"/>
    <cellStyle name="Normal 175" xfId="23430"/>
    <cellStyle name="Normal 175 2" xfId="23431"/>
    <cellStyle name="Normal 176" xfId="23432"/>
    <cellStyle name="Normal 176 2" xfId="23433"/>
    <cellStyle name="Normal 177" xfId="23434"/>
    <cellStyle name="Normal 177 2" xfId="23435"/>
    <cellStyle name="Normal 178" xfId="23436"/>
    <cellStyle name="Normal 178 2" xfId="23437"/>
    <cellStyle name="Normal 179" xfId="23438"/>
    <cellStyle name="Normal 179 2" xfId="23439"/>
    <cellStyle name="Normal 18" xfId="23440"/>
    <cellStyle name="Normal 18 2" xfId="23441"/>
    <cellStyle name="Normal 18 2 2" xfId="23442"/>
    <cellStyle name="Normal 18 2 2 2" xfId="23443"/>
    <cellStyle name="Normal 18 2 2 2 2" xfId="23444"/>
    <cellStyle name="Normal 18 2 2 3" xfId="23445"/>
    <cellStyle name="Normal 18 2 2 4" xfId="23446"/>
    <cellStyle name="Normal 18 2 3" xfId="23447"/>
    <cellStyle name="Normal 18 2 3 2" xfId="23448"/>
    <cellStyle name="Normal 18 2 3 2 2" xfId="23449"/>
    <cellStyle name="Normal 18 2 3 3" xfId="23450"/>
    <cellStyle name="Normal 18 2 3 4" xfId="23451"/>
    <cellStyle name="Normal 18 2 4" xfId="23452"/>
    <cellStyle name="Normal 18 2 4 2" xfId="23453"/>
    <cellStyle name="Normal 18 2 4 2 2" xfId="23454"/>
    <cellStyle name="Normal 18 2 4 3" xfId="23455"/>
    <cellStyle name="Normal 18 2 4 4" xfId="23456"/>
    <cellStyle name="Normal 18 2 5" xfId="36011"/>
    <cellStyle name="Normal 18 3" xfId="23457"/>
    <cellStyle name="Normal 18 3 2" xfId="23458"/>
    <cellStyle name="Normal 18 3 2 2" xfId="23459"/>
    <cellStyle name="Normal 18 3 2 2 2" xfId="23460"/>
    <cellStyle name="Normal 18 3 2 3" xfId="23461"/>
    <cellStyle name="Normal 18 3 2 4" xfId="23462"/>
    <cellStyle name="Normal 18 3 3" xfId="23463"/>
    <cellStyle name="Normal 18 3 3 2" xfId="23464"/>
    <cellStyle name="Normal 18 3 3 2 2" xfId="23465"/>
    <cellStyle name="Normal 18 3 3 3" xfId="23466"/>
    <cellStyle name="Normal 18 3 3 4" xfId="23467"/>
    <cellStyle name="Normal 18 3 4" xfId="23468"/>
    <cellStyle name="Normal 18 3 4 2" xfId="23469"/>
    <cellStyle name="Normal 18 3 5" xfId="23470"/>
    <cellStyle name="Normal 18 3 6" xfId="23471"/>
    <cellStyle name="Normal 18 4" xfId="23472"/>
    <cellStyle name="Normal 18 4 2" xfId="23473"/>
    <cellStyle name="Normal 18 4 2 2" xfId="23474"/>
    <cellStyle name="Normal 18 4 2 2 2" xfId="23475"/>
    <cellStyle name="Normal 18 4 2 3" xfId="23476"/>
    <cellStyle name="Normal 18 4 2 4" xfId="23477"/>
    <cellStyle name="Normal 18 4 3" xfId="23478"/>
    <cellStyle name="Normal 18 4 3 2" xfId="23479"/>
    <cellStyle name="Normal 18 4 3 2 2" xfId="23480"/>
    <cellStyle name="Normal 18 4 3 3" xfId="23481"/>
    <cellStyle name="Normal 18 4 3 4" xfId="23482"/>
    <cellStyle name="Normal 18 4 4" xfId="23483"/>
    <cellStyle name="Normal 18 4 4 2" xfId="23484"/>
    <cellStyle name="Normal 18 4 5" xfId="23485"/>
    <cellStyle name="Normal 18 4 6" xfId="23486"/>
    <cellStyle name="Normal 18 5" xfId="23487"/>
    <cellStyle name="Normal 18 5 2" xfId="23488"/>
    <cellStyle name="Normal 18 5 2 2" xfId="23489"/>
    <cellStyle name="Normal 18 5 3" xfId="23490"/>
    <cellStyle name="Normal 18 5 4" xfId="23491"/>
    <cellStyle name="Normal 18 6" xfId="23492"/>
    <cellStyle name="Normal 18 6 2" xfId="23493"/>
    <cellStyle name="Normal 18 6 2 2" xfId="23494"/>
    <cellStyle name="Normal 18 6 3" xfId="23495"/>
    <cellStyle name="Normal 18 6 4" xfId="23496"/>
    <cellStyle name="Normal 18 7" xfId="36010"/>
    <cellStyle name="Normal 180" xfId="23497"/>
    <cellStyle name="Normal 180 2" xfId="23498"/>
    <cellStyle name="Normal 181" xfId="23499"/>
    <cellStyle name="Normal 181 2" xfId="23500"/>
    <cellStyle name="Normal 182" xfId="23501"/>
    <cellStyle name="Normal 182 2" xfId="23502"/>
    <cellStyle name="Normal 183" xfId="23503"/>
    <cellStyle name="Normal 183 2" xfId="23504"/>
    <cellStyle name="Normal 184" xfId="23505"/>
    <cellStyle name="Normal 184 2" xfId="23506"/>
    <cellStyle name="Normal 185" xfId="23507"/>
    <cellStyle name="Normal 185 2" xfId="23508"/>
    <cellStyle name="Normal 186" xfId="23509"/>
    <cellStyle name="Normal 186 2" xfId="23510"/>
    <cellStyle name="Normal 187" xfId="23511"/>
    <cellStyle name="Normal 187 2" xfId="23512"/>
    <cellStyle name="Normal 188" xfId="23513"/>
    <cellStyle name="Normal 188 2" xfId="23514"/>
    <cellStyle name="Normal 189" xfId="23515"/>
    <cellStyle name="Normal 189 2" xfId="23516"/>
    <cellStyle name="Normal 19" xfId="23517"/>
    <cellStyle name="Normal 19 2" xfId="23518"/>
    <cellStyle name="Normal 19 2 2" xfId="23519"/>
    <cellStyle name="Normal 19 2 2 2" xfId="23520"/>
    <cellStyle name="Normal 19 2 2 2 2" xfId="23521"/>
    <cellStyle name="Normal 19 2 2 3" xfId="23522"/>
    <cellStyle name="Normal 19 2 2 4" xfId="23523"/>
    <cellStyle name="Normal 19 2 3" xfId="23524"/>
    <cellStyle name="Normal 19 2 3 2" xfId="23525"/>
    <cellStyle name="Normal 19 2 3 2 2" xfId="23526"/>
    <cellStyle name="Normal 19 2 3 3" xfId="23527"/>
    <cellStyle name="Normal 19 2 3 4" xfId="23528"/>
    <cellStyle name="Normal 19 2 4" xfId="23529"/>
    <cellStyle name="Normal 19 2 4 2" xfId="23530"/>
    <cellStyle name="Normal 19 2 4 2 2" xfId="23531"/>
    <cellStyle name="Normal 19 2 4 3" xfId="23532"/>
    <cellStyle name="Normal 19 2 4 4" xfId="23533"/>
    <cellStyle name="Normal 19 3" xfId="23534"/>
    <cellStyle name="Normal 19 3 2" xfId="23535"/>
    <cellStyle name="Normal 19 3 2 2" xfId="23536"/>
    <cellStyle name="Normal 19 3 2 2 2" xfId="23537"/>
    <cellStyle name="Normal 19 3 2 3" xfId="23538"/>
    <cellStyle name="Normal 19 3 2 4" xfId="23539"/>
    <cellStyle name="Normal 19 3 3" xfId="23540"/>
    <cellStyle name="Normal 19 3 3 2" xfId="23541"/>
    <cellStyle name="Normal 19 3 3 2 2" xfId="23542"/>
    <cellStyle name="Normal 19 3 3 3" xfId="23543"/>
    <cellStyle name="Normal 19 3 3 4" xfId="23544"/>
    <cellStyle name="Normal 19 3 4" xfId="23545"/>
    <cellStyle name="Normal 19 3 4 2" xfId="23546"/>
    <cellStyle name="Normal 19 3 5" xfId="23547"/>
    <cellStyle name="Normal 19 3 6" xfId="23548"/>
    <cellStyle name="Normal 19 4" xfId="23549"/>
    <cellStyle name="Normal 19 4 2" xfId="23550"/>
    <cellStyle name="Normal 19 4 2 2" xfId="23551"/>
    <cellStyle name="Normal 19 4 2 2 2" xfId="23552"/>
    <cellStyle name="Normal 19 4 2 3" xfId="23553"/>
    <cellStyle name="Normal 19 4 2 4" xfId="23554"/>
    <cellStyle name="Normal 19 4 3" xfId="23555"/>
    <cellStyle name="Normal 19 4 3 2" xfId="23556"/>
    <cellStyle name="Normal 19 4 3 2 2" xfId="23557"/>
    <cellStyle name="Normal 19 4 3 3" xfId="23558"/>
    <cellStyle name="Normal 19 4 3 4" xfId="23559"/>
    <cellStyle name="Normal 19 4 4" xfId="23560"/>
    <cellStyle name="Normal 19 4 4 2" xfId="23561"/>
    <cellStyle name="Normal 19 4 5" xfId="23562"/>
    <cellStyle name="Normal 19 4 6" xfId="23563"/>
    <cellStyle name="Normal 19 5" xfId="23564"/>
    <cellStyle name="Normal 19 5 2" xfId="23565"/>
    <cellStyle name="Normal 19 5 2 2" xfId="23566"/>
    <cellStyle name="Normal 19 5 3" xfId="23567"/>
    <cellStyle name="Normal 19 5 4" xfId="23568"/>
    <cellStyle name="Normal 19 6" xfId="23569"/>
    <cellStyle name="Normal 19 6 2" xfId="23570"/>
    <cellStyle name="Normal 19 6 2 2" xfId="23571"/>
    <cellStyle name="Normal 19 6 3" xfId="23572"/>
    <cellStyle name="Normal 19 6 4" xfId="23573"/>
    <cellStyle name="Normal 19 7" xfId="36012"/>
    <cellStyle name="Normal 190" xfId="23574"/>
    <cellStyle name="Normal 190 2" xfId="23575"/>
    <cellStyle name="Normal 191" xfId="23576"/>
    <cellStyle name="Normal 191 2" xfId="23577"/>
    <cellStyle name="Normal 192" xfId="23578"/>
    <cellStyle name="Normal 192 2" xfId="23579"/>
    <cellStyle name="Normal 193" xfId="23580"/>
    <cellStyle name="Normal 193 2" xfId="23581"/>
    <cellStyle name="Normal 194" xfId="23582"/>
    <cellStyle name="Normal 194 2" xfId="23583"/>
    <cellStyle name="Normal 195" xfId="23584"/>
    <cellStyle name="Normal 195 2" xfId="23585"/>
    <cellStyle name="Normal 196" xfId="23586"/>
    <cellStyle name="Normal 196 2" xfId="23587"/>
    <cellStyle name="Normal 197" xfId="23588"/>
    <cellStyle name="Normal 197 2" xfId="23589"/>
    <cellStyle name="Normal 198" xfId="23590"/>
    <cellStyle name="Normal 198 2" xfId="23591"/>
    <cellStyle name="Normal 199" xfId="23592"/>
    <cellStyle name="Normal 199 2" xfId="23593"/>
    <cellStyle name="Normal 2" xfId="71"/>
    <cellStyle name="Normal 2 10" xfId="23594"/>
    <cellStyle name="Normal 2 11" xfId="23595"/>
    <cellStyle name="Normal 2 12" xfId="23596"/>
    <cellStyle name="Normal 2 13" xfId="23597"/>
    <cellStyle name="Normal 2 13 2" xfId="23598"/>
    <cellStyle name="Normal 2 13 2 2" xfId="23599"/>
    <cellStyle name="Normal 2 13 2 2 2" xfId="23600"/>
    <cellStyle name="Normal 2 13 2 3" xfId="23601"/>
    <cellStyle name="Normal 2 13 2 4" xfId="23602"/>
    <cellStyle name="Normal 2 13 3" xfId="23603"/>
    <cellStyle name="Normal 2 13 3 2" xfId="23604"/>
    <cellStyle name="Normal 2 13 3 2 2" xfId="23605"/>
    <cellStyle name="Normal 2 13 3 3" xfId="23606"/>
    <cellStyle name="Normal 2 13 3 4" xfId="23607"/>
    <cellStyle name="Normal 2 13 4" xfId="23608"/>
    <cellStyle name="Normal 2 13 4 2" xfId="23609"/>
    <cellStyle name="Normal 2 13 5" xfId="23610"/>
    <cellStyle name="Normal 2 13 6" xfId="23611"/>
    <cellStyle name="Normal 2 14" xfId="23612"/>
    <cellStyle name="Normal 2 14 2" xfId="23613"/>
    <cellStyle name="Normal 2 14 2 2" xfId="23614"/>
    <cellStyle name="Normal 2 14 2 2 2" xfId="23615"/>
    <cellStyle name="Normal 2 14 2 3" xfId="23616"/>
    <cellStyle name="Normal 2 14 2 4" xfId="23617"/>
    <cellStyle name="Normal 2 14 3" xfId="23618"/>
    <cellStyle name="Normal 2 14 3 2" xfId="23619"/>
    <cellStyle name="Normal 2 14 3 2 2" xfId="23620"/>
    <cellStyle name="Normal 2 14 3 3" xfId="23621"/>
    <cellStyle name="Normal 2 14 3 4" xfId="23622"/>
    <cellStyle name="Normal 2 14 4" xfId="23623"/>
    <cellStyle name="Normal 2 14 4 2" xfId="23624"/>
    <cellStyle name="Normal 2 14 5" xfId="23625"/>
    <cellStyle name="Normal 2 14 6" xfId="23626"/>
    <cellStyle name="Normal 2 15" xfId="23627"/>
    <cellStyle name="Normal 2 15 2" xfId="23628"/>
    <cellStyle name="Normal 2 15 2 2" xfId="23629"/>
    <cellStyle name="Normal 2 15 2 2 2" xfId="23630"/>
    <cellStyle name="Normal 2 15 2 3" xfId="23631"/>
    <cellStyle name="Normal 2 15 2 4" xfId="23632"/>
    <cellStyle name="Normal 2 15 3" xfId="23633"/>
    <cellStyle name="Normal 2 15 3 2" xfId="23634"/>
    <cellStyle name="Normal 2 15 3 2 2" xfId="23635"/>
    <cellStyle name="Normal 2 15 3 3" xfId="23636"/>
    <cellStyle name="Normal 2 15 3 4" xfId="23637"/>
    <cellStyle name="Normal 2 15 4" xfId="23638"/>
    <cellStyle name="Normal 2 15 4 2" xfId="23639"/>
    <cellStyle name="Normal 2 15 5" xfId="23640"/>
    <cellStyle name="Normal 2 15 6" xfId="23641"/>
    <cellStyle name="Normal 2 16" xfId="23642"/>
    <cellStyle name="Normal 2 16 2" xfId="23643"/>
    <cellStyle name="Normal 2 16 2 2" xfId="23644"/>
    <cellStyle name="Normal 2 16 3" xfId="23645"/>
    <cellStyle name="Normal 2 16 4" xfId="23646"/>
    <cellStyle name="Normal 2 17" xfId="23647"/>
    <cellStyle name="Normal 2 17 2" xfId="23648"/>
    <cellStyle name="Normal 2 17 2 2" xfId="23649"/>
    <cellStyle name="Normal 2 17 2 2 2" xfId="23650"/>
    <cellStyle name="Normal 2 17 2 3" xfId="23651"/>
    <cellStyle name="Normal 2 17 2 4" xfId="23652"/>
    <cellStyle name="Normal 2 18" xfId="23653"/>
    <cellStyle name="Normal 2 19" xfId="35748"/>
    <cellStyle name="Normal 2 2" xfId="175"/>
    <cellStyle name="Normal 2 2 2" xfId="298"/>
    <cellStyle name="Normal 2 2 2 2" xfId="23655"/>
    <cellStyle name="Normal 2 2 2 2 2" xfId="23656"/>
    <cellStyle name="Normal 2 2 2 3" xfId="23657"/>
    <cellStyle name="Normal 2 2 3" xfId="23658"/>
    <cellStyle name="Normal 2 2 3 2" xfId="23659"/>
    <cellStyle name="Normal 2 2 3 2 2" xfId="23660"/>
    <cellStyle name="Normal 2 2 3 3" xfId="35906"/>
    <cellStyle name="Normal 2 2 4" xfId="23661"/>
    <cellStyle name="Normal 2 2 4 2" xfId="23662"/>
    <cellStyle name="Normal 2 2 4 3" xfId="36013"/>
    <cellStyle name="Normal 2 2 5" xfId="23663"/>
    <cellStyle name="Normal 2 2 5 2" xfId="36014"/>
    <cellStyle name="Normal 2 2 6" xfId="23654"/>
    <cellStyle name="Normal 2 20" xfId="36132"/>
    <cellStyle name="Normal 2 3" xfId="176"/>
    <cellStyle name="Normal 2 3 2" xfId="328"/>
    <cellStyle name="Normal 2 3 2 2" xfId="409"/>
    <cellStyle name="Normal 2 3 2 2 2" xfId="35635"/>
    <cellStyle name="Normal 2 3 2 2 3" xfId="23666"/>
    <cellStyle name="Normal 2 3 2 3" xfId="35634"/>
    <cellStyle name="Normal 2 3 2 4" xfId="23665"/>
    <cellStyle name="Normal 2 3 3" xfId="348"/>
    <cellStyle name="Normal 2 3 3 2" xfId="429"/>
    <cellStyle name="Normal 2 3 3 3" xfId="35636"/>
    <cellStyle name="Normal 2 3 3 4" xfId="23667"/>
    <cellStyle name="Normal 2 3 3 5" xfId="35928"/>
    <cellStyle name="Normal 2 3 4" xfId="371"/>
    <cellStyle name="Normal 2 3 4 2" xfId="35637"/>
    <cellStyle name="Normal 2 3 4 3" xfId="23668"/>
    <cellStyle name="Normal 2 3 5" xfId="35597"/>
    <cellStyle name="Normal 2 3 6" xfId="23664"/>
    <cellStyle name="Normal 2 3_29(d) - Gas extensions -tariffs" xfId="35840"/>
    <cellStyle name="Normal 2 4" xfId="124"/>
    <cellStyle name="Normal 2 4 2" xfId="23670"/>
    <cellStyle name="Normal 2 4 2 2" xfId="36015"/>
    <cellStyle name="Normal 2 4 3" xfId="23671"/>
    <cellStyle name="Normal 2 4 3 2" xfId="36016"/>
    <cellStyle name="Normal 2 4 4" xfId="23672"/>
    <cellStyle name="Normal 2 4 5" xfId="23673"/>
    <cellStyle name="Normal 2 4 6" xfId="35656"/>
    <cellStyle name="Normal 2 4 7" xfId="23669"/>
    <cellStyle name="Normal 2 5" xfId="203"/>
    <cellStyle name="Normal 2 5 2" xfId="23675"/>
    <cellStyle name="Normal 2 5 3" xfId="23676"/>
    <cellStyle name="Normal 2 5 4" xfId="35660"/>
    <cellStyle name="Normal 2 5 5" xfId="23674"/>
    <cellStyle name="Normal 2 5 6" xfId="35841"/>
    <cellStyle name="Normal 2 6" xfId="23677"/>
    <cellStyle name="Normal 2 6 2" xfId="23678"/>
    <cellStyle name="Normal 2 6 2 2" xfId="23679"/>
    <cellStyle name="Normal 2 6 3" xfId="35910"/>
    <cellStyle name="Normal 2 7" xfId="23680"/>
    <cellStyle name="Normal 2 7 2" xfId="23681"/>
    <cellStyle name="Normal 2 8" xfId="23682"/>
    <cellStyle name="Normal 2 8 2" xfId="23683"/>
    <cellStyle name="Normal 2 8 3" xfId="23684"/>
    <cellStyle name="Normal 2 9" xfId="23685"/>
    <cellStyle name="Normal 2_29(d) - Gas extensions -tariffs" xfId="35842"/>
    <cellStyle name="Normal 20" xfId="23686"/>
    <cellStyle name="Normal 20 2" xfId="23687"/>
    <cellStyle name="Normal 20 2 2" xfId="23688"/>
    <cellStyle name="Normal 20 2 2 2" xfId="23689"/>
    <cellStyle name="Normal 20 2 2 2 2" xfId="23690"/>
    <cellStyle name="Normal 20 2 2 3" xfId="23691"/>
    <cellStyle name="Normal 20 2 2 4" xfId="23692"/>
    <cellStyle name="Normal 20 3" xfId="23693"/>
    <cellStyle name="Normal 20 3 2" xfId="23694"/>
    <cellStyle name="Normal 20 3 2 2" xfId="23695"/>
    <cellStyle name="Normal 20 3 3" xfId="23696"/>
    <cellStyle name="Normal 20 3 4" xfId="23697"/>
    <cellStyle name="Normal 20 4" xfId="36017"/>
    <cellStyle name="Normal 200" xfId="23698"/>
    <cellStyle name="Normal 200 2" xfId="23699"/>
    <cellStyle name="Normal 201" xfId="23700"/>
    <cellStyle name="Normal 201 2" xfId="23701"/>
    <cellStyle name="Normal 202" xfId="23702"/>
    <cellStyle name="Normal 202 2" xfId="23703"/>
    <cellStyle name="Normal 203" xfId="23704"/>
    <cellStyle name="Normal 203 2" xfId="23705"/>
    <cellStyle name="Normal 204" xfId="23706"/>
    <cellStyle name="Normal 204 2" xfId="23707"/>
    <cellStyle name="Normal 205" xfId="23708"/>
    <cellStyle name="Normal 205 2" xfId="23709"/>
    <cellStyle name="Normal 206" xfId="23710"/>
    <cellStyle name="Normal 206 2" xfId="23711"/>
    <cellStyle name="Normal 207" xfId="23712"/>
    <cellStyle name="Normal 207 2" xfId="23713"/>
    <cellStyle name="Normal 208" xfId="23714"/>
    <cellStyle name="Normal 208 2" xfId="23715"/>
    <cellStyle name="Normal 209" xfId="23716"/>
    <cellStyle name="Normal 209 2" xfId="23717"/>
    <cellStyle name="Normal 21" xfId="23718"/>
    <cellStyle name="Normal 21 2" xfId="23719"/>
    <cellStyle name="Normal 21 2 2" xfId="36019"/>
    <cellStyle name="Normal 21 3" xfId="23720"/>
    <cellStyle name="Normal 21 3 2" xfId="36020"/>
    <cellStyle name="Normal 21 4" xfId="36018"/>
    <cellStyle name="Normal 210" xfId="23721"/>
    <cellStyle name="Normal 210 2" xfId="23722"/>
    <cellStyle name="Normal 211" xfId="23723"/>
    <cellStyle name="Normal 211 2" xfId="23724"/>
    <cellStyle name="Normal 212" xfId="23725"/>
    <cellStyle name="Normal 212 2" xfId="23726"/>
    <cellStyle name="Normal 213" xfId="23727"/>
    <cellStyle name="Normal 213 2" xfId="23728"/>
    <cellStyle name="Normal 214" xfId="23729"/>
    <cellStyle name="Normal 214 2" xfId="23730"/>
    <cellStyle name="Normal 215" xfId="23731"/>
    <cellStyle name="Normal 215 2" xfId="23732"/>
    <cellStyle name="Normal 216" xfId="23733"/>
    <cellStyle name="Normal 216 2" xfId="23734"/>
    <cellStyle name="Normal 217" xfId="23735"/>
    <cellStyle name="Normal 217 2" xfId="23736"/>
    <cellStyle name="Normal 218" xfId="23737"/>
    <cellStyle name="Normal 218 2" xfId="23738"/>
    <cellStyle name="Normal 219" xfId="23739"/>
    <cellStyle name="Normal 219 2" xfId="23740"/>
    <cellStyle name="Normal 22" xfId="23741"/>
    <cellStyle name="Normal 22 2" xfId="23742"/>
    <cellStyle name="Normal 220" xfId="23743"/>
    <cellStyle name="Normal 220 2" xfId="23744"/>
    <cellStyle name="Normal 221" xfId="23745"/>
    <cellStyle name="Normal 221 2" xfId="23746"/>
    <cellStyle name="Normal 222" xfId="23747"/>
    <cellStyle name="Normal 222 2" xfId="23748"/>
    <cellStyle name="Normal 223" xfId="23749"/>
    <cellStyle name="Normal 223 2" xfId="23750"/>
    <cellStyle name="Normal 224" xfId="23751"/>
    <cellStyle name="Normal 224 2" xfId="23752"/>
    <cellStyle name="Normal 225" xfId="23753"/>
    <cellStyle name="Normal 225 2" xfId="23754"/>
    <cellStyle name="Normal 226" xfId="23755"/>
    <cellStyle name="Normal 226 2" xfId="23756"/>
    <cellStyle name="Normal 227" xfId="23757"/>
    <cellStyle name="Normal 227 2" xfId="23758"/>
    <cellStyle name="Normal 228" xfId="23759"/>
    <cellStyle name="Normal 228 2" xfId="23760"/>
    <cellStyle name="Normal 229" xfId="23761"/>
    <cellStyle name="Normal 229 2" xfId="23762"/>
    <cellStyle name="Normal 23" xfId="23763"/>
    <cellStyle name="Normal 23 2" xfId="23764"/>
    <cellStyle name="Normal 23 2 2" xfId="36023"/>
    <cellStyle name="Normal 23 2 3" xfId="36022"/>
    <cellStyle name="Normal 23 3" xfId="36024"/>
    <cellStyle name="Normal 23 4" xfId="36025"/>
    <cellStyle name="Normal 23 5" xfId="36021"/>
    <cellStyle name="Normal 230" xfId="23765"/>
    <cellStyle name="Normal 230 2" xfId="23766"/>
    <cellStyle name="Normal 231" xfId="23767"/>
    <cellStyle name="Normal 231 2" xfId="23768"/>
    <cellStyle name="Normal 232" xfId="23769"/>
    <cellStyle name="Normal 232 2" xfId="23770"/>
    <cellStyle name="Normal 233" xfId="23771"/>
    <cellStyle name="Normal 233 2" xfId="23772"/>
    <cellStyle name="Normal 234" xfId="23773"/>
    <cellStyle name="Normal 234 2" xfId="23774"/>
    <cellStyle name="Normal 235" xfId="23775"/>
    <cellStyle name="Normal 235 2" xfId="23776"/>
    <cellStyle name="Normal 236" xfId="23777"/>
    <cellStyle name="Normal 236 2" xfId="23778"/>
    <cellStyle name="Normal 237" xfId="23779"/>
    <cellStyle name="Normal 237 2" xfId="23780"/>
    <cellStyle name="Normal 238" xfId="23781"/>
    <cellStyle name="Normal 238 2" xfId="23782"/>
    <cellStyle name="Normal 239" xfId="23783"/>
    <cellStyle name="Normal 239 2" xfId="23784"/>
    <cellStyle name="Normal 24" xfId="23785"/>
    <cellStyle name="Normal 24 2" xfId="23786"/>
    <cellStyle name="Normal 24 2 2" xfId="36028"/>
    <cellStyle name="Normal 24 2 3" xfId="36027"/>
    <cellStyle name="Normal 24 3" xfId="36029"/>
    <cellStyle name="Normal 24 4" xfId="36030"/>
    <cellStyle name="Normal 24 5" xfId="36026"/>
    <cellStyle name="Normal 240" xfId="23787"/>
    <cellStyle name="Normal 240 2" xfId="23788"/>
    <cellStyle name="Normal 241" xfId="23789"/>
    <cellStyle name="Normal 241 2" xfId="23790"/>
    <cellStyle name="Normal 242" xfId="23791"/>
    <cellStyle name="Normal 242 2" xfId="23792"/>
    <cellStyle name="Normal 243" xfId="23793"/>
    <cellStyle name="Normal 243 2" xfId="23794"/>
    <cellStyle name="Normal 244" xfId="23795"/>
    <cellStyle name="Normal 244 2" xfId="23796"/>
    <cellStyle name="Normal 245" xfId="23797"/>
    <cellStyle name="Normal 246" xfId="23798"/>
    <cellStyle name="Normal 246 2" xfId="23799"/>
    <cellStyle name="Normal 246 2 2" xfId="23800"/>
    <cellStyle name="Normal 246 2 2 2" xfId="23801"/>
    <cellStyle name="Normal 246 2 3" xfId="23802"/>
    <cellStyle name="Normal 246 3" xfId="23803"/>
    <cellStyle name="Normal 246 3 2" xfId="23804"/>
    <cellStyle name="Normal 246 4" xfId="23805"/>
    <cellStyle name="Normal 247" xfId="23806"/>
    <cellStyle name="Normal 247 2" xfId="23807"/>
    <cellStyle name="Normal 248" xfId="23808"/>
    <cellStyle name="Normal 248 2" xfId="23809"/>
    <cellStyle name="Normal 248 2 2" xfId="23810"/>
    <cellStyle name="Normal 248 3" xfId="23811"/>
    <cellStyle name="Normal 249" xfId="23812"/>
    <cellStyle name="Normal 249 2" xfId="23813"/>
    <cellStyle name="Normal 249 2 2" xfId="23814"/>
    <cellStyle name="Normal 249 3" xfId="23815"/>
    <cellStyle name="Normal 25" xfId="23816"/>
    <cellStyle name="Normal 25 2" xfId="23817"/>
    <cellStyle name="Normal 25 2 2" xfId="36033"/>
    <cellStyle name="Normal 25 2 3" xfId="36032"/>
    <cellStyle name="Normal 25 3" xfId="36034"/>
    <cellStyle name="Normal 25 4" xfId="36035"/>
    <cellStyle name="Normal 25 5" xfId="36031"/>
    <cellStyle name="Normal 250" xfId="23818"/>
    <cellStyle name="Normal 250 2" xfId="23819"/>
    <cellStyle name="Normal 250 2 2" xfId="23820"/>
    <cellStyle name="Normal 250 3" xfId="23821"/>
    <cellStyle name="Normal 251" xfId="23822"/>
    <cellStyle name="Normal 251 2" xfId="23823"/>
    <cellStyle name="Normal 252" xfId="23824"/>
    <cellStyle name="Normal 252 2" xfId="23825"/>
    <cellStyle name="Normal 253" xfId="23826"/>
    <cellStyle name="Normal 253 2" xfId="23827"/>
    <cellStyle name="Normal 254" xfId="23828"/>
    <cellStyle name="Normal 254 2" xfId="23829"/>
    <cellStyle name="Normal 254 2 2" xfId="23830"/>
    <cellStyle name="Normal 254 2 2 2" xfId="23831"/>
    <cellStyle name="Normal 254 2 2 2 2" xfId="23832"/>
    <cellStyle name="Normal 254 2 2 3" xfId="23833"/>
    <cellStyle name="Normal 254 2 2 4" xfId="23834"/>
    <cellStyle name="Normal 254 2 3" xfId="23835"/>
    <cellStyle name="Normal 254 2 3 2" xfId="23836"/>
    <cellStyle name="Normal 254 2 4" xfId="23837"/>
    <cellStyle name="Normal 254 2 5" xfId="23838"/>
    <cellStyle name="Normal 254 3" xfId="23839"/>
    <cellStyle name="Normal 254 3 2" xfId="23840"/>
    <cellStyle name="Normal 254 3 2 2" xfId="23841"/>
    <cellStyle name="Normal 254 3 3" xfId="23842"/>
    <cellStyle name="Normal 254 3 4" xfId="23843"/>
    <cellStyle name="Normal 254 4" xfId="23844"/>
    <cellStyle name="Normal 254 5" xfId="23845"/>
    <cellStyle name="Normal 254 5 2" xfId="23846"/>
    <cellStyle name="Normal 254 6" xfId="23847"/>
    <cellStyle name="Normal 254 7" xfId="23848"/>
    <cellStyle name="Normal 255" xfId="23849"/>
    <cellStyle name="Normal 255 2" xfId="23850"/>
    <cellStyle name="Normal 255 2 2" xfId="23851"/>
    <cellStyle name="Normal 255 2 2 2" xfId="23852"/>
    <cellStyle name="Normal 255 2 2 2 2" xfId="23853"/>
    <cellStyle name="Normal 255 2 2 3" xfId="23854"/>
    <cellStyle name="Normal 255 2 2 4" xfId="23855"/>
    <cellStyle name="Normal 255 2 3" xfId="23856"/>
    <cellStyle name="Normal 255 2 3 2" xfId="23857"/>
    <cellStyle name="Normal 255 2 4" xfId="23858"/>
    <cellStyle name="Normal 255 2 5" xfId="23859"/>
    <cellStyle name="Normal 255 3" xfId="23860"/>
    <cellStyle name="Normal 255 3 2" xfId="23861"/>
    <cellStyle name="Normal 255 3 2 2" xfId="23862"/>
    <cellStyle name="Normal 255 3 3" xfId="23863"/>
    <cellStyle name="Normal 255 3 4" xfId="23864"/>
    <cellStyle name="Normal 255 4" xfId="23865"/>
    <cellStyle name="Normal 255 5" xfId="23866"/>
    <cellStyle name="Normal 255 5 2" xfId="23867"/>
    <cellStyle name="Normal 255 6" xfId="23868"/>
    <cellStyle name="Normal 255 7" xfId="23869"/>
    <cellStyle name="Normal 256" xfId="23870"/>
    <cellStyle name="Normal 256 2" xfId="23871"/>
    <cellStyle name="Normal 256 2 2" xfId="23872"/>
    <cellStyle name="Normal 256 2 2 2" xfId="23873"/>
    <cellStyle name="Normal 256 2 2 2 2" xfId="23874"/>
    <cellStyle name="Normal 256 2 2 3" xfId="23875"/>
    <cellStyle name="Normal 256 2 2 4" xfId="23876"/>
    <cellStyle name="Normal 256 2 3" xfId="23877"/>
    <cellStyle name="Normal 256 2 4" xfId="23878"/>
    <cellStyle name="Normal 256 2 4 2" xfId="23879"/>
    <cellStyle name="Normal 256 2 5" xfId="23880"/>
    <cellStyle name="Normal 256 2 6" xfId="23881"/>
    <cellStyle name="Normal 256 3" xfId="23882"/>
    <cellStyle name="Normal 256 3 2" xfId="23883"/>
    <cellStyle name="Normal 256 3 2 2" xfId="23884"/>
    <cellStyle name="Normal 256 3 3" xfId="23885"/>
    <cellStyle name="Normal 256 3 4" xfId="23886"/>
    <cellStyle name="Normal 256 4" xfId="23887"/>
    <cellStyle name="Normal 256 5" xfId="23888"/>
    <cellStyle name="Normal 256 5 2" xfId="23889"/>
    <cellStyle name="Normal 256 6" xfId="23890"/>
    <cellStyle name="Normal 256 7" xfId="23891"/>
    <cellStyle name="Normal 257" xfId="23892"/>
    <cellStyle name="Normal 257 2" xfId="23893"/>
    <cellStyle name="Normal 257 2 2" xfId="23894"/>
    <cellStyle name="Normal 257 2 2 2" xfId="23895"/>
    <cellStyle name="Normal 257 2 2 2 2" xfId="23896"/>
    <cellStyle name="Normal 257 2 2 3" xfId="23897"/>
    <cellStyle name="Normal 257 2 2 4" xfId="23898"/>
    <cellStyle name="Normal 257 2 3" xfId="23899"/>
    <cellStyle name="Normal 257 2 3 2" xfId="23900"/>
    <cellStyle name="Normal 257 2 4" xfId="23901"/>
    <cellStyle name="Normal 257 2 5" xfId="23902"/>
    <cellStyle name="Normal 257 3" xfId="23903"/>
    <cellStyle name="Normal 257 3 2" xfId="23904"/>
    <cellStyle name="Normal 257 3 2 2" xfId="23905"/>
    <cellStyle name="Normal 257 3 3" xfId="23906"/>
    <cellStyle name="Normal 257 3 4" xfId="23907"/>
    <cellStyle name="Normal 257 4" xfId="23908"/>
    <cellStyle name="Normal 257 5" xfId="23909"/>
    <cellStyle name="Normal 257 5 2" xfId="23910"/>
    <cellStyle name="Normal 257 6" xfId="23911"/>
    <cellStyle name="Normal 257 7" xfId="23912"/>
    <cellStyle name="Normal 258" xfId="23913"/>
    <cellStyle name="Normal 258 2" xfId="23914"/>
    <cellStyle name="Normal 258 2 2" xfId="23915"/>
    <cellStyle name="Normal 258 2 2 2" xfId="23916"/>
    <cellStyle name="Normal 258 2 2 2 2" xfId="23917"/>
    <cellStyle name="Normal 258 2 2 3" xfId="23918"/>
    <cellStyle name="Normal 258 2 2 4" xfId="23919"/>
    <cellStyle name="Normal 258 2 3" xfId="23920"/>
    <cellStyle name="Normal 258 2 3 2" xfId="23921"/>
    <cellStyle name="Normal 258 2 4" xfId="23922"/>
    <cellStyle name="Normal 258 2 5" xfId="23923"/>
    <cellStyle name="Normal 258 3" xfId="23924"/>
    <cellStyle name="Normal 258 3 2" xfId="23925"/>
    <cellStyle name="Normal 258 3 2 2" xfId="23926"/>
    <cellStyle name="Normal 258 3 3" xfId="23927"/>
    <cellStyle name="Normal 258 3 4" xfId="23928"/>
    <cellStyle name="Normal 258 4" xfId="23929"/>
    <cellStyle name="Normal 258 5" xfId="23930"/>
    <cellStyle name="Normal 258 5 2" xfId="23931"/>
    <cellStyle name="Normal 258 6" xfId="23932"/>
    <cellStyle name="Normal 258 7" xfId="23933"/>
    <cellStyle name="Normal 259" xfId="23934"/>
    <cellStyle name="Normal 259 2" xfId="23935"/>
    <cellStyle name="Normal 259 2 2" xfId="23936"/>
    <cellStyle name="Normal 259 2 2 2" xfId="23937"/>
    <cellStyle name="Normal 259 2 2 2 2" xfId="23938"/>
    <cellStyle name="Normal 259 2 2 3" xfId="23939"/>
    <cellStyle name="Normal 259 2 2 4" xfId="23940"/>
    <cellStyle name="Normal 259 2 3" xfId="23941"/>
    <cellStyle name="Normal 259 2 3 2" xfId="23942"/>
    <cellStyle name="Normal 259 2 4" xfId="23943"/>
    <cellStyle name="Normal 259 2 5" xfId="23944"/>
    <cellStyle name="Normal 259 3" xfId="23945"/>
    <cellStyle name="Normal 259 3 2" xfId="23946"/>
    <cellStyle name="Normal 259 3 2 2" xfId="23947"/>
    <cellStyle name="Normal 259 3 3" xfId="23948"/>
    <cellStyle name="Normal 259 3 4" xfId="23949"/>
    <cellStyle name="Normal 259 4" xfId="23950"/>
    <cellStyle name="Normal 259 5" xfId="23951"/>
    <cellStyle name="Normal 259 5 2" xfId="23952"/>
    <cellStyle name="Normal 259 6" xfId="23953"/>
    <cellStyle name="Normal 259 7" xfId="23954"/>
    <cellStyle name="Normal 26" xfId="23955"/>
    <cellStyle name="Normal 26 2" xfId="23956"/>
    <cellStyle name="Normal 26 2 2" xfId="36038"/>
    <cellStyle name="Normal 26 2 3" xfId="36037"/>
    <cellStyle name="Normal 26 3" xfId="36039"/>
    <cellStyle name="Normal 26 4" xfId="36040"/>
    <cellStyle name="Normal 26 5" xfId="36036"/>
    <cellStyle name="Normal 260" xfId="23957"/>
    <cellStyle name="Normal 260 2" xfId="23958"/>
    <cellStyle name="Normal 260 2 2" xfId="23959"/>
    <cellStyle name="Normal 260 2 2 2" xfId="23960"/>
    <cellStyle name="Normal 260 2 2 2 2" xfId="23961"/>
    <cellStyle name="Normal 260 2 2 3" xfId="23962"/>
    <cellStyle name="Normal 260 2 2 4" xfId="23963"/>
    <cellStyle name="Normal 260 2 3" xfId="23964"/>
    <cellStyle name="Normal 260 2 3 2" xfId="23965"/>
    <cellStyle name="Normal 260 2 4" xfId="23966"/>
    <cellStyle name="Normal 260 2 5" xfId="23967"/>
    <cellStyle name="Normal 260 3" xfId="23968"/>
    <cellStyle name="Normal 260 3 2" xfId="23969"/>
    <cellStyle name="Normal 260 3 2 2" xfId="23970"/>
    <cellStyle name="Normal 260 3 3" xfId="23971"/>
    <cellStyle name="Normal 260 3 4" xfId="23972"/>
    <cellStyle name="Normal 260 4" xfId="23973"/>
    <cellStyle name="Normal 260 5" xfId="23974"/>
    <cellStyle name="Normal 260 5 2" xfId="23975"/>
    <cellStyle name="Normal 260 6" xfId="23976"/>
    <cellStyle name="Normal 260 7" xfId="23977"/>
    <cellStyle name="Normal 261" xfId="23978"/>
    <cellStyle name="Normal 261 2" xfId="23979"/>
    <cellStyle name="Normal 261 2 2" xfId="23980"/>
    <cellStyle name="Normal 261 2 2 2" xfId="23981"/>
    <cellStyle name="Normal 261 2 2 2 2" xfId="23982"/>
    <cellStyle name="Normal 261 2 2 3" xfId="23983"/>
    <cellStyle name="Normal 261 2 2 4" xfId="23984"/>
    <cellStyle name="Normal 261 2 3" xfId="23985"/>
    <cellStyle name="Normal 261 2 3 2" xfId="23986"/>
    <cellStyle name="Normal 261 2 4" xfId="23987"/>
    <cellStyle name="Normal 261 2 5" xfId="23988"/>
    <cellStyle name="Normal 261 3" xfId="23989"/>
    <cellStyle name="Normal 261 3 2" xfId="23990"/>
    <cellStyle name="Normal 261 3 2 2" xfId="23991"/>
    <cellStyle name="Normal 261 3 3" xfId="23992"/>
    <cellStyle name="Normal 261 3 4" xfId="23993"/>
    <cellStyle name="Normal 261 4" xfId="23994"/>
    <cellStyle name="Normal 261 5" xfId="23995"/>
    <cellStyle name="Normal 261 5 2" xfId="23996"/>
    <cellStyle name="Normal 261 6" xfId="23997"/>
    <cellStyle name="Normal 261 7" xfId="23998"/>
    <cellStyle name="Normal 262" xfId="23999"/>
    <cellStyle name="Normal 262 2" xfId="24000"/>
    <cellStyle name="Normal 262 2 2" xfId="24001"/>
    <cellStyle name="Normal 262 2 2 2" xfId="24002"/>
    <cellStyle name="Normal 262 2 2 2 2" xfId="24003"/>
    <cellStyle name="Normal 262 2 2 3" xfId="24004"/>
    <cellStyle name="Normal 262 2 2 4" xfId="24005"/>
    <cellStyle name="Normal 262 2 3" xfId="24006"/>
    <cellStyle name="Normal 262 2 3 2" xfId="24007"/>
    <cellStyle name="Normal 262 2 4" xfId="24008"/>
    <cellStyle name="Normal 262 2 5" xfId="24009"/>
    <cellStyle name="Normal 262 3" xfId="24010"/>
    <cellStyle name="Normal 262 3 2" xfId="24011"/>
    <cellStyle name="Normal 262 3 2 2" xfId="24012"/>
    <cellStyle name="Normal 262 3 3" xfId="24013"/>
    <cellStyle name="Normal 262 3 4" xfId="24014"/>
    <cellStyle name="Normal 262 4" xfId="24015"/>
    <cellStyle name="Normal 262 5" xfId="24016"/>
    <cellStyle name="Normal 262 5 2" xfId="24017"/>
    <cellStyle name="Normal 262 6" xfId="24018"/>
    <cellStyle name="Normal 262 7" xfId="24019"/>
    <cellStyle name="Normal 263" xfId="24020"/>
    <cellStyle name="Normal 263 2" xfId="24021"/>
    <cellStyle name="Normal 263 2 2" xfId="24022"/>
    <cellStyle name="Normal 263 2 2 2" xfId="24023"/>
    <cellStyle name="Normal 263 2 2 2 2" xfId="24024"/>
    <cellStyle name="Normal 263 2 2 3" xfId="24025"/>
    <cellStyle name="Normal 263 2 2 4" xfId="24026"/>
    <cellStyle name="Normal 263 2 3" xfId="24027"/>
    <cellStyle name="Normal 263 2 3 2" xfId="24028"/>
    <cellStyle name="Normal 263 2 4" xfId="24029"/>
    <cellStyle name="Normal 263 2 5" xfId="24030"/>
    <cellStyle name="Normal 263 3" xfId="24031"/>
    <cellStyle name="Normal 263 3 2" xfId="24032"/>
    <cellStyle name="Normal 263 3 2 2" xfId="24033"/>
    <cellStyle name="Normal 263 3 3" xfId="24034"/>
    <cellStyle name="Normal 263 3 4" xfId="24035"/>
    <cellStyle name="Normal 263 4" xfId="24036"/>
    <cellStyle name="Normal 263 5" xfId="24037"/>
    <cellStyle name="Normal 263 5 2" xfId="24038"/>
    <cellStyle name="Normal 263 6" xfId="24039"/>
    <cellStyle name="Normal 263 7" xfId="24040"/>
    <cellStyle name="Normal 264" xfId="24041"/>
    <cellStyle name="Normal 264 2" xfId="24042"/>
    <cellStyle name="Normal 265" xfId="24043"/>
    <cellStyle name="Normal 265 2" xfId="24044"/>
    <cellStyle name="Normal 266" xfId="24045"/>
    <cellStyle name="Normal 267" xfId="24046"/>
    <cellStyle name="Normal 268" xfId="24047"/>
    <cellStyle name="Normal 269" xfId="24048"/>
    <cellStyle name="Normal 27" xfId="24049"/>
    <cellStyle name="Normal 27 2" xfId="24050"/>
    <cellStyle name="Normal 270" xfId="24051"/>
    <cellStyle name="Normal 271" xfId="24052"/>
    <cellStyle name="Normal 272" xfId="24053"/>
    <cellStyle name="Normal 273" xfId="24054"/>
    <cellStyle name="Normal 274" xfId="24055"/>
    <cellStyle name="Normal 274 2" xfId="24056"/>
    <cellStyle name="Normal 275" xfId="24057"/>
    <cellStyle name="Normal 275 2" xfId="24058"/>
    <cellStyle name="Normal 276" xfId="24059"/>
    <cellStyle name="Normal 276 2" xfId="24060"/>
    <cellStyle name="Normal 277" xfId="24061"/>
    <cellStyle name="Normal 277 2" xfId="24062"/>
    <cellStyle name="Normal 278" xfId="24063"/>
    <cellStyle name="Normal 278 2" xfId="24064"/>
    <cellStyle name="Normal 279" xfId="24065"/>
    <cellStyle name="Normal 279 2" xfId="24066"/>
    <cellStyle name="Normal 28" xfId="24067"/>
    <cellStyle name="Normal 28 2" xfId="24068"/>
    <cellStyle name="Normal 28 2 2" xfId="36119"/>
    <cellStyle name="Normal 28 3" xfId="35930"/>
    <cellStyle name="Normal 280" xfId="24069"/>
    <cellStyle name="Normal 280 2" xfId="24070"/>
    <cellStyle name="Normal 281" xfId="24071"/>
    <cellStyle name="Normal 281 2" xfId="24072"/>
    <cellStyle name="Normal 281 2 2" xfId="24073"/>
    <cellStyle name="Normal 281 2 2 2" xfId="24074"/>
    <cellStyle name="Normal 281 2 3" xfId="24075"/>
    <cellStyle name="Normal 281 2 4" xfId="24076"/>
    <cellStyle name="Normal 281 3" xfId="24077"/>
    <cellStyle name="Normal 281 4" xfId="24078"/>
    <cellStyle name="Normal 281 4 2" xfId="24079"/>
    <cellStyle name="Normal 281 5" xfId="24080"/>
    <cellStyle name="Normal 281 6" xfId="24081"/>
    <cellStyle name="Normal 282" xfId="24082"/>
    <cellStyle name="Normal 282 2" xfId="24083"/>
    <cellStyle name="Normal 282 2 2" xfId="24084"/>
    <cellStyle name="Normal 282 2 2 2" xfId="24085"/>
    <cellStyle name="Normal 282 2 3" xfId="24086"/>
    <cellStyle name="Normal 282 2 4" xfId="24087"/>
    <cellStyle name="Normal 282 3" xfId="24088"/>
    <cellStyle name="Normal 282 4" xfId="24089"/>
    <cellStyle name="Normal 282 4 2" xfId="24090"/>
    <cellStyle name="Normal 282 5" xfId="24091"/>
    <cellStyle name="Normal 282 6" xfId="24092"/>
    <cellStyle name="Normal 283" xfId="24093"/>
    <cellStyle name="Normal 283 2" xfId="24094"/>
    <cellStyle name="Normal 283 2 2" xfId="24095"/>
    <cellStyle name="Normal 283 2 2 2" xfId="24096"/>
    <cellStyle name="Normal 283 2 3" xfId="24097"/>
    <cellStyle name="Normal 283 2 4" xfId="24098"/>
    <cellStyle name="Normal 283 3" xfId="24099"/>
    <cellStyle name="Normal 283 4" xfId="24100"/>
    <cellStyle name="Normal 283 4 2" xfId="24101"/>
    <cellStyle name="Normal 283 5" xfId="24102"/>
    <cellStyle name="Normal 283 6" xfId="24103"/>
    <cellStyle name="Normal 284" xfId="24104"/>
    <cellStyle name="Normal 284 2" xfId="24105"/>
    <cellStyle name="Normal 284 2 2" xfId="24106"/>
    <cellStyle name="Normal 284 2 2 2" xfId="24107"/>
    <cellStyle name="Normal 284 2 3" xfId="24108"/>
    <cellStyle name="Normal 284 2 4" xfId="24109"/>
    <cellStyle name="Normal 284 3" xfId="24110"/>
    <cellStyle name="Normal 284 4" xfId="24111"/>
    <cellStyle name="Normal 284 4 2" xfId="24112"/>
    <cellStyle name="Normal 284 5" xfId="24113"/>
    <cellStyle name="Normal 284 6" xfId="24114"/>
    <cellStyle name="Normal 285" xfId="24115"/>
    <cellStyle name="Normal 285 2" xfId="24116"/>
    <cellStyle name="Normal 285 2 2" xfId="24117"/>
    <cellStyle name="Normal 285 2 2 2" xfId="24118"/>
    <cellStyle name="Normal 285 2 3" xfId="24119"/>
    <cellStyle name="Normal 285 2 4" xfId="24120"/>
    <cellStyle name="Normal 285 3" xfId="24121"/>
    <cellStyle name="Normal 285 4" xfId="24122"/>
    <cellStyle name="Normal 285 4 2" xfId="24123"/>
    <cellStyle name="Normal 285 5" xfId="24124"/>
    <cellStyle name="Normal 285 6" xfId="24125"/>
    <cellStyle name="Normal 286" xfId="24126"/>
    <cellStyle name="Normal 286 2" xfId="24127"/>
    <cellStyle name="Normal 286 2 2" xfId="24128"/>
    <cellStyle name="Normal 286 2 2 2" xfId="24129"/>
    <cellStyle name="Normal 286 2 3" xfId="24130"/>
    <cellStyle name="Normal 286 2 4" xfId="24131"/>
    <cellStyle name="Normal 286 3" xfId="24132"/>
    <cellStyle name="Normal 286 3 2" xfId="24133"/>
    <cellStyle name="Normal 286 4" xfId="24134"/>
    <cellStyle name="Normal 286 5" xfId="24135"/>
    <cellStyle name="Normal 287" xfId="24136"/>
    <cellStyle name="Normal 287 2" xfId="24137"/>
    <cellStyle name="Normal 287 2 2" xfId="24138"/>
    <cellStyle name="Normal 287 2 2 2" xfId="24139"/>
    <cellStyle name="Normal 287 2 3" xfId="24140"/>
    <cellStyle name="Normal 287 2 4" xfId="24141"/>
    <cellStyle name="Normal 287 3" xfId="24142"/>
    <cellStyle name="Normal 287 3 2" xfId="24143"/>
    <cellStyle name="Normal 287 4" xfId="24144"/>
    <cellStyle name="Normal 287 5" xfId="24145"/>
    <cellStyle name="Normal 288" xfId="24146"/>
    <cellStyle name="Normal 288 2" xfId="24147"/>
    <cellStyle name="Normal 288 2 2" xfId="24148"/>
    <cellStyle name="Normal 288 2 2 2" xfId="24149"/>
    <cellStyle name="Normal 288 2 3" xfId="24150"/>
    <cellStyle name="Normal 288 2 4" xfId="24151"/>
    <cellStyle name="Normal 288 3" xfId="24152"/>
    <cellStyle name="Normal 288 3 2" xfId="24153"/>
    <cellStyle name="Normal 288 4" xfId="24154"/>
    <cellStyle name="Normal 288 5" xfId="24155"/>
    <cellStyle name="Normal 289" xfId="24156"/>
    <cellStyle name="Normal 289 2" xfId="24157"/>
    <cellStyle name="Normal 289 2 2" xfId="24158"/>
    <cellStyle name="Normal 289 2 2 2" xfId="24159"/>
    <cellStyle name="Normal 289 2 3" xfId="24160"/>
    <cellStyle name="Normal 289 2 4" xfId="24161"/>
    <cellStyle name="Normal 289 3" xfId="24162"/>
    <cellStyle name="Normal 289 3 2" xfId="24163"/>
    <cellStyle name="Normal 289 4" xfId="24164"/>
    <cellStyle name="Normal 289 5" xfId="24165"/>
    <cellStyle name="Normal 29" xfId="24166"/>
    <cellStyle name="Normal 29 2" xfId="36041"/>
    <cellStyle name="Normal 290" xfId="24167"/>
    <cellStyle name="Normal 291" xfId="24168"/>
    <cellStyle name="Normal 292" xfId="24169"/>
    <cellStyle name="Normal 293" xfId="24170"/>
    <cellStyle name="Normal 294" xfId="24171"/>
    <cellStyle name="Normal 295" xfId="24172"/>
    <cellStyle name="Normal 296" xfId="24173"/>
    <cellStyle name="Normal 297" xfId="24174"/>
    <cellStyle name="Normal 298" xfId="24175"/>
    <cellStyle name="Normal 299" xfId="24176"/>
    <cellStyle name="Normal 299 2" xfId="24177"/>
    <cellStyle name="Normal 299 2 2" xfId="24178"/>
    <cellStyle name="Normal 299 2 2 2" xfId="24179"/>
    <cellStyle name="Normal 299 2 3" xfId="24180"/>
    <cellStyle name="Normal 299 2 4" xfId="24181"/>
    <cellStyle name="Normal 299 3" xfId="24182"/>
    <cellStyle name="Normal 299 3 2" xfId="24183"/>
    <cellStyle name="Normal 299 3 2 2" xfId="24184"/>
    <cellStyle name="Normal 299 3 3" xfId="24185"/>
    <cellStyle name="Normal 299 3 4" xfId="24186"/>
    <cellStyle name="Normal 299 4" xfId="24187"/>
    <cellStyle name="Normal 299 4 2" xfId="24188"/>
    <cellStyle name="Normal 299 4 2 2" xfId="24189"/>
    <cellStyle name="Normal 299 4 3" xfId="24190"/>
    <cellStyle name="Normal 299 4 4" xfId="24191"/>
    <cellStyle name="Normal 299 5" xfId="24192"/>
    <cellStyle name="Normal 299 5 2" xfId="24193"/>
    <cellStyle name="Normal 299 5 2 2" xfId="24194"/>
    <cellStyle name="Normal 299 5 3" xfId="24195"/>
    <cellStyle name="Normal 299 5 4" xfId="24196"/>
    <cellStyle name="Normal 299 6" xfId="24197"/>
    <cellStyle name="Normal 299 6 2" xfId="24198"/>
    <cellStyle name="Normal 299 6 2 2" xfId="24199"/>
    <cellStyle name="Normal 299 6 3" xfId="24200"/>
    <cellStyle name="Normal 299 6 4" xfId="24201"/>
    <cellStyle name="Normal 299 7" xfId="24202"/>
    <cellStyle name="Normal 299 7 2" xfId="24203"/>
    <cellStyle name="Normal 299 8" xfId="24204"/>
    <cellStyle name="Normal 299 9" xfId="24205"/>
    <cellStyle name="Normal 3" xfId="32"/>
    <cellStyle name="Normal 3 10" xfId="24206"/>
    <cellStyle name="Normal 3 10 2" xfId="24207"/>
    <cellStyle name="Normal 3 11" xfId="24208"/>
    <cellStyle name="Normal 3 12" xfId="24209"/>
    <cellStyle name="Normal 3 12 2" xfId="24210"/>
    <cellStyle name="Normal 3 13" xfId="24211"/>
    <cellStyle name="Normal 3 14" xfId="24212"/>
    <cellStyle name="Normal 3 2" xfId="177"/>
    <cellStyle name="Normal 3 2 10" xfId="24213"/>
    <cellStyle name="Normal 3 2 10 2" xfId="24214"/>
    <cellStyle name="Normal 3 2 10 2 2" xfId="24215"/>
    <cellStyle name="Normal 3 2 10 3" xfId="24216"/>
    <cellStyle name="Normal 3 2 10 4" xfId="24217"/>
    <cellStyle name="Normal 3 2 11" xfId="24218"/>
    <cellStyle name="Normal 3 2 11 2" xfId="24219"/>
    <cellStyle name="Normal 3 2 11 2 2" xfId="24220"/>
    <cellStyle name="Normal 3 2 11 3" xfId="24221"/>
    <cellStyle name="Normal 3 2 11 4" xfId="24222"/>
    <cellStyle name="Normal 3 2 12" xfId="24223"/>
    <cellStyle name="Normal 3 2 12 2" xfId="24224"/>
    <cellStyle name="Normal 3 2 13" xfId="24225"/>
    <cellStyle name="Normal 3 2 14" xfId="24226"/>
    <cellStyle name="Normal 3 2 2" xfId="444"/>
    <cellStyle name="Normal 3 2 2 10" xfId="24228"/>
    <cellStyle name="Normal 3 2 2 10 2" xfId="24229"/>
    <cellStyle name="Normal 3 2 2 11" xfId="24230"/>
    <cellStyle name="Normal 3 2 2 12" xfId="24231"/>
    <cellStyle name="Normal 3 2 2 13" xfId="35663"/>
    <cellStyle name="Normal 3 2 2 14" xfId="24227"/>
    <cellStyle name="Normal 3 2 2 2" xfId="24232"/>
    <cellStyle name="Normal 3 2 2 2 10" xfId="24233"/>
    <cellStyle name="Normal 3 2 2 2 11" xfId="24234"/>
    <cellStyle name="Normal 3 2 2 2 2" xfId="24235"/>
    <cellStyle name="Normal 3 2 2 2 2 10" xfId="24236"/>
    <cellStyle name="Normal 3 2 2 2 2 2" xfId="24237"/>
    <cellStyle name="Normal 3 2 2 2 2 2 2" xfId="24238"/>
    <cellStyle name="Normal 3 2 2 2 2 2 2 2" xfId="24239"/>
    <cellStyle name="Normal 3 2 2 2 2 2 2 2 2" xfId="24240"/>
    <cellStyle name="Normal 3 2 2 2 2 2 2 2 2 2" xfId="24241"/>
    <cellStyle name="Normal 3 2 2 2 2 2 2 2 3" xfId="24242"/>
    <cellStyle name="Normal 3 2 2 2 2 2 2 2 4" xfId="24243"/>
    <cellStyle name="Normal 3 2 2 2 2 2 2 3" xfId="24244"/>
    <cellStyle name="Normal 3 2 2 2 2 2 2 3 2" xfId="24245"/>
    <cellStyle name="Normal 3 2 2 2 2 2 2 4" xfId="24246"/>
    <cellStyle name="Normal 3 2 2 2 2 2 2 5" xfId="24247"/>
    <cellStyle name="Normal 3 2 2 2 2 2 3" xfId="24248"/>
    <cellStyle name="Normal 3 2 2 2 2 2 3 2" xfId="24249"/>
    <cellStyle name="Normal 3 2 2 2 2 2 3 2 2" xfId="24250"/>
    <cellStyle name="Normal 3 2 2 2 2 2 3 2 2 2" xfId="24251"/>
    <cellStyle name="Normal 3 2 2 2 2 2 3 2 3" xfId="24252"/>
    <cellStyle name="Normal 3 2 2 2 2 2 3 2 4" xfId="24253"/>
    <cellStyle name="Normal 3 2 2 2 2 2 3 3" xfId="24254"/>
    <cellStyle name="Normal 3 2 2 2 2 2 3 3 2" xfId="24255"/>
    <cellStyle name="Normal 3 2 2 2 2 2 3 4" xfId="24256"/>
    <cellStyle name="Normal 3 2 2 2 2 2 3 5" xfId="24257"/>
    <cellStyle name="Normal 3 2 2 2 2 2 4" xfId="24258"/>
    <cellStyle name="Normal 3 2 2 2 2 2 4 2" xfId="24259"/>
    <cellStyle name="Normal 3 2 2 2 2 2 4 2 2" xfId="24260"/>
    <cellStyle name="Normal 3 2 2 2 2 2 4 3" xfId="24261"/>
    <cellStyle name="Normal 3 2 2 2 2 2 4 4" xfId="24262"/>
    <cellStyle name="Normal 3 2 2 2 2 2 5" xfId="24263"/>
    <cellStyle name="Normal 3 2 2 2 2 2 5 2" xfId="24264"/>
    <cellStyle name="Normal 3 2 2 2 2 2 5 2 2" xfId="24265"/>
    <cellStyle name="Normal 3 2 2 2 2 2 5 3" xfId="24266"/>
    <cellStyle name="Normal 3 2 2 2 2 2 5 4" xfId="24267"/>
    <cellStyle name="Normal 3 2 2 2 2 2 6" xfId="24268"/>
    <cellStyle name="Normal 3 2 2 2 2 2 6 2" xfId="24269"/>
    <cellStyle name="Normal 3 2 2 2 2 2 6 2 2" xfId="24270"/>
    <cellStyle name="Normal 3 2 2 2 2 2 6 3" xfId="24271"/>
    <cellStyle name="Normal 3 2 2 2 2 2 6 4" xfId="24272"/>
    <cellStyle name="Normal 3 2 2 2 2 2 7" xfId="24273"/>
    <cellStyle name="Normal 3 2 2 2 2 2 7 2" xfId="24274"/>
    <cellStyle name="Normal 3 2 2 2 2 2 8" xfId="24275"/>
    <cellStyle name="Normal 3 2 2 2 2 2 9" xfId="24276"/>
    <cellStyle name="Normal 3 2 2 2 2 3" xfId="24277"/>
    <cellStyle name="Normal 3 2 2 2 2 3 2" xfId="24278"/>
    <cellStyle name="Normal 3 2 2 2 2 3 2 2" xfId="24279"/>
    <cellStyle name="Normal 3 2 2 2 2 3 2 2 2" xfId="24280"/>
    <cellStyle name="Normal 3 2 2 2 2 3 2 3" xfId="24281"/>
    <cellStyle name="Normal 3 2 2 2 2 3 2 4" xfId="24282"/>
    <cellStyle name="Normal 3 2 2 2 2 3 3" xfId="24283"/>
    <cellStyle name="Normal 3 2 2 2 2 3 3 2" xfId="24284"/>
    <cellStyle name="Normal 3 2 2 2 2 3 4" xfId="24285"/>
    <cellStyle name="Normal 3 2 2 2 2 3 5" xfId="24286"/>
    <cellStyle name="Normal 3 2 2 2 2 4" xfId="24287"/>
    <cellStyle name="Normal 3 2 2 2 2 4 2" xfId="24288"/>
    <cellStyle name="Normal 3 2 2 2 2 4 2 2" xfId="24289"/>
    <cellStyle name="Normal 3 2 2 2 2 4 2 2 2" xfId="24290"/>
    <cellStyle name="Normal 3 2 2 2 2 4 2 3" xfId="24291"/>
    <cellStyle name="Normal 3 2 2 2 2 4 2 4" xfId="24292"/>
    <cellStyle name="Normal 3 2 2 2 2 4 3" xfId="24293"/>
    <cellStyle name="Normal 3 2 2 2 2 4 3 2" xfId="24294"/>
    <cellStyle name="Normal 3 2 2 2 2 4 4" xfId="24295"/>
    <cellStyle name="Normal 3 2 2 2 2 4 5" xfId="24296"/>
    <cellStyle name="Normal 3 2 2 2 2 5" xfId="24297"/>
    <cellStyle name="Normal 3 2 2 2 2 5 2" xfId="24298"/>
    <cellStyle name="Normal 3 2 2 2 2 5 2 2" xfId="24299"/>
    <cellStyle name="Normal 3 2 2 2 2 5 3" xfId="24300"/>
    <cellStyle name="Normal 3 2 2 2 2 5 4" xfId="24301"/>
    <cellStyle name="Normal 3 2 2 2 2 6" xfId="24302"/>
    <cellStyle name="Normal 3 2 2 2 2 6 2" xfId="24303"/>
    <cellStyle name="Normal 3 2 2 2 2 6 2 2" xfId="24304"/>
    <cellStyle name="Normal 3 2 2 2 2 6 3" xfId="24305"/>
    <cellStyle name="Normal 3 2 2 2 2 6 4" xfId="24306"/>
    <cellStyle name="Normal 3 2 2 2 2 7" xfId="24307"/>
    <cellStyle name="Normal 3 2 2 2 2 7 2" xfId="24308"/>
    <cellStyle name="Normal 3 2 2 2 2 7 2 2" xfId="24309"/>
    <cellStyle name="Normal 3 2 2 2 2 7 3" xfId="24310"/>
    <cellStyle name="Normal 3 2 2 2 2 7 4" xfId="24311"/>
    <cellStyle name="Normal 3 2 2 2 2 8" xfId="24312"/>
    <cellStyle name="Normal 3 2 2 2 2 8 2" xfId="24313"/>
    <cellStyle name="Normal 3 2 2 2 2 9" xfId="24314"/>
    <cellStyle name="Normal 3 2 2 2 3" xfId="24315"/>
    <cellStyle name="Normal 3 2 2 2 3 2" xfId="24316"/>
    <cellStyle name="Normal 3 2 2 2 3 2 2" xfId="24317"/>
    <cellStyle name="Normal 3 2 2 2 3 2 2 2" xfId="24318"/>
    <cellStyle name="Normal 3 2 2 2 3 2 2 2 2" xfId="24319"/>
    <cellStyle name="Normal 3 2 2 2 3 2 2 3" xfId="24320"/>
    <cellStyle name="Normal 3 2 2 2 3 2 2 4" xfId="24321"/>
    <cellStyle name="Normal 3 2 2 2 3 2 3" xfId="24322"/>
    <cellStyle name="Normal 3 2 2 2 3 2 3 2" xfId="24323"/>
    <cellStyle name="Normal 3 2 2 2 3 2 4" xfId="24324"/>
    <cellStyle name="Normal 3 2 2 2 3 2 5" xfId="24325"/>
    <cellStyle name="Normal 3 2 2 2 3 3" xfId="24326"/>
    <cellStyle name="Normal 3 2 2 2 3 3 2" xfId="24327"/>
    <cellStyle name="Normal 3 2 2 2 3 3 2 2" xfId="24328"/>
    <cellStyle name="Normal 3 2 2 2 3 3 2 2 2" xfId="24329"/>
    <cellStyle name="Normal 3 2 2 2 3 3 2 3" xfId="24330"/>
    <cellStyle name="Normal 3 2 2 2 3 3 2 4" xfId="24331"/>
    <cellStyle name="Normal 3 2 2 2 3 3 3" xfId="24332"/>
    <cellStyle name="Normal 3 2 2 2 3 3 3 2" xfId="24333"/>
    <cellStyle name="Normal 3 2 2 2 3 3 4" xfId="24334"/>
    <cellStyle name="Normal 3 2 2 2 3 3 5" xfId="24335"/>
    <cellStyle name="Normal 3 2 2 2 3 4" xfId="24336"/>
    <cellStyle name="Normal 3 2 2 2 3 4 2" xfId="24337"/>
    <cellStyle name="Normal 3 2 2 2 3 4 2 2" xfId="24338"/>
    <cellStyle name="Normal 3 2 2 2 3 4 3" xfId="24339"/>
    <cellStyle name="Normal 3 2 2 2 3 4 4" xfId="24340"/>
    <cellStyle name="Normal 3 2 2 2 3 5" xfId="24341"/>
    <cellStyle name="Normal 3 2 2 2 3 5 2" xfId="24342"/>
    <cellStyle name="Normal 3 2 2 2 3 5 2 2" xfId="24343"/>
    <cellStyle name="Normal 3 2 2 2 3 5 3" xfId="24344"/>
    <cellStyle name="Normal 3 2 2 2 3 5 4" xfId="24345"/>
    <cellStyle name="Normal 3 2 2 2 3 6" xfId="24346"/>
    <cellStyle name="Normal 3 2 2 2 3 6 2" xfId="24347"/>
    <cellStyle name="Normal 3 2 2 2 3 6 2 2" xfId="24348"/>
    <cellStyle name="Normal 3 2 2 2 3 6 3" xfId="24349"/>
    <cellStyle name="Normal 3 2 2 2 3 6 4" xfId="24350"/>
    <cellStyle name="Normal 3 2 2 2 3 7" xfId="24351"/>
    <cellStyle name="Normal 3 2 2 2 3 7 2" xfId="24352"/>
    <cellStyle name="Normal 3 2 2 2 3 8" xfId="24353"/>
    <cellStyle name="Normal 3 2 2 2 3 9" xfId="24354"/>
    <cellStyle name="Normal 3 2 2 2 4" xfId="24355"/>
    <cellStyle name="Normal 3 2 2 2 4 2" xfId="24356"/>
    <cellStyle name="Normal 3 2 2 2 4 2 2" xfId="24357"/>
    <cellStyle name="Normal 3 2 2 2 4 2 2 2" xfId="24358"/>
    <cellStyle name="Normal 3 2 2 2 4 2 3" xfId="24359"/>
    <cellStyle name="Normal 3 2 2 2 4 2 4" xfId="24360"/>
    <cellStyle name="Normal 3 2 2 2 4 3" xfId="24361"/>
    <cellStyle name="Normal 3 2 2 2 4 3 2" xfId="24362"/>
    <cellStyle name="Normal 3 2 2 2 4 4" xfId="24363"/>
    <cellStyle name="Normal 3 2 2 2 4 5" xfId="24364"/>
    <cellStyle name="Normal 3 2 2 2 5" xfId="24365"/>
    <cellStyle name="Normal 3 2 2 2 5 2" xfId="24366"/>
    <cellStyle name="Normal 3 2 2 2 5 2 2" xfId="24367"/>
    <cellStyle name="Normal 3 2 2 2 5 2 2 2" xfId="24368"/>
    <cellStyle name="Normal 3 2 2 2 5 2 3" xfId="24369"/>
    <cellStyle name="Normal 3 2 2 2 5 2 4" xfId="24370"/>
    <cellStyle name="Normal 3 2 2 2 5 3" xfId="24371"/>
    <cellStyle name="Normal 3 2 2 2 5 3 2" xfId="24372"/>
    <cellStyle name="Normal 3 2 2 2 5 4" xfId="24373"/>
    <cellStyle name="Normal 3 2 2 2 5 5" xfId="24374"/>
    <cellStyle name="Normal 3 2 2 2 6" xfId="24375"/>
    <cellStyle name="Normal 3 2 2 2 6 2" xfId="24376"/>
    <cellStyle name="Normal 3 2 2 2 6 2 2" xfId="24377"/>
    <cellStyle name="Normal 3 2 2 2 6 3" xfId="24378"/>
    <cellStyle name="Normal 3 2 2 2 6 4" xfId="24379"/>
    <cellStyle name="Normal 3 2 2 2 7" xfId="24380"/>
    <cellStyle name="Normal 3 2 2 2 7 2" xfId="24381"/>
    <cellStyle name="Normal 3 2 2 2 7 2 2" xfId="24382"/>
    <cellStyle name="Normal 3 2 2 2 7 3" xfId="24383"/>
    <cellStyle name="Normal 3 2 2 2 7 4" xfId="24384"/>
    <cellStyle name="Normal 3 2 2 2 8" xfId="24385"/>
    <cellStyle name="Normal 3 2 2 2 8 2" xfId="24386"/>
    <cellStyle name="Normal 3 2 2 2 8 2 2" xfId="24387"/>
    <cellStyle name="Normal 3 2 2 2 8 3" xfId="24388"/>
    <cellStyle name="Normal 3 2 2 2 8 4" xfId="24389"/>
    <cellStyle name="Normal 3 2 2 2 9" xfId="24390"/>
    <cellStyle name="Normal 3 2 2 2 9 2" xfId="24391"/>
    <cellStyle name="Normal 3 2 2 3" xfId="24392"/>
    <cellStyle name="Normal 3 2 2 3 10" xfId="24393"/>
    <cellStyle name="Normal 3 2 2 3 2" xfId="24394"/>
    <cellStyle name="Normal 3 2 2 3 2 2" xfId="24395"/>
    <cellStyle name="Normal 3 2 2 3 2 2 2" xfId="24396"/>
    <cellStyle name="Normal 3 2 2 3 2 2 2 2" xfId="24397"/>
    <cellStyle name="Normal 3 2 2 3 2 2 2 2 2" xfId="24398"/>
    <cellStyle name="Normal 3 2 2 3 2 2 2 3" xfId="24399"/>
    <cellStyle name="Normal 3 2 2 3 2 2 2 4" xfId="24400"/>
    <cellStyle name="Normal 3 2 2 3 2 2 3" xfId="24401"/>
    <cellStyle name="Normal 3 2 2 3 2 2 3 2" xfId="24402"/>
    <cellStyle name="Normal 3 2 2 3 2 2 4" xfId="24403"/>
    <cellStyle name="Normal 3 2 2 3 2 2 5" xfId="24404"/>
    <cellStyle name="Normal 3 2 2 3 2 3" xfId="24405"/>
    <cellStyle name="Normal 3 2 2 3 2 3 2" xfId="24406"/>
    <cellStyle name="Normal 3 2 2 3 2 3 2 2" xfId="24407"/>
    <cellStyle name="Normal 3 2 2 3 2 3 2 2 2" xfId="24408"/>
    <cellStyle name="Normal 3 2 2 3 2 3 2 3" xfId="24409"/>
    <cellStyle name="Normal 3 2 2 3 2 3 2 4" xfId="24410"/>
    <cellStyle name="Normal 3 2 2 3 2 3 3" xfId="24411"/>
    <cellStyle name="Normal 3 2 2 3 2 3 3 2" xfId="24412"/>
    <cellStyle name="Normal 3 2 2 3 2 3 4" xfId="24413"/>
    <cellStyle name="Normal 3 2 2 3 2 3 5" xfId="24414"/>
    <cellStyle name="Normal 3 2 2 3 2 4" xfId="24415"/>
    <cellStyle name="Normal 3 2 2 3 2 4 2" xfId="24416"/>
    <cellStyle name="Normal 3 2 2 3 2 4 2 2" xfId="24417"/>
    <cellStyle name="Normal 3 2 2 3 2 4 3" xfId="24418"/>
    <cellStyle name="Normal 3 2 2 3 2 4 4" xfId="24419"/>
    <cellStyle name="Normal 3 2 2 3 2 5" xfId="24420"/>
    <cellStyle name="Normal 3 2 2 3 2 5 2" xfId="24421"/>
    <cellStyle name="Normal 3 2 2 3 2 5 2 2" xfId="24422"/>
    <cellStyle name="Normal 3 2 2 3 2 5 3" xfId="24423"/>
    <cellStyle name="Normal 3 2 2 3 2 5 4" xfId="24424"/>
    <cellStyle name="Normal 3 2 2 3 2 6" xfId="24425"/>
    <cellStyle name="Normal 3 2 2 3 2 6 2" xfId="24426"/>
    <cellStyle name="Normal 3 2 2 3 2 6 2 2" xfId="24427"/>
    <cellStyle name="Normal 3 2 2 3 2 6 3" xfId="24428"/>
    <cellStyle name="Normal 3 2 2 3 2 6 4" xfId="24429"/>
    <cellStyle name="Normal 3 2 2 3 2 7" xfId="24430"/>
    <cellStyle name="Normal 3 2 2 3 2 7 2" xfId="24431"/>
    <cellStyle name="Normal 3 2 2 3 2 8" xfId="24432"/>
    <cellStyle name="Normal 3 2 2 3 2 9" xfId="24433"/>
    <cellStyle name="Normal 3 2 2 3 3" xfId="24434"/>
    <cellStyle name="Normal 3 2 2 3 3 2" xfId="24435"/>
    <cellStyle name="Normal 3 2 2 3 3 2 2" xfId="24436"/>
    <cellStyle name="Normal 3 2 2 3 3 2 2 2" xfId="24437"/>
    <cellStyle name="Normal 3 2 2 3 3 2 3" xfId="24438"/>
    <cellStyle name="Normal 3 2 2 3 3 2 4" xfId="24439"/>
    <cellStyle name="Normal 3 2 2 3 3 3" xfId="24440"/>
    <cellStyle name="Normal 3 2 2 3 3 3 2" xfId="24441"/>
    <cellStyle name="Normal 3 2 2 3 3 4" xfId="24442"/>
    <cellStyle name="Normal 3 2 2 3 3 5" xfId="24443"/>
    <cellStyle name="Normal 3 2 2 3 4" xfId="24444"/>
    <cellStyle name="Normal 3 2 2 3 4 2" xfId="24445"/>
    <cellStyle name="Normal 3 2 2 3 4 2 2" xfId="24446"/>
    <cellStyle name="Normal 3 2 2 3 4 2 2 2" xfId="24447"/>
    <cellStyle name="Normal 3 2 2 3 4 2 3" xfId="24448"/>
    <cellStyle name="Normal 3 2 2 3 4 2 4" xfId="24449"/>
    <cellStyle name="Normal 3 2 2 3 4 3" xfId="24450"/>
    <cellStyle name="Normal 3 2 2 3 4 3 2" xfId="24451"/>
    <cellStyle name="Normal 3 2 2 3 4 4" xfId="24452"/>
    <cellStyle name="Normal 3 2 2 3 4 5" xfId="24453"/>
    <cellStyle name="Normal 3 2 2 3 5" xfId="24454"/>
    <cellStyle name="Normal 3 2 2 3 5 2" xfId="24455"/>
    <cellStyle name="Normal 3 2 2 3 5 2 2" xfId="24456"/>
    <cellStyle name="Normal 3 2 2 3 5 3" xfId="24457"/>
    <cellStyle name="Normal 3 2 2 3 5 4" xfId="24458"/>
    <cellStyle name="Normal 3 2 2 3 6" xfId="24459"/>
    <cellStyle name="Normal 3 2 2 3 6 2" xfId="24460"/>
    <cellStyle name="Normal 3 2 2 3 6 2 2" xfId="24461"/>
    <cellStyle name="Normal 3 2 2 3 6 3" xfId="24462"/>
    <cellStyle name="Normal 3 2 2 3 6 4" xfId="24463"/>
    <cellStyle name="Normal 3 2 2 3 7" xfId="24464"/>
    <cellStyle name="Normal 3 2 2 3 7 2" xfId="24465"/>
    <cellStyle name="Normal 3 2 2 3 7 2 2" xfId="24466"/>
    <cellStyle name="Normal 3 2 2 3 7 3" xfId="24467"/>
    <cellStyle name="Normal 3 2 2 3 7 4" xfId="24468"/>
    <cellStyle name="Normal 3 2 2 3 8" xfId="24469"/>
    <cellStyle name="Normal 3 2 2 3 8 2" xfId="24470"/>
    <cellStyle name="Normal 3 2 2 3 9" xfId="24471"/>
    <cellStyle name="Normal 3 2 2 4" xfId="24472"/>
    <cellStyle name="Normal 3 2 2 4 2" xfId="24473"/>
    <cellStyle name="Normal 3 2 2 4 2 2" xfId="24474"/>
    <cellStyle name="Normal 3 2 2 4 2 2 2" xfId="24475"/>
    <cellStyle name="Normal 3 2 2 4 2 2 2 2" xfId="24476"/>
    <cellStyle name="Normal 3 2 2 4 2 2 3" xfId="24477"/>
    <cellStyle name="Normal 3 2 2 4 2 2 4" xfId="24478"/>
    <cellStyle name="Normal 3 2 2 4 2 3" xfId="24479"/>
    <cellStyle name="Normal 3 2 2 4 2 3 2" xfId="24480"/>
    <cellStyle name="Normal 3 2 2 4 2 4" xfId="24481"/>
    <cellStyle name="Normal 3 2 2 4 2 5" xfId="24482"/>
    <cellStyle name="Normal 3 2 2 4 3" xfId="24483"/>
    <cellStyle name="Normal 3 2 2 4 3 2" xfId="24484"/>
    <cellStyle name="Normal 3 2 2 4 3 2 2" xfId="24485"/>
    <cellStyle name="Normal 3 2 2 4 3 2 2 2" xfId="24486"/>
    <cellStyle name="Normal 3 2 2 4 3 2 3" xfId="24487"/>
    <cellStyle name="Normal 3 2 2 4 3 2 4" xfId="24488"/>
    <cellStyle name="Normal 3 2 2 4 3 3" xfId="24489"/>
    <cellStyle name="Normal 3 2 2 4 3 3 2" xfId="24490"/>
    <cellStyle name="Normal 3 2 2 4 3 4" xfId="24491"/>
    <cellStyle name="Normal 3 2 2 4 3 5" xfId="24492"/>
    <cellStyle name="Normal 3 2 2 4 4" xfId="24493"/>
    <cellStyle name="Normal 3 2 2 4 4 2" xfId="24494"/>
    <cellStyle name="Normal 3 2 2 4 4 2 2" xfId="24495"/>
    <cellStyle name="Normal 3 2 2 4 4 3" xfId="24496"/>
    <cellStyle name="Normal 3 2 2 4 4 4" xfId="24497"/>
    <cellStyle name="Normal 3 2 2 4 5" xfId="24498"/>
    <cellStyle name="Normal 3 2 2 4 5 2" xfId="24499"/>
    <cellStyle name="Normal 3 2 2 4 5 2 2" xfId="24500"/>
    <cellStyle name="Normal 3 2 2 4 5 3" xfId="24501"/>
    <cellStyle name="Normal 3 2 2 4 5 4" xfId="24502"/>
    <cellStyle name="Normal 3 2 2 4 6" xfId="24503"/>
    <cellStyle name="Normal 3 2 2 4 6 2" xfId="24504"/>
    <cellStyle name="Normal 3 2 2 4 6 2 2" xfId="24505"/>
    <cellStyle name="Normal 3 2 2 4 6 3" xfId="24506"/>
    <cellStyle name="Normal 3 2 2 4 6 4" xfId="24507"/>
    <cellStyle name="Normal 3 2 2 4 7" xfId="24508"/>
    <cellStyle name="Normal 3 2 2 4 7 2" xfId="24509"/>
    <cellStyle name="Normal 3 2 2 4 8" xfId="24510"/>
    <cellStyle name="Normal 3 2 2 4 9" xfId="24511"/>
    <cellStyle name="Normal 3 2 2 5" xfId="24512"/>
    <cellStyle name="Normal 3 2 2 5 2" xfId="24513"/>
    <cellStyle name="Normal 3 2 2 5 2 2" xfId="24514"/>
    <cellStyle name="Normal 3 2 2 5 2 2 2" xfId="24515"/>
    <cellStyle name="Normal 3 2 2 5 2 3" xfId="24516"/>
    <cellStyle name="Normal 3 2 2 5 2 4" xfId="24517"/>
    <cellStyle name="Normal 3 2 2 5 3" xfId="24518"/>
    <cellStyle name="Normal 3 2 2 5 4" xfId="24519"/>
    <cellStyle name="Normal 3 2 2 5 4 2" xfId="24520"/>
    <cellStyle name="Normal 3 2 2 5 5" xfId="24521"/>
    <cellStyle name="Normal 3 2 2 5 6" xfId="24522"/>
    <cellStyle name="Normal 3 2 2 6" xfId="24523"/>
    <cellStyle name="Normal 3 2 2 6 2" xfId="24524"/>
    <cellStyle name="Normal 3 2 2 6 2 2" xfId="24525"/>
    <cellStyle name="Normal 3 2 2 6 2 2 2" xfId="24526"/>
    <cellStyle name="Normal 3 2 2 6 2 3" xfId="24527"/>
    <cellStyle name="Normal 3 2 2 6 2 4" xfId="24528"/>
    <cellStyle name="Normal 3 2 2 6 3" xfId="24529"/>
    <cellStyle name="Normal 3 2 2 6 3 2" xfId="24530"/>
    <cellStyle name="Normal 3 2 2 6 4" xfId="24531"/>
    <cellStyle name="Normal 3 2 2 6 5" xfId="24532"/>
    <cellStyle name="Normal 3 2 2 7" xfId="24533"/>
    <cellStyle name="Normal 3 2 2 7 2" xfId="24534"/>
    <cellStyle name="Normal 3 2 2 7 2 2" xfId="24535"/>
    <cellStyle name="Normal 3 2 2 7 3" xfId="24536"/>
    <cellStyle name="Normal 3 2 2 7 4" xfId="24537"/>
    <cellStyle name="Normal 3 2 2 8" xfId="24538"/>
    <cellStyle name="Normal 3 2 2 8 2" xfId="24539"/>
    <cellStyle name="Normal 3 2 2 8 2 2" xfId="24540"/>
    <cellStyle name="Normal 3 2 2 8 3" xfId="24541"/>
    <cellStyle name="Normal 3 2 2 8 4" xfId="24542"/>
    <cellStyle name="Normal 3 2 2 9" xfId="24543"/>
    <cellStyle name="Normal 3 2 2 9 2" xfId="24544"/>
    <cellStyle name="Normal 3 2 2 9 2 2" xfId="24545"/>
    <cellStyle name="Normal 3 2 2 9 3" xfId="24546"/>
    <cellStyle name="Normal 3 2 2 9 4" xfId="24547"/>
    <cellStyle name="Normal 3 2 3" xfId="442"/>
    <cellStyle name="Normal 3 2 3 10" xfId="24549"/>
    <cellStyle name="Normal 3 2 3 10 2" xfId="24550"/>
    <cellStyle name="Normal 3 2 3 11" xfId="24551"/>
    <cellStyle name="Normal 3 2 3 12" xfId="24552"/>
    <cellStyle name="Normal 3 2 3 13" xfId="35662"/>
    <cellStyle name="Normal 3 2 3 14" xfId="24548"/>
    <cellStyle name="Normal 3 2 3 2" xfId="24553"/>
    <cellStyle name="Normal 3 2 3 2 10" xfId="24554"/>
    <cellStyle name="Normal 3 2 3 2 11" xfId="24555"/>
    <cellStyle name="Normal 3 2 3 2 2" xfId="24556"/>
    <cellStyle name="Normal 3 2 3 2 2 10" xfId="24557"/>
    <cellStyle name="Normal 3 2 3 2 2 2" xfId="24558"/>
    <cellStyle name="Normal 3 2 3 2 2 2 2" xfId="24559"/>
    <cellStyle name="Normal 3 2 3 2 2 2 2 2" xfId="24560"/>
    <cellStyle name="Normal 3 2 3 2 2 2 2 2 2" xfId="24561"/>
    <cellStyle name="Normal 3 2 3 2 2 2 2 2 2 2" xfId="24562"/>
    <cellStyle name="Normal 3 2 3 2 2 2 2 2 3" xfId="24563"/>
    <cellStyle name="Normal 3 2 3 2 2 2 2 2 4" xfId="24564"/>
    <cellStyle name="Normal 3 2 3 2 2 2 2 3" xfId="24565"/>
    <cellStyle name="Normal 3 2 3 2 2 2 2 3 2" xfId="24566"/>
    <cellStyle name="Normal 3 2 3 2 2 2 2 4" xfId="24567"/>
    <cellStyle name="Normal 3 2 3 2 2 2 2 5" xfId="24568"/>
    <cellStyle name="Normal 3 2 3 2 2 2 3" xfId="24569"/>
    <cellStyle name="Normal 3 2 3 2 2 2 3 2" xfId="24570"/>
    <cellStyle name="Normal 3 2 3 2 2 2 3 2 2" xfId="24571"/>
    <cellStyle name="Normal 3 2 3 2 2 2 3 2 2 2" xfId="24572"/>
    <cellStyle name="Normal 3 2 3 2 2 2 3 2 3" xfId="24573"/>
    <cellStyle name="Normal 3 2 3 2 2 2 3 2 4" xfId="24574"/>
    <cellStyle name="Normal 3 2 3 2 2 2 3 3" xfId="24575"/>
    <cellStyle name="Normal 3 2 3 2 2 2 3 3 2" xfId="24576"/>
    <cellStyle name="Normal 3 2 3 2 2 2 3 4" xfId="24577"/>
    <cellStyle name="Normal 3 2 3 2 2 2 3 5" xfId="24578"/>
    <cellStyle name="Normal 3 2 3 2 2 2 4" xfId="24579"/>
    <cellStyle name="Normal 3 2 3 2 2 2 4 2" xfId="24580"/>
    <cellStyle name="Normal 3 2 3 2 2 2 4 2 2" xfId="24581"/>
    <cellStyle name="Normal 3 2 3 2 2 2 4 3" xfId="24582"/>
    <cellStyle name="Normal 3 2 3 2 2 2 4 4" xfId="24583"/>
    <cellStyle name="Normal 3 2 3 2 2 2 5" xfId="24584"/>
    <cellStyle name="Normal 3 2 3 2 2 2 5 2" xfId="24585"/>
    <cellStyle name="Normal 3 2 3 2 2 2 5 2 2" xfId="24586"/>
    <cellStyle name="Normal 3 2 3 2 2 2 5 3" xfId="24587"/>
    <cellStyle name="Normal 3 2 3 2 2 2 5 4" xfId="24588"/>
    <cellStyle name="Normal 3 2 3 2 2 2 6" xfId="24589"/>
    <cellStyle name="Normal 3 2 3 2 2 2 6 2" xfId="24590"/>
    <cellStyle name="Normal 3 2 3 2 2 2 6 2 2" xfId="24591"/>
    <cellStyle name="Normal 3 2 3 2 2 2 6 3" xfId="24592"/>
    <cellStyle name="Normal 3 2 3 2 2 2 6 4" xfId="24593"/>
    <cellStyle name="Normal 3 2 3 2 2 2 7" xfId="24594"/>
    <cellStyle name="Normal 3 2 3 2 2 2 7 2" xfId="24595"/>
    <cellStyle name="Normal 3 2 3 2 2 2 8" xfId="24596"/>
    <cellStyle name="Normal 3 2 3 2 2 2 9" xfId="24597"/>
    <cellStyle name="Normal 3 2 3 2 2 3" xfId="24598"/>
    <cellStyle name="Normal 3 2 3 2 2 3 2" xfId="24599"/>
    <cellStyle name="Normal 3 2 3 2 2 3 2 2" xfId="24600"/>
    <cellStyle name="Normal 3 2 3 2 2 3 2 2 2" xfId="24601"/>
    <cellStyle name="Normal 3 2 3 2 2 3 2 3" xfId="24602"/>
    <cellStyle name="Normal 3 2 3 2 2 3 2 4" xfId="24603"/>
    <cellStyle name="Normal 3 2 3 2 2 3 3" xfId="24604"/>
    <cellStyle name="Normal 3 2 3 2 2 3 3 2" xfId="24605"/>
    <cellStyle name="Normal 3 2 3 2 2 3 4" xfId="24606"/>
    <cellStyle name="Normal 3 2 3 2 2 3 5" xfId="24607"/>
    <cellStyle name="Normal 3 2 3 2 2 4" xfId="24608"/>
    <cellStyle name="Normal 3 2 3 2 2 4 2" xfId="24609"/>
    <cellStyle name="Normal 3 2 3 2 2 4 2 2" xfId="24610"/>
    <cellStyle name="Normal 3 2 3 2 2 4 2 2 2" xfId="24611"/>
    <cellStyle name="Normal 3 2 3 2 2 4 2 3" xfId="24612"/>
    <cellStyle name="Normal 3 2 3 2 2 4 2 4" xfId="24613"/>
    <cellStyle name="Normal 3 2 3 2 2 4 3" xfId="24614"/>
    <cellStyle name="Normal 3 2 3 2 2 4 3 2" xfId="24615"/>
    <cellStyle name="Normal 3 2 3 2 2 4 4" xfId="24616"/>
    <cellStyle name="Normal 3 2 3 2 2 4 5" xfId="24617"/>
    <cellStyle name="Normal 3 2 3 2 2 5" xfId="24618"/>
    <cellStyle name="Normal 3 2 3 2 2 5 2" xfId="24619"/>
    <cellStyle name="Normal 3 2 3 2 2 5 2 2" xfId="24620"/>
    <cellStyle name="Normal 3 2 3 2 2 5 3" xfId="24621"/>
    <cellStyle name="Normal 3 2 3 2 2 5 4" xfId="24622"/>
    <cellStyle name="Normal 3 2 3 2 2 6" xfId="24623"/>
    <cellStyle name="Normal 3 2 3 2 2 6 2" xfId="24624"/>
    <cellStyle name="Normal 3 2 3 2 2 6 2 2" xfId="24625"/>
    <cellStyle name="Normal 3 2 3 2 2 6 3" xfId="24626"/>
    <cellStyle name="Normal 3 2 3 2 2 6 4" xfId="24627"/>
    <cellStyle name="Normal 3 2 3 2 2 7" xfId="24628"/>
    <cellStyle name="Normal 3 2 3 2 2 7 2" xfId="24629"/>
    <cellStyle name="Normal 3 2 3 2 2 7 2 2" xfId="24630"/>
    <cellStyle name="Normal 3 2 3 2 2 7 3" xfId="24631"/>
    <cellStyle name="Normal 3 2 3 2 2 7 4" xfId="24632"/>
    <cellStyle name="Normal 3 2 3 2 2 8" xfId="24633"/>
    <cellStyle name="Normal 3 2 3 2 2 8 2" xfId="24634"/>
    <cellStyle name="Normal 3 2 3 2 2 9" xfId="24635"/>
    <cellStyle name="Normal 3 2 3 2 3" xfId="24636"/>
    <cellStyle name="Normal 3 2 3 2 3 2" xfId="24637"/>
    <cellStyle name="Normal 3 2 3 2 3 2 2" xfId="24638"/>
    <cellStyle name="Normal 3 2 3 2 3 2 2 2" xfId="24639"/>
    <cellStyle name="Normal 3 2 3 2 3 2 2 2 2" xfId="24640"/>
    <cellStyle name="Normal 3 2 3 2 3 2 2 3" xfId="24641"/>
    <cellStyle name="Normal 3 2 3 2 3 2 2 4" xfId="24642"/>
    <cellStyle name="Normal 3 2 3 2 3 2 3" xfId="24643"/>
    <cellStyle name="Normal 3 2 3 2 3 2 3 2" xfId="24644"/>
    <cellStyle name="Normal 3 2 3 2 3 2 4" xfId="24645"/>
    <cellStyle name="Normal 3 2 3 2 3 2 5" xfId="24646"/>
    <cellStyle name="Normal 3 2 3 2 3 3" xfId="24647"/>
    <cellStyle name="Normal 3 2 3 2 3 3 2" xfId="24648"/>
    <cellStyle name="Normal 3 2 3 2 3 3 2 2" xfId="24649"/>
    <cellStyle name="Normal 3 2 3 2 3 3 2 2 2" xfId="24650"/>
    <cellStyle name="Normal 3 2 3 2 3 3 2 3" xfId="24651"/>
    <cellStyle name="Normal 3 2 3 2 3 3 2 4" xfId="24652"/>
    <cellStyle name="Normal 3 2 3 2 3 3 3" xfId="24653"/>
    <cellStyle name="Normal 3 2 3 2 3 3 3 2" xfId="24654"/>
    <cellStyle name="Normal 3 2 3 2 3 3 4" xfId="24655"/>
    <cellStyle name="Normal 3 2 3 2 3 3 5" xfId="24656"/>
    <cellStyle name="Normal 3 2 3 2 3 4" xfId="24657"/>
    <cellStyle name="Normal 3 2 3 2 3 4 2" xfId="24658"/>
    <cellStyle name="Normal 3 2 3 2 3 4 2 2" xfId="24659"/>
    <cellStyle name="Normal 3 2 3 2 3 4 3" xfId="24660"/>
    <cellStyle name="Normal 3 2 3 2 3 4 4" xfId="24661"/>
    <cellStyle name="Normal 3 2 3 2 3 5" xfId="24662"/>
    <cellStyle name="Normal 3 2 3 2 3 5 2" xfId="24663"/>
    <cellStyle name="Normal 3 2 3 2 3 5 2 2" xfId="24664"/>
    <cellStyle name="Normal 3 2 3 2 3 5 3" xfId="24665"/>
    <cellStyle name="Normal 3 2 3 2 3 5 4" xfId="24666"/>
    <cellStyle name="Normal 3 2 3 2 3 6" xfId="24667"/>
    <cellStyle name="Normal 3 2 3 2 3 6 2" xfId="24668"/>
    <cellStyle name="Normal 3 2 3 2 3 6 2 2" xfId="24669"/>
    <cellStyle name="Normal 3 2 3 2 3 6 3" xfId="24670"/>
    <cellStyle name="Normal 3 2 3 2 3 6 4" xfId="24671"/>
    <cellStyle name="Normal 3 2 3 2 3 7" xfId="24672"/>
    <cellStyle name="Normal 3 2 3 2 3 7 2" xfId="24673"/>
    <cellStyle name="Normal 3 2 3 2 3 8" xfId="24674"/>
    <cellStyle name="Normal 3 2 3 2 3 9" xfId="24675"/>
    <cellStyle name="Normal 3 2 3 2 4" xfId="24676"/>
    <cellStyle name="Normal 3 2 3 2 4 2" xfId="24677"/>
    <cellStyle name="Normal 3 2 3 2 4 2 2" xfId="24678"/>
    <cellStyle name="Normal 3 2 3 2 4 2 2 2" xfId="24679"/>
    <cellStyle name="Normal 3 2 3 2 4 2 3" xfId="24680"/>
    <cellStyle name="Normal 3 2 3 2 4 2 4" xfId="24681"/>
    <cellStyle name="Normal 3 2 3 2 4 3" xfId="24682"/>
    <cellStyle name="Normal 3 2 3 2 4 3 2" xfId="24683"/>
    <cellStyle name="Normal 3 2 3 2 4 4" xfId="24684"/>
    <cellStyle name="Normal 3 2 3 2 4 5" xfId="24685"/>
    <cellStyle name="Normal 3 2 3 2 5" xfId="24686"/>
    <cellStyle name="Normal 3 2 3 2 5 2" xfId="24687"/>
    <cellStyle name="Normal 3 2 3 2 5 2 2" xfId="24688"/>
    <cellStyle name="Normal 3 2 3 2 5 2 2 2" xfId="24689"/>
    <cellStyle name="Normal 3 2 3 2 5 2 3" xfId="24690"/>
    <cellStyle name="Normal 3 2 3 2 5 2 4" xfId="24691"/>
    <cellStyle name="Normal 3 2 3 2 5 3" xfId="24692"/>
    <cellStyle name="Normal 3 2 3 2 5 3 2" xfId="24693"/>
    <cellStyle name="Normal 3 2 3 2 5 4" xfId="24694"/>
    <cellStyle name="Normal 3 2 3 2 5 5" xfId="24695"/>
    <cellStyle name="Normal 3 2 3 2 6" xfId="24696"/>
    <cellStyle name="Normal 3 2 3 2 6 2" xfId="24697"/>
    <cellStyle name="Normal 3 2 3 2 6 2 2" xfId="24698"/>
    <cellStyle name="Normal 3 2 3 2 6 3" xfId="24699"/>
    <cellStyle name="Normal 3 2 3 2 6 4" xfId="24700"/>
    <cellStyle name="Normal 3 2 3 2 7" xfId="24701"/>
    <cellStyle name="Normal 3 2 3 2 7 2" xfId="24702"/>
    <cellStyle name="Normal 3 2 3 2 7 2 2" xfId="24703"/>
    <cellStyle name="Normal 3 2 3 2 7 3" xfId="24704"/>
    <cellStyle name="Normal 3 2 3 2 7 4" xfId="24705"/>
    <cellStyle name="Normal 3 2 3 2 8" xfId="24706"/>
    <cellStyle name="Normal 3 2 3 2 8 2" xfId="24707"/>
    <cellStyle name="Normal 3 2 3 2 8 2 2" xfId="24708"/>
    <cellStyle name="Normal 3 2 3 2 8 3" xfId="24709"/>
    <cellStyle name="Normal 3 2 3 2 8 4" xfId="24710"/>
    <cellStyle name="Normal 3 2 3 2 9" xfId="24711"/>
    <cellStyle name="Normal 3 2 3 2 9 2" xfId="24712"/>
    <cellStyle name="Normal 3 2 3 3" xfId="24713"/>
    <cellStyle name="Normal 3 2 3 3 10" xfId="24714"/>
    <cellStyle name="Normal 3 2 3 3 2" xfId="24715"/>
    <cellStyle name="Normal 3 2 3 3 2 2" xfId="24716"/>
    <cellStyle name="Normal 3 2 3 3 2 2 2" xfId="24717"/>
    <cellStyle name="Normal 3 2 3 3 2 2 2 2" xfId="24718"/>
    <cellStyle name="Normal 3 2 3 3 2 2 2 2 2" xfId="24719"/>
    <cellStyle name="Normal 3 2 3 3 2 2 2 3" xfId="24720"/>
    <cellStyle name="Normal 3 2 3 3 2 2 2 4" xfId="24721"/>
    <cellStyle name="Normal 3 2 3 3 2 2 3" xfId="24722"/>
    <cellStyle name="Normal 3 2 3 3 2 2 3 2" xfId="24723"/>
    <cellStyle name="Normal 3 2 3 3 2 2 4" xfId="24724"/>
    <cellStyle name="Normal 3 2 3 3 2 2 5" xfId="24725"/>
    <cellStyle name="Normal 3 2 3 3 2 3" xfId="24726"/>
    <cellStyle name="Normal 3 2 3 3 2 3 2" xfId="24727"/>
    <cellStyle name="Normal 3 2 3 3 2 3 2 2" xfId="24728"/>
    <cellStyle name="Normal 3 2 3 3 2 3 2 2 2" xfId="24729"/>
    <cellStyle name="Normal 3 2 3 3 2 3 2 3" xfId="24730"/>
    <cellStyle name="Normal 3 2 3 3 2 3 2 4" xfId="24731"/>
    <cellStyle name="Normal 3 2 3 3 2 3 3" xfId="24732"/>
    <cellStyle name="Normal 3 2 3 3 2 3 3 2" xfId="24733"/>
    <cellStyle name="Normal 3 2 3 3 2 3 4" xfId="24734"/>
    <cellStyle name="Normal 3 2 3 3 2 3 5" xfId="24735"/>
    <cellStyle name="Normal 3 2 3 3 2 4" xfId="24736"/>
    <cellStyle name="Normal 3 2 3 3 2 4 2" xfId="24737"/>
    <cellStyle name="Normal 3 2 3 3 2 4 2 2" xfId="24738"/>
    <cellStyle name="Normal 3 2 3 3 2 4 3" xfId="24739"/>
    <cellStyle name="Normal 3 2 3 3 2 4 4" xfId="24740"/>
    <cellStyle name="Normal 3 2 3 3 2 5" xfId="24741"/>
    <cellStyle name="Normal 3 2 3 3 2 5 2" xfId="24742"/>
    <cellStyle name="Normal 3 2 3 3 2 5 2 2" xfId="24743"/>
    <cellStyle name="Normal 3 2 3 3 2 5 3" xfId="24744"/>
    <cellStyle name="Normal 3 2 3 3 2 5 4" xfId="24745"/>
    <cellStyle name="Normal 3 2 3 3 2 6" xfId="24746"/>
    <cellStyle name="Normal 3 2 3 3 2 6 2" xfId="24747"/>
    <cellStyle name="Normal 3 2 3 3 2 6 2 2" xfId="24748"/>
    <cellStyle name="Normal 3 2 3 3 2 6 3" xfId="24749"/>
    <cellStyle name="Normal 3 2 3 3 2 6 4" xfId="24750"/>
    <cellStyle name="Normal 3 2 3 3 2 7" xfId="24751"/>
    <cellStyle name="Normal 3 2 3 3 2 7 2" xfId="24752"/>
    <cellStyle name="Normal 3 2 3 3 2 8" xfId="24753"/>
    <cellStyle name="Normal 3 2 3 3 2 9" xfId="24754"/>
    <cellStyle name="Normal 3 2 3 3 3" xfId="24755"/>
    <cellStyle name="Normal 3 2 3 3 3 2" xfId="24756"/>
    <cellStyle name="Normal 3 2 3 3 3 2 2" xfId="24757"/>
    <cellStyle name="Normal 3 2 3 3 3 2 2 2" xfId="24758"/>
    <cellStyle name="Normal 3 2 3 3 3 2 3" xfId="24759"/>
    <cellStyle name="Normal 3 2 3 3 3 2 4" xfId="24760"/>
    <cellStyle name="Normal 3 2 3 3 3 3" xfId="24761"/>
    <cellStyle name="Normal 3 2 3 3 3 3 2" xfId="24762"/>
    <cellStyle name="Normal 3 2 3 3 3 4" xfId="24763"/>
    <cellStyle name="Normal 3 2 3 3 3 5" xfId="24764"/>
    <cellStyle name="Normal 3 2 3 3 4" xfId="24765"/>
    <cellStyle name="Normal 3 2 3 3 4 2" xfId="24766"/>
    <cellStyle name="Normal 3 2 3 3 4 2 2" xfId="24767"/>
    <cellStyle name="Normal 3 2 3 3 4 2 2 2" xfId="24768"/>
    <cellStyle name="Normal 3 2 3 3 4 2 3" xfId="24769"/>
    <cellStyle name="Normal 3 2 3 3 4 2 4" xfId="24770"/>
    <cellStyle name="Normal 3 2 3 3 4 3" xfId="24771"/>
    <cellStyle name="Normal 3 2 3 3 4 3 2" xfId="24772"/>
    <cellStyle name="Normal 3 2 3 3 4 4" xfId="24773"/>
    <cellStyle name="Normal 3 2 3 3 4 5" xfId="24774"/>
    <cellStyle name="Normal 3 2 3 3 5" xfId="24775"/>
    <cellStyle name="Normal 3 2 3 3 5 2" xfId="24776"/>
    <cellStyle name="Normal 3 2 3 3 5 2 2" xfId="24777"/>
    <cellStyle name="Normal 3 2 3 3 5 3" xfId="24778"/>
    <cellStyle name="Normal 3 2 3 3 5 4" xfId="24779"/>
    <cellStyle name="Normal 3 2 3 3 6" xfId="24780"/>
    <cellStyle name="Normal 3 2 3 3 6 2" xfId="24781"/>
    <cellStyle name="Normal 3 2 3 3 6 2 2" xfId="24782"/>
    <cellStyle name="Normal 3 2 3 3 6 3" xfId="24783"/>
    <cellStyle name="Normal 3 2 3 3 6 4" xfId="24784"/>
    <cellStyle name="Normal 3 2 3 3 7" xfId="24785"/>
    <cellStyle name="Normal 3 2 3 3 7 2" xfId="24786"/>
    <cellStyle name="Normal 3 2 3 3 7 2 2" xfId="24787"/>
    <cellStyle name="Normal 3 2 3 3 7 3" xfId="24788"/>
    <cellStyle name="Normal 3 2 3 3 7 4" xfId="24789"/>
    <cellStyle name="Normal 3 2 3 3 8" xfId="24790"/>
    <cellStyle name="Normal 3 2 3 3 8 2" xfId="24791"/>
    <cellStyle name="Normal 3 2 3 3 9" xfId="24792"/>
    <cellStyle name="Normal 3 2 3 4" xfId="24793"/>
    <cellStyle name="Normal 3 2 3 4 2" xfId="24794"/>
    <cellStyle name="Normal 3 2 3 4 2 2" xfId="24795"/>
    <cellStyle name="Normal 3 2 3 4 2 2 2" xfId="24796"/>
    <cellStyle name="Normal 3 2 3 4 2 2 2 2" xfId="24797"/>
    <cellStyle name="Normal 3 2 3 4 2 2 3" xfId="24798"/>
    <cellStyle name="Normal 3 2 3 4 2 2 4" xfId="24799"/>
    <cellStyle name="Normal 3 2 3 4 2 3" xfId="24800"/>
    <cellStyle name="Normal 3 2 3 4 2 3 2" xfId="24801"/>
    <cellStyle name="Normal 3 2 3 4 2 4" xfId="24802"/>
    <cellStyle name="Normal 3 2 3 4 2 5" xfId="24803"/>
    <cellStyle name="Normal 3 2 3 4 3" xfId="24804"/>
    <cellStyle name="Normal 3 2 3 4 3 2" xfId="24805"/>
    <cellStyle name="Normal 3 2 3 4 3 2 2" xfId="24806"/>
    <cellStyle name="Normal 3 2 3 4 3 2 2 2" xfId="24807"/>
    <cellStyle name="Normal 3 2 3 4 3 2 3" xfId="24808"/>
    <cellStyle name="Normal 3 2 3 4 3 2 4" xfId="24809"/>
    <cellStyle name="Normal 3 2 3 4 3 3" xfId="24810"/>
    <cellStyle name="Normal 3 2 3 4 3 3 2" xfId="24811"/>
    <cellStyle name="Normal 3 2 3 4 3 4" xfId="24812"/>
    <cellStyle name="Normal 3 2 3 4 3 5" xfId="24813"/>
    <cellStyle name="Normal 3 2 3 4 4" xfId="24814"/>
    <cellStyle name="Normal 3 2 3 4 4 2" xfId="24815"/>
    <cellStyle name="Normal 3 2 3 4 4 2 2" xfId="24816"/>
    <cellStyle name="Normal 3 2 3 4 4 3" xfId="24817"/>
    <cellStyle name="Normal 3 2 3 4 4 4" xfId="24818"/>
    <cellStyle name="Normal 3 2 3 4 5" xfId="24819"/>
    <cellStyle name="Normal 3 2 3 4 5 2" xfId="24820"/>
    <cellStyle name="Normal 3 2 3 4 5 2 2" xfId="24821"/>
    <cellStyle name="Normal 3 2 3 4 5 3" xfId="24822"/>
    <cellStyle name="Normal 3 2 3 4 5 4" xfId="24823"/>
    <cellStyle name="Normal 3 2 3 4 6" xfId="24824"/>
    <cellStyle name="Normal 3 2 3 4 6 2" xfId="24825"/>
    <cellStyle name="Normal 3 2 3 4 6 2 2" xfId="24826"/>
    <cellStyle name="Normal 3 2 3 4 6 3" xfId="24827"/>
    <cellStyle name="Normal 3 2 3 4 6 4" xfId="24828"/>
    <cellStyle name="Normal 3 2 3 4 7" xfId="24829"/>
    <cellStyle name="Normal 3 2 3 4 7 2" xfId="24830"/>
    <cellStyle name="Normal 3 2 3 4 8" xfId="24831"/>
    <cellStyle name="Normal 3 2 3 4 9" xfId="24832"/>
    <cellStyle name="Normal 3 2 3 5" xfId="24833"/>
    <cellStyle name="Normal 3 2 3 5 2" xfId="24834"/>
    <cellStyle name="Normal 3 2 3 5 2 2" xfId="24835"/>
    <cellStyle name="Normal 3 2 3 5 2 2 2" xfId="24836"/>
    <cellStyle name="Normal 3 2 3 5 2 3" xfId="24837"/>
    <cellStyle name="Normal 3 2 3 5 2 4" xfId="24838"/>
    <cellStyle name="Normal 3 2 3 5 3" xfId="24839"/>
    <cellStyle name="Normal 3 2 3 5 4" xfId="24840"/>
    <cellStyle name="Normal 3 2 3 5 4 2" xfId="24841"/>
    <cellStyle name="Normal 3 2 3 5 5" xfId="24842"/>
    <cellStyle name="Normal 3 2 3 5 6" xfId="24843"/>
    <cellStyle name="Normal 3 2 3 6" xfId="24844"/>
    <cellStyle name="Normal 3 2 3 6 2" xfId="24845"/>
    <cellStyle name="Normal 3 2 3 6 2 2" xfId="24846"/>
    <cellStyle name="Normal 3 2 3 6 2 2 2" xfId="24847"/>
    <cellStyle name="Normal 3 2 3 6 2 3" xfId="24848"/>
    <cellStyle name="Normal 3 2 3 6 2 4" xfId="24849"/>
    <cellStyle name="Normal 3 2 3 6 3" xfId="24850"/>
    <cellStyle name="Normal 3 2 3 6 3 2" xfId="24851"/>
    <cellStyle name="Normal 3 2 3 6 4" xfId="24852"/>
    <cellStyle name="Normal 3 2 3 6 5" xfId="24853"/>
    <cellStyle name="Normal 3 2 3 7" xfId="24854"/>
    <cellStyle name="Normal 3 2 3 7 2" xfId="24855"/>
    <cellStyle name="Normal 3 2 3 7 2 2" xfId="24856"/>
    <cellStyle name="Normal 3 2 3 7 3" xfId="24857"/>
    <cellStyle name="Normal 3 2 3 7 4" xfId="24858"/>
    <cellStyle name="Normal 3 2 3 8" xfId="24859"/>
    <cellStyle name="Normal 3 2 3 8 2" xfId="24860"/>
    <cellStyle name="Normal 3 2 3 8 2 2" xfId="24861"/>
    <cellStyle name="Normal 3 2 3 8 3" xfId="24862"/>
    <cellStyle name="Normal 3 2 3 8 4" xfId="24863"/>
    <cellStyle name="Normal 3 2 3 9" xfId="24864"/>
    <cellStyle name="Normal 3 2 3 9 2" xfId="24865"/>
    <cellStyle name="Normal 3 2 3 9 2 2" xfId="24866"/>
    <cellStyle name="Normal 3 2 3 9 3" xfId="24867"/>
    <cellStyle name="Normal 3 2 3 9 4" xfId="24868"/>
    <cellStyle name="Normal 3 2 4" xfId="24869"/>
    <cellStyle name="Normal 3 2 4 10" xfId="24870"/>
    <cellStyle name="Normal 3 2 4 11" xfId="24871"/>
    <cellStyle name="Normal 3 2 4 2" xfId="24872"/>
    <cellStyle name="Normal 3 2 4 2 10" xfId="24873"/>
    <cellStyle name="Normal 3 2 4 2 2" xfId="24874"/>
    <cellStyle name="Normal 3 2 4 2 2 2" xfId="24875"/>
    <cellStyle name="Normal 3 2 4 2 2 2 2" xfId="24876"/>
    <cellStyle name="Normal 3 2 4 2 2 2 2 2" xfId="24877"/>
    <cellStyle name="Normal 3 2 4 2 2 2 2 2 2" xfId="24878"/>
    <cellStyle name="Normal 3 2 4 2 2 2 2 3" xfId="24879"/>
    <cellStyle name="Normal 3 2 4 2 2 2 2 4" xfId="24880"/>
    <cellStyle name="Normal 3 2 4 2 2 2 3" xfId="24881"/>
    <cellStyle name="Normal 3 2 4 2 2 2 3 2" xfId="24882"/>
    <cellStyle name="Normal 3 2 4 2 2 2 4" xfId="24883"/>
    <cellStyle name="Normal 3 2 4 2 2 2 5" xfId="24884"/>
    <cellStyle name="Normal 3 2 4 2 2 3" xfId="24885"/>
    <cellStyle name="Normal 3 2 4 2 2 3 2" xfId="24886"/>
    <cellStyle name="Normal 3 2 4 2 2 3 2 2" xfId="24887"/>
    <cellStyle name="Normal 3 2 4 2 2 3 2 2 2" xfId="24888"/>
    <cellStyle name="Normal 3 2 4 2 2 3 2 3" xfId="24889"/>
    <cellStyle name="Normal 3 2 4 2 2 3 2 4" xfId="24890"/>
    <cellStyle name="Normal 3 2 4 2 2 3 3" xfId="24891"/>
    <cellStyle name="Normal 3 2 4 2 2 3 3 2" xfId="24892"/>
    <cellStyle name="Normal 3 2 4 2 2 3 4" xfId="24893"/>
    <cellStyle name="Normal 3 2 4 2 2 3 5" xfId="24894"/>
    <cellStyle name="Normal 3 2 4 2 2 4" xfId="24895"/>
    <cellStyle name="Normal 3 2 4 2 2 4 2" xfId="24896"/>
    <cellStyle name="Normal 3 2 4 2 2 4 2 2" xfId="24897"/>
    <cellStyle name="Normal 3 2 4 2 2 4 3" xfId="24898"/>
    <cellStyle name="Normal 3 2 4 2 2 4 4" xfId="24899"/>
    <cellStyle name="Normal 3 2 4 2 2 5" xfId="24900"/>
    <cellStyle name="Normal 3 2 4 2 2 5 2" xfId="24901"/>
    <cellStyle name="Normal 3 2 4 2 2 5 2 2" xfId="24902"/>
    <cellStyle name="Normal 3 2 4 2 2 5 3" xfId="24903"/>
    <cellStyle name="Normal 3 2 4 2 2 5 4" xfId="24904"/>
    <cellStyle name="Normal 3 2 4 2 2 6" xfId="24905"/>
    <cellStyle name="Normal 3 2 4 2 2 6 2" xfId="24906"/>
    <cellStyle name="Normal 3 2 4 2 2 6 2 2" xfId="24907"/>
    <cellStyle name="Normal 3 2 4 2 2 6 3" xfId="24908"/>
    <cellStyle name="Normal 3 2 4 2 2 6 4" xfId="24909"/>
    <cellStyle name="Normal 3 2 4 2 2 7" xfId="24910"/>
    <cellStyle name="Normal 3 2 4 2 2 7 2" xfId="24911"/>
    <cellStyle name="Normal 3 2 4 2 2 8" xfId="24912"/>
    <cellStyle name="Normal 3 2 4 2 2 9" xfId="24913"/>
    <cellStyle name="Normal 3 2 4 2 3" xfId="24914"/>
    <cellStyle name="Normal 3 2 4 2 3 2" xfId="24915"/>
    <cellStyle name="Normal 3 2 4 2 3 2 2" xfId="24916"/>
    <cellStyle name="Normal 3 2 4 2 3 2 2 2" xfId="24917"/>
    <cellStyle name="Normal 3 2 4 2 3 2 3" xfId="24918"/>
    <cellStyle name="Normal 3 2 4 2 3 2 4" xfId="24919"/>
    <cellStyle name="Normal 3 2 4 2 3 3" xfId="24920"/>
    <cellStyle name="Normal 3 2 4 2 3 3 2" xfId="24921"/>
    <cellStyle name="Normal 3 2 4 2 3 4" xfId="24922"/>
    <cellStyle name="Normal 3 2 4 2 3 5" xfId="24923"/>
    <cellStyle name="Normal 3 2 4 2 4" xfId="24924"/>
    <cellStyle name="Normal 3 2 4 2 4 2" xfId="24925"/>
    <cellStyle name="Normal 3 2 4 2 4 2 2" xfId="24926"/>
    <cellStyle name="Normal 3 2 4 2 4 2 2 2" xfId="24927"/>
    <cellStyle name="Normal 3 2 4 2 4 2 3" xfId="24928"/>
    <cellStyle name="Normal 3 2 4 2 4 2 4" xfId="24929"/>
    <cellStyle name="Normal 3 2 4 2 4 3" xfId="24930"/>
    <cellStyle name="Normal 3 2 4 2 4 3 2" xfId="24931"/>
    <cellStyle name="Normal 3 2 4 2 4 4" xfId="24932"/>
    <cellStyle name="Normal 3 2 4 2 4 5" xfId="24933"/>
    <cellStyle name="Normal 3 2 4 2 5" xfId="24934"/>
    <cellStyle name="Normal 3 2 4 2 5 2" xfId="24935"/>
    <cellStyle name="Normal 3 2 4 2 5 2 2" xfId="24936"/>
    <cellStyle name="Normal 3 2 4 2 5 3" xfId="24937"/>
    <cellStyle name="Normal 3 2 4 2 5 4" xfId="24938"/>
    <cellStyle name="Normal 3 2 4 2 6" xfId="24939"/>
    <cellStyle name="Normal 3 2 4 2 6 2" xfId="24940"/>
    <cellStyle name="Normal 3 2 4 2 6 2 2" xfId="24941"/>
    <cellStyle name="Normal 3 2 4 2 6 3" xfId="24942"/>
    <cellStyle name="Normal 3 2 4 2 6 4" xfId="24943"/>
    <cellStyle name="Normal 3 2 4 2 7" xfId="24944"/>
    <cellStyle name="Normal 3 2 4 2 7 2" xfId="24945"/>
    <cellStyle name="Normal 3 2 4 2 7 2 2" xfId="24946"/>
    <cellStyle name="Normal 3 2 4 2 7 3" xfId="24947"/>
    <cellStyle name="Normal 3 2 4 2 7 4" xfId="24948"/>
    <cellStyle name="Normal 3 2 4 2 8" xfId="24949"/>
    <cellStyle name="Normal 3 2 4 2 8 2" xfId="24950"/>
    <cellStyle name="Normal 3 2 4 2 9" xfId="24951"/>
    <cellStyle name="Normal 3 2 4 3" xfId="24952"/>
    <cellStyle name="Normal 3 2 4 3 2" xfId="24953"/>
    <cellStyle name="Normal 3 2 4 3 2 2" xfId="24954"/>
    <cellStyle name="Normal 3 2 4 3 2 2 2" xfId="24955"/>
    <cellStyle name="Normal 3 2 4 3 2 2 2 2" xfId="24956"/>
    <cellStyle name="Normal 3 2 4 3 2 2 3" xfId="24957"/>
    <cellStyle name="Normal 3 2 4 3 2 2 4" xfId="24958"/>
    <cellStyle name="Normal 3 2 4 3 2 3" xfId="24959"/>
    <cellStyle name="Normal 3 2 4 3 2 3 2" xfId="24960"/>
    <cellStyle name="Normal 3 2 4 3 2 4" xfId="24961"/>
    <cellStyle name="Normal 3 2 4 3 2 5" xfId="24962"/>
    <cellStyle name="Normal 3 2 4 3 3" xfId="24963"/>
    <cellStyle name="Normal 3 2 4 3 3 2" xfId="24964"/>
    <cellStyle name="Normal 3 2 4 3 3 2 2" xfId="24965"/>
    <cellStyle name="Normal 3 2 4 3 3 2 2 2" xfId="24966"/>
    <cellStyle name="Normal 3 2 4 3 3 2 3" xfId="24967"/>
    <cellStyle name="Normal 3 2 4 3 3 2 4" xfId="24968"/>
    <cellStyle name="Normal 3 2 4 3 3 3" xfId="24969"/>
    <cellStyle name="Normal 3 2 4 3 3 3 2" xfId="24970"/>
    <cellStyle name="Normal 3 2 4 3 3 4" xfId="24971"/>
    <cellStyle name="Normal 3 2 4 3 3 5" xfId="24972"/>
    <cellStyle name="Normal 3 2 4 3 4" xfId="24973"/>
    <cellStyle name="Normal 3 2 4 3 4 2" xfId="24974"/>
    <cellStyle name="Normal 3 2 4 3 4 2 2" xfId="24975"/>
    <cellStyle name="Normal 3 2 4 3 4 3" xfId="24976"/>
    <cellStyle name="Normal 3 2 4 3 4 4" xfId="24977"/>
    <cellStyle name="Normal 3 2 4 3 5" xfId="24978"/>
    <cellStyle name="Normal 3 2 4 3 5 2" xfId="24979"/>
    <cellStyle name="Normal 3 2 4 3 5 2 2" xfId="24980"/>
    <cellStyle name="Normal 3 2 4 3 5 3" xfId="24981"/>
    <cellStyle name="Normal 3 2 4 3 5 4" xfId="24982"/>
    <cellStyle name="Normal 3 2 4 3 6" xfId="24983"/>
    <cellStyle name="Normal 3 2 4 3 6 2" xfId="24984"/>
    <cellStyle name="Normal 3 2 4 3 6 2 2" xfId="24985"/>
    <cellStyle name="Normal 3 2 4 3 6 3" xfId="24986"/>
    <cellStyle name="Normal 3 2 4 3 6 4" xfId="24987"/>
    <cellStyle name="Normal 3 2 4 3 7" xfId="24988"/>
    <cellStyle name="Normal 3 2 4 3 7 2" xfId="24989"/>
    <cellStyle name="Normal 3 2 4 3 8" xfId="24990"/>
    <cellStyle name="Normal 3 2 4 3 9" xfId="24991"/>
    <cellStyle name="Normal 3 2 4 4" xfId="24992"/>
    <cellStyle name="Normal 3 2 4 4 2" xfId="24993"/>
    <cellStyle name="Normal 3 2 4 4 2 2" xfId="24994"/>
    <cellStyle name="Normal 3 2 4 4 2 2 2" xfId="24995"/>
    <cellStyle name="Normal 3 2 4 4 2 3" xfId="24996"/>
    <cellStyle name="Normal 3 2 4 4 2 4" xfId="24997"/>
    <cellStyle name="Normal 3 2 4 4 3" xfId="24998"/>
    <cellStyle name="Normal 3 2 4 4 3 2" xfId="24999"/>
    <cellStyle name="Normal 3 2 4 4 4" xfId="25000"/>
    <cellStyle name="Normal 3 2 4 4 5" xfId="25001"/>
    <cellStyle name="Normal 3 2 4 5" xfId="25002"/>
    <cellStyle name="Normal 3 2 4 5 2" xfId="25003"/>
    <cellStyle name="Normal 3 2 4 5 2 2" xfId="25004"/>
    <cellStyle name="Normal 3 2 4 5 2 2 2" xfId="25005"/>
    <cellStyle name="Normal 3 2 4 5 2 3" xfId="25006"/>
    <cellStyle name="Normal 3 2 4 5 2 4" xfId="25007"/>
    <cellStyle name="Normal 3 2 4 5 3" xfId="25008"/>
    <cellStyle name="Normal 3 2 4 5 3 2" xfId="25009"/>
    <cellStyle name="Normal 3 2 4 5 4" xfId="25010"/>
    <cellStyle name="Normal 3 2 4 5 5" xfId="25011"/>
    <cellStyle name="Normal 3 2 4 6" xfId="25012"/>
    <cellStyle name="Normal 3 2 4 6 2" xfId="25013"/>
    <cellStyle name="Normal 3 2 4 6 2 2" xfId="25014"/>
    <cellStyle name="Normal 3 2 4 6 3" xfId="25015"/>
    <cellStyle name="Normal 3 2 4 6 4" xfId="25016"/>
    <cellStyle name="Normal 3 2 4 7" xfId="25017"/>
    <cellStyle name="Normal 3 2 4 7 2" xfId="25018"/>
    <cellStyle name="Normal 3 2 4 7 2 2" xfId="25019"/>
    <cellStyle name="Normal 3 2 4 7 3" xfId="25020"/>
    <cellStyle name="Normal 3 2 4 7 4" xfId="25021"/>
    <cellStyle name="Normal 3 2 4 8" xfId="25022"/>
    <cellStyle name="Normal 3 2 4 8 2" xfId="25023"/>
    <cellStyle name="Normal 3 2 4 8 2 2" xfId="25024"/>
    <cellStyle name="Normal 3 2 4 8 3" xfId="25025"/>
    <cellStyle name="Normal 3 2 4 8 4" xfId="25026"/>
    <cellStyle name="Normal 3 2 4 9" xfId="25027"/>
    <cellStyle name="Normal 3 2 4 9 2" xfId="25028"/>
    <cellStyle name="Normal 3 2 5" xfId="25029"/>
    <cellStyle name="Normal 3 2 5 10" xfId="25030"/>
    <cellStyle name="Normal 3 2 5 2" xfId="25031"/>
    <cellStyle name="Normal 3 2 5 2 2" xfId="25032"/>
    <cellStyle name="Normal 3 2 5 2 2 2" xfId="25033"/>
    <cellStyle name="Normal 3 2 5 2 2 2 2" xfId="25034"/>
    <cellStyle name="Normal 3 2 5 2 2 2 2 2" xfId="25035"/>
    <cellStyle name="Normal 3 2 5 2 2 2 3" xfId="25036"/>
    <cellStyle name="Normal 3 2 5 2 2 2 4" xfId="25037"/>
    <cellStyle name="Normal 3 2 5 2 2 3" xfId="25038"/>
    <cellStyle name="Normal 3 2 5 2 2 3 2" xfId="25039"/>
    <cellStyle name="Normal 3 2 5 2 2 4" xfId="25040"/>
    <cellStyle name="Normal 3 2 5 2 2 5" xfId="25041"/>
    <cellStyle name="Normal 3 2 5 2 3" xfId="25042"/>
    <cellStyle name="Normal 3 2 5 2 3 2" xfId="25043"/>
    <cellStyle name="Normal 3 2 5 2 3 2 2" xfId="25044"/>
    <cellStyle name="Normal 3 2 5 2 3 2 2 2" xfId="25045"/>
    <cellStyle name="Normal 3 2 5 2 3 2 3" xfId="25046"/>
    <cellStyle name="Normal 3 2 5 2 3 2 4" xfId="25047"/>
    <cellStyle name="Normal 3 2 5 2 3 3" xfId="25048"/>
    <cellStyle name="Normal 3 2 5 2 3 3 2" xfId="25049"/>
    <cellStyle name="Normal 3 2 5 2 3 4" xfId="25050"/>
    <cellStyle name="Normal 3 2 5 2 3 5" xfId="25051"/>
    <cellStyle name="Normal 3 2 5 2 4" xfId="25052"/>
    <cellStyle name="Normal 3 2 5 2 4 2" xfId="25053"/>
    <cellStyle name="Normal 3 2 5 2 4 2 2" xfId="25054"/>
    <cellStyle name="Normal 3 2 5 2 4 3" xfId="25055"/>
    <cellStyle name="Normal 3 2 5 2 4 4" xfId="25056"/>
    <cellStyle name="Normal 3 2 5 2 5" xfId="25057"/>
    <cellStyle name="Normal 3 2 5 2 5 2" xfId="25058"/>
    <cellStyle name="Normal 3 2 5 2 5 2 2" xfId="25059"/>
    <cellStyle name="Normal 3 2 5 2 5 3" xfId="25060"/>
    <cellStyle name="Normal 3 2 5 2 5 4" xfId="25061"/>
    <cellStyle name="Normal 3 2 5 2 6" xfId="25062"/>
    <cellStyle name="Normal 3 2 5 2 6 2" xfId="25063"/>
    <cellStyle name="Normal 3 2 5 2 6 2 2" xfId="25064"/>
    <cellStyle name="Normal 3 2 5 2 6 3" xfId="25065"/>
    <cellStyle name="Normal 3 2 5 2 6 4" xfId="25066"/>
    <cellStyle name="Normal 3 2 5 2 7" xfId="25067"/>
    <cellStyle name="Normal 3 2 5 2 7 2" xfId="25068"/>
    <cellStyle name="Normal 3 2 5 2 8" xfId="25069"/>
    <cellStyle name="Normal 3 2 5 2 9" xfId="25070"/>
    <cellStyle name="Normal 3 2 5 3" xfId="25071"/>
    <cellStyle name="Normal 3 2 5 3 2" xfId="25072"/>
    <cellStyle name="Normal 3 2 5 3 2 2" xfId="25073"/>
    <cellStyle name="Normal 3 2 5 3 2 2 2" xfId="25074"/>
    <cellStyle name="Normal 3 2 5 3 2 3" xfId="25075"/>
    <cellStyle name="Normal 3 2 5 3 2 4" xfId="25076"/>
    <cellStyle name="Normal 3 2 5 3 3" xfId="25077"/>
    <cellStyle name="Normal 3 2 5 3 3 2" xfId="25078"/>
    <cellStyle name="Normal 3 2 5 3 4" xfId="25079"/>
    <cellStyle name="Normal 3 2 5 3 5" xfId="25080"/>
    <cellStyle name="Normal 3 2 5 4" xfId="25081"/>
    <cellStyle name="Normal 3 2 5 4 2" xfId="25082"/>
    <cellStyle name="Normal 3 2 5 4 2 2" xfId="25083"/>
    <cellStyle name="Normal 3 2 5 4 2 2 2" xfId="25084"/>
    <cellStyle name="Normal 3 2 5 4 2 3" xfId="25085"/>
    <cellStyle name="Normal 3 2 5 4 2 4" xfId="25086"/>
    <cellStyle name="Normal 3 2 5 4 3" xfId="25087"/>
    <cellStyle name="Normal 3 2 5 4 3 2" xfId="25088"/>
    <cellStyle name="Normal 3 2 5 4 4" xfId="25089"/>
    <cellStyle name="Normal 3 2 5 4 5" xfId="25090"/>
    <cellStyle name="Normal 3 2 5 5" xfId="25091"/>
    <cellStyle name="Normal 3 2 5 5 2" xfId="25092"/>
    <cellStyle name="Normal 3 2 5 5 2 2" xfId="25093"/>
    <cellStyle name="Normal 3 2 5 5 3" xfId="25094"/>
    <cellStyle name="Normal 3 2 5 5 4" xfId="25095"/>
    <cellStyle name="Normal 3 2 5 6" xfId="25096"/>
    <cellStyle name="Normal 3 2 5 6 2" xfId="25097"/>
    <cellStyle name="Normal 3 2 5 6 2 2" xfId="25098"/>
    <cellStyle name="Normal 3 2 5 6 3" xfId="25099"/>
    <cellStyle name="Normal 3 2 5 6 4" xfId="25100"/>
    <cellStyle name="Normal 3 2 5 7" xfId="25101"/>
    <cellStyle name="Normal 3 2 5 7 2" xfId="25102"/>
    <cellStyle name="Normal 3 2 5 7 2 2" xfId="25103"/>
    <cellStyle name="Normal 3 2 5 7 3" xfId="25104"/>
    <cellStyle name="Normal 3 2 5 7 4" xfId="25105"/>
    <cellStyle name="Normal 3 2 5 8" xfId="25106"/>
    <cellStyle name="Normal 3 2 5 8 2" xfId="25107"/>
    <cellStyle name="Normal 3 2 5 9" xfId="25108"/>
    <cellStyle name="Normal 3 2 6" xfId="25109"/>
    <cellStyle name="Normal 3 2 6 2" xfId="25110"/>
    <cellStyle name="Normal 3 2 6 2 2" xfId="25111"/>
    <cellStyle name="Normal 3 2 6 2 2 2" xfId="25112"/>
    <cellStyle name="Normal 3 2 6 2 2 2 2" xfId="25113"/>
    <cellStyle name="Normal 3 2 6 2 2 3" xfId="25114"/>
    <cellStyle name="Normal 3 2 6 2 2 4" xfId="25115"/>
    <cellStyle name="Normal 3 2 6 2 3" xfId="25116"/>
    <cellStyle name="Normal 3 2 6 2 3 2" xfId="25117"/>
    <cellStyle name="Normal 3 2 6 2 4" xfId="25118"/>
    <cellStyle name="Normal 3 2 6 2 5" xfId="25119"/>
    <cellStyle name="Normal 3 2 6 3" xfId="25120"/>
    <cellStyle name="Normal 3 2 6 3 2" xfId="25121"/>
    <cellStyle name="Normal 3 2 6 3 2 2" xfId="25122"/>
    <cellStyle name="Normal 3 2 6 3 2 2 2" xfId="25123"/>
    <cellStyle name="Normal 3 2 6 3 2 3" xfId="25124"/>
    <cellStyle name="Normal 3 2 6 3 2 4" xfId="25125"/>
    <cellStyle name="Normal 3 2 6 3 3" xfId="25126"/>
    <cellStyle name="Normal 3 2 6 3 3 2" xfId="25127"/>
    <cellStyle name="Normal 3 2 6 3 4" xfId="25128"/>
    <cellStyle name="Normal 3 2 6 3 5" xfId="25129"/>
    <cellStyle name="Normal 3 2 6 4" xfId="25130"/>
    <cellStyle name="Normal 3 2 6 4 2" xfId="25131"/>
    <cellStyle name="Normal 3 2 6 4 2 2" xfId="25132"/>
    <cellStyle name="Normal 3 2 6 4 3" xfId="25133"/>
    <cellStyle name="Normal 3 2 6 4 4" xfId="25134"/>
    <cellStyle name="Normal 3 2 6 5" xfId="25135"/>
    <cellStyle name="Normal 3 2 6 5 2" xfId="25136"/>
    <cellStyle name="Normal 3 2 6 5 2 2" xfId="25137"/>
    <cellStyle name="Normal 3 2 6 5 3" xfId="25138"/>
    <cellStyle name="Normal 3 2 6 5 4" xfId="25139"/>
    <cellStyle name="Normal 3 2 6 6" xfId="25140"/>
    <cellStyle name="Normal 3 2 6 6 2" xfId="25141"/>
    <cellStyle name="Normal 3 2 6 6 2 2" xfId="25142"/>
    <cellStyle name="Normal 3 2 6 6 3" xfId="25143"/>
    <cellStyle name="Normal 3 2 6 6 4" xfId="25144"/>
    <cellStyle name="Normal 3 2 6 7" xfId="25145"/>
    <cellStyle name="Normal 3 2 6 7 2" xfId="25146"/>
    <cellStyle name="Normal 3 2 6 8" xfId="25147"/>
    <cellStyle name="Normal 3 2 6 9" xfId="25148"/>
    <cellStyle name="Normal 3 2 7" xfId="25149"/>
    <cellStyle name="Normal 3 2 7 2" xfId="25150"/>
    <cellStyle name="Normal 3 2 7 2 2" xfId="25151"/>
    <cellStyle name="Normal 3 2 7 2 2 2" xfId="25152"/>
    <cellStyle name="Normal 3 2 7 2 3" xfId="25153"/>
    <cellStyle name="Normal 3 2 7 2 4" xfId="25154"/>
    <cellStyle name="Normal 3 2 7 3" xfId="25155"/>
    <cellStyle name="Normal 3 2 7 4" xfId="25156"/>
    <cellStyle name="Normal 3 2 7 4 2" xfId="25157"/>
    <cellStyle name="Normal 3 2 7 5" xfId="25158"/>
    <cellStyle name="Normal 3 2 7 6" xfId="25159"/>
    <cellStyle name="Normal 3 2 8" xfId="25160"/>
    <cellStyle name="Normal 3 2 8 2" xfId="25161"/>
    <cellStyle name="Normal 3 2 8 2 2" xfId="25162"/>
    <cellStyle name="Normal 3 2 8 2 2 2" xfId="25163"/>
    <cellStyle name="Normal 3 2 8 2 3" xfId="25164"/>
    <cellStyle name="Normal 3 2 8 2 4" xfId="25165"/>
    <cellStyle name="Normal 3 2 8 3" xfId="25166"/>
    <cellStyle name="Normal 3 2 8 4" xfId="25167"/>
    <cellStyle name="Normal 3 2 8 4 2" xfId="25168"/>
    <cellStyle name="Normal 3 2 8 5" xfId="25169"/>
    <cellStyle name="Normal 3 2 8 6" xfId="25170"/>
    <cellStyle name="Normal 3 2 9" xfId="25171"/>
    <cellStyle name="Normal 3 2 9 2" xfId="25172"/>
    <cellStyle name="Normal 3 2 9 2 2" xfId="25173"/>
    <cellStyle name="Normal 3 2 9 3" xfId="25174"/>
    <cellStyle name="Normal 3 2 9 4" xfId="25175"/>
    <cellStyle name="Normal 3 3" xfId="178"/>
    <cellStyle name="Normal 3 3 2" xfId="299"/>
    <cellStyle name="Normal 3 3 2 2" xfId="392"/>
    <cellStyle name="Normal 3 3 2 3" xfId="35599"/>
    <cellStyle name="Normal 3 3 2 4" xfId="25177"/>
    <cellStyle name="Normal 3 3 2 5" xfId="36042"/>
    <cellStyle name="Normal 3 3 3" xfId="349"/>
    <cellStyle name="Normal 3 3 3 2" xfId="430"/>
    <cellStyle name="Normal 3 3 3 3" xfId="35638"/>
    <cellStyle name="Normal 3 3 3 4" xfId="25178"/>
    <cellStyle name="Normal 3 3 3 5" xfId="36043"/>
    <cellStyle name="Normal 3 3 4" xfId="372"/>
    <cellStyle name="Normal 3 3 4 2" xfId="35639"/>
    <cellStyle name="Normal 3 3 4 3" xfId="25179"/>
    <cellStyle name="Normal 3 3 5" xfId="35598"/>
    <cellStyle name="Normal 3 3 6" xfId="25176"/>
    <cellStyle name="Normal 3 4" xfId="300"/>
    <cellStyle name="Normal 3 4 10" xfId="25181"/>
    <cellStyle name="Normal 3 4 10 2" xfId="25182"/>
    <cellStyle name="Normal 3 4 11" xfId="25183"/>
    <cellStyle name="Normal 3 4 12" xfId="25184"/>
    <cellStyle name="Normal 3 4 13" xfId="35600"/>
    <cellStyle name="Normal 3 4 14" xfId="25180"/>
    <cellStyle name="Normal 3 4 15" xfId="36044"/>
    <cellStyle name="Normal 3 4 2" xfId="393"/>
    <cellStyle name="Normal 3 4 2 10" xfId="25186"/>
    <cellStyle name="Normal 3 4 2 11" xfId="25187"/>
    <cellStyle name="Normal 3 4 2 12" xfId="35640"/>
    <cellStyle name="Normal 3 4 2 13" xfId="25185"/>
    <cellStyle name="Normal 3 4 2 2" xfId="25188"/>
    <cellStyle name="Normal 3 4 2 2 10" xfId="25189"/>
    <cellStyle name="Normal 3 4 2 2 2" xfId="25190"/>
    <cellStyle name="Normal 3 4 2 2 2 2" xfId="25191"/>
    <cellStyle name="Normal 3 4 2 2 2 2 2" xfId="25192"/>
    <cellStyle name="Normal 3 4 2 2 2 2 2 2" xfId="25193"/>
    <cellStyle name="Normal 3 4 2 2 2 2 2 2 2" xfId="25194"/>
    <cellStyle name="Normal 3 4 2 2 2 2 2 3" xfId="25195"/>
    <cellStyle name="Normal 3 4 2 2 2 2 2 4" xfId="25196"/>
    <cellStyle name="Normal 3 4 2 2 2 2 3" xfId="25197"/>
    <cellStyle name="Normal 3 4 2 2 2 2 3 2" xfId="25198"/>
    <cellStyle name="Normal 3 4 2 2 2 2 4" xfId="25199"/>
    <cellStyle name="Normal 3 4 2 2 2 2 5" xfId="25200"/>
    <cellStyle name="Normal 3 4 2 2 2 3" xfId="25201"/>
    <cellStyle name="Normal 3 4 2 2 2 3 2" xfId="25202"/>
    <cellStyle name="Normal 3 4 2 2 2 3 2 2" xfId="25203"/>
    <cellStyle name="Normal 3 4 2 2 2 3 2 2 2" xfId="25204"/>
    <cellStyle name="Normal 3 4 2 2 2 3 2 3" xfId="25205"/>
    <cellStyle name="Normal 3 4 2 2 2 3 2 4" xfId="25206"/>
    <cellStyle name="Normal 3 4 2 2 2 3 3" xfId="25207"/>
    <cellStyle name="Normal 3 4 2 2 2 3 3 2" xfId="25208"/>
    <cellStyle name="Normal 3 4 2 2 2 3 4" xfId="25209"/>
    <cellStyle name="Normal 3 4 2 2 2 3 5" xfId="25210"/>
    <cellStyle name="Normal 3 4 2 2 2 4" xfId="25211"/>
    <cellStyle name="Normal 3 4 2 2 2 4 2" xfId="25212"/>
    <cellStyle name="Normal 3 4 2 2 2 4 2 2" xfId="25213"/>
    <cellStyle name="Normal 3 4 2 2 2 4 3" xfId="25214"/>
    <cellStyle name="Normal 3 4 2 2 2 4 4" xfId="25215"/>
    <cellStyle name="Normal 3 4 2 2 2 5" xfId="25216"/>
    <cellStyle name="Normal 3 4 2 2 2 5 2" xfId="25217"/>
    <cellStyle name="Normal 3 4 2 2 2 5 2 2" xfId="25218"/>
    <cellStyle name="Normal 3 4 2 2 2 5 3" xfId="25219"/>
    <cellStyle name="Normal 3 4 2 2 2 5 4" xfId="25220"/>
    <cellStyle name="Normal 3 4 2 2 2 6" xfId="25221"/>
    <cellStyle name="Normal 3 4 2 2 2 6 2" xfId="25222"/>
    <cellStyle name="Normal 3 4 2 2 2 6 2 2" xfId="25223"/>
    <cellStyle name="Normal 3 4 2 2 2 6 3" xfId="25224"/>
    <cellStyle name="Normal 3 4 2 2 2 6 4" xfId="25225"/>
    <cellStyle name="Normal 3 4 2 2 2 7" xfId="25226"/>
    <cellStyle name="Normal 3 4 2 2 2 7 2" xfId="25227"/>
    <cellStyle name="Normal 3 4 2 2 2 8" xfId="25228"/>
    <cellStyle name="Normal 3 4 2 2 2 9" xfId="25229"/>
    <cellStyle name="Normal 3 4 2 2 3" xfId="25230"/>
    <cellStyle name="Normal 3 4 2 2 3 2" xfId="25231"/>
    <cellStyle name="Normal 3 4 2 2 3 2 2" xfId="25232"/>
    <cellStyle name="Normal 3 4 2 2 3 2 2 2" xfId="25233"/>
    <cellStyle name="Normal 3 4 2 2 3 2 3" xfId="25234"/>
    <cellStyle name="Normal 3 4 2 2 3 2 4" xfId="25235"/>
    <cellStyle name="Normal 3 4 2 2 3 3" xfId="25236"/>
    <cellStyle name="Normal 3 4 2 2 3 3 2" xfId="25237"/>
    <cellStyle name="Normal 3 4 2 2 3 4" xfId="25238"/>
    <cellStyle name="Normal 3 4 2 2 3 5" xfId="25239"/>
    <cellStyle name="Normal 3 4 2 2 4" xfId="25240"/>
    <cellStyle name="Normal 3 4 2 2 4 2" xfId="25241"/>
    <cellStyle name="Normal 3 4 2 2 4 2 2" xfId="25242"/>
    <cellStyle name="Normal 3 4 2 2 4 2 2 2" xfId="25243"/>
    <cellStyle name="Normal 3 4 2 2 4 2 3" xfId="25244"/>
    <cellStyle name="Normal 3 4 2 2 4 2 4" xfId="25245"/>
    <cellStyle name="Normal 3 4 2 2 4 3" xfId="25246"/>
    <cellStyle name="Normal 3 4 2 2 4 3 2" xfId="25247"/>
    <cellStyle name="Normal 3 4 2 2 4 4" xfId="25248"/>
    <cellStyle name="Normal 3 4 2 2 4 5" xfId="25249"/>
    <cellStyle name="Normal 3 4 2 2 5" xfId="25250"/>
    <cellStyle name="Normal 3 4 2 2 5 2" xfId="25251"/>
    <cellStyle name="Normal 3 4 2 2 5 2 2" xfId="25252"/>
    <cellStyle name="Normal 3 4 2 2 5 3" xfId="25253"/>
    <cellStyle name="Normal 3 4 2 2 5 4" xfId="25254"/>
    <cellStyle name="Normal 3 4 2 2 6" xfId="25255"/>
    <cellStyle name="Normal 3 4 2 2 6 2" xfId="25256"/>
    <cellStyle name="Normal 3 4 2 2 6 2 2" xfId="25257"/>
    <cellStyle name="Normal 3 4 2 2 6 3" xfId="25258"/>
    <cellStyle name="Normal 3 4 2 2 6 4" xfId="25259"/>
    <cellStyle name="Normal 3 4 2 2 7" xfId="25260"/>
    <cellStyle name="Normal 3 4 2 2 7 2" xfId="25261"/>
    <cellStyle name="Normal 3 4 2 2 7 2 2" xfId="25262"/>
    <cellStyle name="Normal 3 4 2 2 7 3" xfId="25263"/>
    <cellStyle name="Normal 3 4 2 2 7 4" xfId="25264"/>
    <cellStyle name="Normal 3 4 2 2 8" xfId="25265"/>
    <cellStyle name="Normal 3 4 2 2 8 2" xfId="25266"/>
    <cellStyle name="Normal 3 4 2 2 9" xfId="25267"/>
    <cellStyle name="Normal 3 4 2 3" xfId="25268"/>
    <cellStyle name="Normal 3 4 2 3 2" xfId="25269"/>
    <cellStyle name="Normal 3 4 2 3 2 2" xfId="25270"/>
    <cellStyle name="Normal 3 4 2 3 2 2 2" xfId="25271"/>
    <cellStyle name="Normal 3 4 2 3 2 2 2 2" xfId="25272"/>
    <cellStyle name="Normal 3 4 2 3 2 2 3" xfId="25273"/>
    <cellStyle name="Normal 3 4 2 3 2 2 4" xfId="25274"/>
    <cellStyle name="Normal 3 4 2 3 2 3" xfId="25275"/>
    <cellStyle name="Normal 3 4 2 3 2 3 2" xfId="25276"/>
    <cellStyle name="Normal 3 4 2 3 2 4" xfId="25277"/>
    <cellStyle name="Normal 3 4 2 3 2 5" xfId="25278"/>
    <cellStyle name="Normal 3 4 2 3 3" xfId="25279"/>
    <cellStyle name="Normal 3 4 2 3 3 2" xfId="25280"/>
    <cellStyle name="Normal 3 4 2 3 3 2 2" xfId="25281"/>
    <cellStyle name="Normal 3 4 2 3 3 2 2 2" xfId="25282"/>
    <cellStyle name="Normal 3 4 2 3 3 2 3" xfId="25283"/>
    <cellStyle name="Normal 3 4 2 3 3 2 4" xfId="25284"/>
    <cellStyle name="Normal 3 4 2 3 3 3" xfId="25285"/>
    <cellStyle name="Normal 3 4 2 3 3 3 2" xfId="25286"/>
    <cellStyle name="Normal 3 4 2 3 3 4" xfId="25287"/>
    <cellStyle name="Normal 3 4 2 3 3 5" xfId="25288"/>
    <cellStyle name="Normal 3 4 2 3 4" xfId="25289"/>
    <cellStyle name="Normal 3 4 2 3 4 2" xfId="25290"/>
    <cellStyle name="Normal 3 4 2 3 4 2 2" xfId="25291"/>
    <cellStyle name="Normal 3 4 2 3 4 3" xfId="25292"/>
    <cellStyle name="Normal 3 4 2 3 4 4" xfId="25293"/>
    <cellStyle name="Normal 3 4 2 3 5" xfId="25294"/>
    <cellStyle name="Normal 3 4 2 3 5 2" xfId="25295"/>
    <cellStyle name="Normal 3 4 2 3 5 2 2" xfId="25296"/>
    <cellStyle name="Normal 3 4 2 3 5 3" xfId="25297"/>
    <cellStyle name="Normal 3 4 2 3 5 4" xfId="25298"/>
    <cellStyle name="Normal 3 4 2 3 6" xfId="25299"/>
    <cellStyle name="Normal 3 4 2 3 6 2" xfId="25300"/>
    <cellStyle name="Normal 3 4 2 3 6 2 2" xfId="25301"/>
    <cellStyle name="Normal 3 4 2 3 6 3" xfId="25302"/>
    <cellStyle name="Normal 3 4 2 3 6 4" xfId="25303"/>
    <cellStyle name="Normal 3 4 2 3 7" xfId="25304"/>
    <cellStyle name="Normal 3 4 2 3 7 2" xfId="25305"/>
    <cellStyle name="Normal 3 4 2 3 8" xfId="25306"/>
    <cellStyle name="Normal 3 4 2 3 9" xfId="25307"/>
    <cellStyle name="Normal 3 4 2 4" xfId="25308"/>
    <cellStyle name="Normal 3 4 2 4 2" xfId="25309"/>
    <cellStyle name="Normal 3 4 2 4 2 2" xfId="25310"/>
    <cellStyle name="Normal 3 4 2 4 2 2 2" xfId="25311"/>
    <cellStyle name="Normal 3 4 2 4 2 3" xfId="25312"/>
    <cellStyle name="Normal 3 4 2 4 2 4" xfId="25313"/>
    <cellStyle name="Normal 3 4 2 4 3" xfId="25314"/>
    <cellStyle name="Normal 3 4 2 4 3 2" xfId="25315"/>
    <cellStyle name="Normal 3 4 2 4 4" xfId="25316"/>
    <cellStyle name="Normal 3 4 2 4 5" xfId="25317"/>
    <cellStyle name="Normal 3 4 2 5" xfId="25318"/>
    <cellStyle name="Normal 3 4 2 5 2" xfId="25319"/>
    <cellStyle name="Normal 3 4 2 5 2 2" xfId="25320"/>
    <cellStyle name="Normal 3 4 2 5 2 2 2" xfId="25321"/>
    <cellStyle name="Normal 3 4 2 5 2 3" xfId="25322"/>
    <cellStyle name="Normal 3 4 2 5 2 4" xfId="25323"/>
    <cellStyle name="Normal 3 4 2 5 3" xfId="25324"/>
    <cellStyle name="Normal 3 4 2 5 3 2" xfId="25325"/>
    <cellStyle name="Normal 3 4 2 5 4" xfId="25326"/>
    <cellStyle name="Normal 3 4 2 5 5" xfId="25327"/>
    <cellStyle name="Normal 3 4 2 6" xfId="25328"/>
    <cellStyle name="Normal 3 4 2 6 2" xfId="25329"/>
    <cellStyle name="Normal 3 4 2 6 2 2" xfId="25330"/>
    <cellStyle name="Normal 3 4 2 6 3" xfId="25331"/>
    <cellStyle name="Normal 3 4 2 6 4" xfId="25332"/>
    <cellStyle name="Normal 3 4 2 7" xfId="25333"/>
    <cellStyle name="Normal 3 4 2 7 2" xfId="25334"/>
    <cellStyle name="Normal 3 4 2 7 2 2" xfId="25335"/>
    <cellStyle name="Normal 3 4 2 7 3" xfId="25336"/>
    <cellStyle name="Normal 3 4 2 7 4" xfId="25337"/>
    <cellStyle name="Normal 3 4 2 8" xfId="25338"/>
    <cellStyle name="Normal 3 4 2 8 2" xfId="25339"/>
    <cellStyle name="Normal 3 4 2 8 2 2" xfId="25340"/>
    <cellStyle name="Normal 3 4 2 8 3" xfId="25341"/>
    <cellStyle name="Normal 3 4 2 8 4" xfId="25342"/>
    <cellStyle name="Normal 3 4 2 9" xfId="25343"/>
    <cellStyle name="Normal 3 4 2 9 2" xfId="25344"/>
    <cellStyle name="Normal 3 4 3" xfId="25345"/>
    <cellStyle name="Normal 3 4 3 10" xfId="25346"/>
    <cellStyle name="Normal 3 4 3 2" xfId="25347"/>
    <cellStyle name="Normal 3 4 3 2 2" xfId="25348"/>
    <cellStyle name="Normal 3 4 3 2 2 2" xfId="25349"/>
    <cellStyle name="Normal 3 4 3 2 2 2 2" xfId="25350"/>
    <cellStyle name="Normal 3 4 3 2 2 2 2 2" xfId="25351"/>
    <cellStyle name="Normal 3 4 3 2 2 2 3" xfId="25352"/>
    <cellStyle name="Normal 3 4 3 2 2 2 4" xfId="25353"/>
    <cellStyle name="Normal 3 4 3 2 2 3" xfId="25354"/>
    <cellStyle name="Normal 3 4 3 2 2 3 2" xfId="25355"/>
    <cellStyle name="Normal 3 4 3 2 2 4" xfId="25356"/>
    <cellStyle name="Normal 3 4 3 2 2 5" xfId="25357"/>
    <cellStyle name="Normal 3 4 3 2 3" xfId="25358"/>
    <cellStyle name="Normal 3 4 3 2 3 2" xfId="25359"/>
    <cellStyle name="Normal 3 4 3 2 3 2 2" xfId="25360"/>
    <cellStyle name="Normal 3 4 3 2 3 2 2 2" xfId="25361"/>
    <cellStyle name="Normal 3 4 3 2 3 2 3" xfId="25362"/>
    <cellStyle name="Normal 3 4 3 2 3 2 4" xfId="25363"/>
    <cellStyle name="Normal 3 4 3 2 3 3" xfId="25364"/>
    <cellStyle name="Normal 3 4 3 2 3 3 2" xfId="25365"/>
    <cellStyle name="Normal 3 4 3 2 3 4" xfId="25366"/>
    <cellStyle name="Normal 3 4 3 2 3 5" xfId="25367"/>
    <cellStyle name="Normal 3 4 3 2 4" xfId="25368"/>
    <cellStyle name="Normal 3 4 3 2 4 2" xfId="25369"/>
    <cellStyle name="Normal 3 4 3 2 4 2 2" xfId="25370"/>
    <cellStyle name="Normal 3 4 3 2 4 3" xfId="25371"/>
    <cellStyle name="Normal 3 4 3 2 4 4" xfId="25372"/>
    <cellStyle name="Normal 3 4 3 2 5" xfId="25373"/>
    <cellStyle name="Normal 3 4 3 2 5 2" xfId="25374"/>
    <cellStyle name="Normal 3 4 3 2 5 2 2" xfId="25375"/>
    <cellStyle name="Normal 3 4 3 2 5 3" xfId="25376"/>
    <cellStyle name="Normal 3 4 3 2 5 4" xfId="25377"/>
    <cellStyle name="Normal 3 4 3 2 6" xfId="25378"/>
    <cellStyle name="Normal 3 4 3 2 6 2" xfId="25379"/>
    <cellStyle name="Normal 3 4 3 2 6 2 2" xfId="25380"/>
    <cellStyle name="Normal 3 4 3 2 6 3" xfId="25381"/>
    <cellStyle name="Normal 3 4 3 2 6 4" xfId="25382"/>
    <cellStyle name="Normal 3 4 3 2 7" xfId="25383"/>
    <cellStyle name="Normal 3 4 3 2 7 2" xfId="25384"/>
    <cellStyle name="Normal 3 4 3 2 8" xfId="25385"/>
    <cellStyle name="Normal 3 4 3 2 9" xfId="25386"/>
    <cellStyle name="Normal 3 4 3 3" xfId="25387"/>
    <cellStyle name="Normal 3 4 3 3 2" xfId="25388"/>
    <cellStyle name="Normal 3 4 3 3 2 2" xfId="25389"/>
    <cellStyle name="Normal 3 4 3 3 2 2 2" xfId="25390"/>
    <cellStyle name="Normal 3 4 3 3 2 3" xfId="25391"/>
    <cellStyle name="Normal 3 4 3 3 2 4" xfId="25392"/>
    <cellStyle name="Normal 3 4 3 3 3" xfId="25393"/>
    <cellStyle name="Normal 3 4 3 3 3 2" xfId="25394"/>
    <cellStyle name="Normal 3 4 3 3 4" xfId="25395"/>
    <cellStyle name="Normal 3 4 3 3 5" xfId="25396"/>
    <cellStyle name="Normal 3 4 3 4" xfId="25397"/>
    <cellStyle name="Normal 3 4 3 4 2" xfId="25398"/>
    <cellStyle name="Normal 3 4 3 4 2 2" xfId="25399"/>
    <cellStyle name="Normal 3 4 3 4 2 2 2" xfId="25400"/>
    <cellStyle name="Normal 3 4 3 4 2 3" xfId="25401"/>
    <cellStyle name="Normal 3 4 3 4 2 4" xfId="25402"/>
    <cellStyle name="Normal 3 4 3 4 3" xfId="25403"/>
    <cellStyle name="Normal 3 4 3 4 3 2" xfId="25404"/>
    <cellStyle name="Normal 3 4 3 4 4" xfId="25405"/>
    <cellStyle name="Normal 3 4 3 4 5" xfId="25406"/>
    <cellStyle name="Normal 3 4 3 5" xfId="25407"/>
    <cellStyle name="Normal 3 4 3 5 2" xfId="25408"/>
    <cellStyle name="Normal 3 4 3 5 2 2" xfId="25409"/>
    <cellStyle name="Normal 3 4 3 5 3" xfId="25410"/>
    <cellStyle name="Normal 3 4 3 5 4" xfId="25411"/>
    <cellStyle name="Normal 3 4 3 6" xfId="25412"/>
    <cellStyle name="Normal 3 4 3 6 2" xfId="25413"/>
    <cellStyle name="Normal 3 4 3 6 2 2" xfId="25414"/>
    <cellStyle name="Normal 3 4 3 6 3" xfId="25415"/>
    <cellStyle name="Normal 3 4 3 6 4" xfId="25416"/>
    <cellStyle name="Normal 3 4 3 7" xfId="25417"/>
    <cellStyle name="Normal 3 4 3 7 2" xfId="25418"/>
    <cellStyle name="Normal 3 4 3 7 2 2" xfId="25419"/>
    <cellStyle name="Normal 3 4 3 7 3" xfId="25420"/>
    <cellStyle name="Normal 3 4 3 7 4" xfId="25421"/>
    <cellStyle name="Normal 3 4 3 8" xfId="25422"/>
    <cellStyle name="Normal 3 4 3 8 2" xfId="25423"/>
    <cellStyle name="Normal 3 4 3 9" xfId="25424"/>
    <cellStyle name="Normal 3 4 4" xfId="25425"/>
    <cellStyle name="Normal 3 4 4 2" xfId="25426"/>
    <cellStyle name="Normal 3 4 4 2 2" xfId="25427"/>
    <cellStyle name="Normal 3 4 4 2 2 2" xfId="25428"/>
    <cellStyle name="Normal 3 4 4 2 2 2 2" xfId="25429"/>
    <cellStyle name="Normal 3 4 4 2 2 3" xfId="25430"/>
    <cellStyle name="Normal 3 4 4 2 2 4" xfId="25431"/>
    <cellStyle name="Normal 3 4 4 2 3" xfId="25432"/>
    <cellStyle name="Normal 3 4 4 2 3 2" xfId="25433"/>
    <cellStyle name="Normal 3 4 4 2 4" xfId="25434"/>
    <cellStyle name="Normal 3 4 4 2 5" xfId="25435"/>
    <cellStyle name="Normal 3 4 4 3" xfId="25436"/>
    <cellStyle name="Normal 3 4 4 3 2" xfId="25437"/>
    <cellStyle name="Normal 3 4 4 3 2 2" xfId="25438"/>
    <cellStyle name="Normal 3 4 4 3 2 2 2" xfId="25439"/>
    <cellStyle name="Normal 3 4 4 3 2 3" xfId="25440"/>
    <cellStyle name="Normal 3 4 4 3 2 4" xfId="25441"/>
    <cellStyle name="Normal 3 4 4 3 3" xfId="25442"/>
    <cellStyle name="Normal 3 4 4 3 3 2" xfId="25443"/>
    <cellStyle name="Normal 3 4 4 3 4" xfId="25444"/>
    <cellStyle name="Normal 3 4 4 3 5" xfId="25445"/>
    <cellStyle name="Normal 3 4 4 4" xfId="25446"/>
    <cellStyle name="Normal 3 4 4 4 2" xfId="25447"/>
    <cellStyle name="Normal 3 4 4 4 2 2" xfId="25448"/>
    <cellStyle name="Normal 3 4 4 4 3" xfId="25449"/>
    <cellStyle name="Normal 3 4 4 4 4" xfId="25450"/>
    <cellStyle name="Normal 3 4 4 5" xfId="25451"/>
    <cellStyle name="Normal 3 4 4 5 2" xfId="25452"/>
    <cellStyle name="Normal 3 4 4 5 2 2" xfId="25453"/>
    <cellStyle name="Normal 3 4 4 5 3" xfId="25454"/>
    <cellStyle name="Normal 3 4 4 5 4" xfId="25455"/>
    <cellStyle name="Normal 3 4 4 6" xfId="25456"/>
    <cellStyle name="Normal 3 4 4 6 2" xfId="25457"/>
    <cellStyle name="Normal 3 4 4 6 2 2" xfId="25458"/>
    <cellStyle name="Normal 3 4 4 6 3" xfId="25459"/>
    <cellStyle name="Normal 3 4 4 6 4" xfId="25460"/>
    <cellStyle name="Normal 3 4 4 7" xfId="25461"/>
    <cellStyle name="Normal 3 4 4 7 2" xfId="25462"/>
    <cellStyle name="Normal 3 4 4 8" xfId="25463"/>
    <cellStyle name="Normal 3 4 4 9" xfId="25464"/>
    <cellStyle name="Normal 3 4 5" xfId="25465"/>
    <cellStyle name="Normal 3 4 5 2" xfId="25466"/>
    <cellStyle name="Normal 3 4 5 2 2" xfId="25467"/>
    <cellStyle name="Normal 3 4 5 2 2 2" xfId="25468"/>
    <cellStyle name="Normal 3 4 5 2 3" xfId="25469"/>
    <cellStyle name="Normal 3 4 5 2 4" xfId="25470"/>
    <cellStyle name="Normal 3 4 5 3" xfId="25471"/>
    <cellStyle name="Normal 3 4 5 4" xfId="25472"/>
    <cellStyle name="Normal 3 4 5 4 2" xfId="25473"/>
    <cellStyle name="Normal 3 4 5 5" xfId="25474"/>
    <cellStyle name="Normal 3 4 5 6" xfId="25475"/>
    <cellStyle name="Normal 3 4 6" xfId="25476"/>
    <cellStyle name="Normal 3 4 6 2" xfId="25477"/>
    <cellStyle name="Normal 3 4 6 2 2" xfId="25478"/>
    <cellStyle name="Normal 3 4 6 2 2 2" xfId="25479"/>
    <cellStyle name="Normal 3 4 6 2 3" xfId="25480"/>
    <cellStyle name="Normal 3 4 6 2 4" xfId="25481"/>
    <cellStyle name="Normal 3 4 6 3" xfId="25482"/>
    <cellStyle name="Normal 3 4 6 3 2" xfId="25483"/>
    <cellStyle name="Normal 3 4 6 4" xfId="25484"/>
    <cellStyle name="Normal 3 4 6 5" xfId="25485"/>
    <cellStyle name="Normal 3 4 7" xfId="25486"/>
    <cellStyle name="Normal 3 4 7 2" xfId="25487"/>
    <cellStyle name="Normal 3 4 7 2 2" xfId="25488"/>
    <cellStyle name="Normal 3 4 7 3" xfId="25489"/>
    <cellStyle name="Normal 3 4 7 4" xfId="25490"/>
    <cellStyle name="Normal 3 4 8" xfId="25491"/>
    <cellStyle name="Normal 3 4 8 2" xfId="25492"/>
    <cellStyle name="Normal 3 4 8 2 2" xfId="25493"/>
    <cellStyle name="Normal 3 4 8 3" xfId="25494"/>
    <cellStyle name="Normal 3 4 8 4" xfId="25495"/>
    <cellStyle name="Normal 3 4 9" xfId="25496"/>
    <cellStyle name="Normal 3 4 9 2" xfId="25497"/>
    <cellStyle name="Normal 3 4 9 2 2" xfId="25498"/>
    <cellStyle name="Normal 3 4 9 3" xfId="25499"/>
    <cellStyle name="Normal 3 4 9 4" xfId="25500"/>
    <cellStyle name="Normal 3 5" xfId="25501"/>
    <cellStyle name="Normal 3 5 10" xfId="25502"/>
    <cellStyle name="Normal 3 5 10 2" xfId="25503"/>
    <cellStyle name="Normal 3 5 11" xfId="25504"/>
    <cellStyle name="Normal 3 5 12" xfId="25505"/>
    <cellStyle name="Normal 3 5 13" xfId="35913"/>
    <cellStyle name="Normal 3 5 2" xfId="25506"/>
    <cellStyle name="Normal 3 5 2 10" xfId="25507"/>
    <cellStyle name="Normal 3 5 2 11" xfId="25508"/>
    <cellStyle name="Normal 3 5 2 12" xfId="36045"/>
    <cellStyle name="Normal 3 5 2 2" xfId="25509"/>
    <cellStyle name="Normal 3 5 2 2 10" xfId="25510"/>
    <cellStyle name="Normal 3 5 2 2 2" xfId="25511"/>
    <cellStyle name="Normal 3 5 2 2 2 2" xfId="25512"/>
    <cellStyle name="Normal 3 5 2 2 2 2 2" xfId="25513"/>
    <cellStyle name="Normal 3 5 2 2 2 2 2 2" xfId="25514"/>
    <cellStyle name="Normal 3 5 2 2 2 2 2 2 2" xfId="25515"/>
    <cellStyle name="Normal 3 5 2 2 2 2 2 3" xfId="25516"/>
    <cellStyle name="Normal 3 5 2 2 2 2 2 4" xfId="25517"/>
    <cellStyle name="Normal 3 5 2 2 2 2 3" xfId="25518"/>
    <cellStyle name="Normal 3 5 2 2 2 2 3 2" xfId="25519"/>
    <cellStyle name="Normal 3 5 2 2 2 2 4" xfId="25520"/>
    <cellStyle name="Normal 3 5 2 2 2 2 5" xfId="25521"/>
    <cellStyle name="Normal 3 5 2 2 2 3" xfId="25522"/>
    <cellStyle name="Normal 3 5 2 2 2 3 2" xfId="25523"/>
    <cellStyle name="Normal 3 5 2 2 2 3 2 2" xfId="25524"/>
    <cellStyle name="Normal 3 5 2 2 2 3 2 2 2" xfId="25525"/>
    <cellStyle name="Normal 3 5 2 2 2 3 2 3" xfId="25526"/>
    <cellStyle name="Normal 3 5 2 2 2 3 2 4" xfId="25527"/>
    <cellStyle name="Normal 3 5 2 2 2 3 3" xfId="25528"/>
    <cellStyle name="Normal 3 5 2 2 2 3 3 2" xfId="25529"/>
    <cellStyle name="Normal 3 5 2 2 2 3 4" xfId="25530"/>
    <cellStyle name="Normal 3 5 2 2 2 3 5" xfId="25531"/>
    <cellStyle name="Normal 3 5 2 2 2 4" xfId="25532"/>
    <cellStyle name="Normal 3 5 2 2 2 4 2" xfId="25533"/>
    <cellStyle name="Normal 3 5 2 2 2 4 2 2" xfId="25534"/>
    <cellStyle name="Normal 3 5 2 2 2 4 3" xfId="25535"/>
    <cellStyle name="Normal 3 5 2 2 2 4 4" xfId="25536"/>
    <cellStyle name="Normal 3 5 2 2 2 5" xfId="25537"/>
    <cellStyle name="Normal 3 5 2 2 2 5 2" xfId="25538"/>
    <cellStyle name="Normal 3 5 2 2 2 5 2 2" xfId="25539"/>
    <cellStyle name="Normal 3 5 2 2 2 5 3" xfId="25540"/>
    <cellStyle name="Normal 3 5 2 2 2 5 4" xfId="25541"/>
    <cellStyle name="Normal 3 5 2 2 2 6" xfId="25542"/>
    <cellStyle name="Normal 3 5 2 2 2 6 2" xfId="25543"/>
    <cellStyle name="Normal 3 5 2 2 2 6 2 2" xfId="25544"/>
    <cellStyle name="Normal 3 5 2 2 2 6 3" xfId="25545"/>
    <cellStyle name="Normal 3 5 2 2 2 6 4" xfId="25546"/>
    <cellStyle name="Normal 3 5 2 2 2 7" xfId="25547"/>
    <cellStyle name="Normal 3 5 2 2 2 7 2" xfId="25548"/>
    <cellStyle name="Normal 3 5 2 2 2 8" xfId="25549"/>
    <cellStyle name="Normal 3 5 2 2 2 9" xfId="25550"/>
    <cellStyle name="Normal 3 5 2 2 3" xfId="25551"/>
    <cellStyle name="Normal 3 5 2 2 3 2" xfId="25552"/>
    <cellStyle name="Normal 3 5 2 2 3 2 2" xfId="25553"/>
    <cellStyle name="Normal 3 5 2 2 3 2 2 2" xfId="25554"/>
    <cellStyle name="Normal 3 5 2 2 3 2 3" xfId="25555"/>
    <cellStyle name="Normal 3 5 2 2 3 2 4" xfId="25556"/>
    <cellStyle name="Normal 3 5 2 2 3 3" xfId="25557"/>
    <cellStyle name="Normal 3 5 2 2 3 3 2" xfId="25558"/>
    <cellStyle name="Normal 3 5 2 2 3 4" xfId="25559"/>
    <cellStyle name="Normal 3 5 2 2 3 5" xfId="25560"/>
    <cellStyle name="Normal 3 5 2 2 4" xfId="25561"/>
    <cellStyle name="Normal 3 5 2 2 4 2" xfId="25562"/>
    <cellStyle name="Normal 3 5 2 2 4 2 2" xfId="25563"/>
    <cellStyle name="Normal 3 5 2 2 4 2 2 2" xfId="25564"/>
    <cellStyle name="Normal 3 5 2 2 4 2 3" xfId="25565"/>
    <cellStyle name="Normal 3 5 2 2 4 2 4" xfId="25566"/>
    <cellStyle name="Normal 3 5 2 2 4 3" xfId="25567"/>
    <cellStyle name="Normal 3 5 2 2 4 3 2" xfId="25568"/>
    <cellStyle name="Normal 3 5 2 2 4 4" xfId="25569"/>
    <cellStyle name="Normal 3 5 2 2 4 5" xfId="25570"/>
    <cellStyle name="Normal 3 5 2 2 5" xfId="25571"/>
    <cellStyle name="Normal 3 5 2 2 5 2" xfId="25572"/>
    <cellStyle name="Normal 3 5 2 2 5 2 2" xfId="25573"/>
    <cellStyle name="Normal 3 5 2 2 5 3" xfId="25574"/>
    <cellStyle name="Normal 3 5 2 2 5 4" xfId="25575"/>
    <cellStyle name="Normal 3 5 2 2 6" xfId="25576"/>
    <cellStyle name="Normal 3 5 2 2 6 2" xfId="25577"/>
    <cellStyle name="Normal 3 5 2 2 6 2 2" xfId="25578"/>
    <cellStyle name="Normal 3 5 2 2 6 3" xfId="25579"/>
    <cellStyle name="Normal 3 5 2 2 6 4" xfId="25580"/>
    <cellStyle name="Normal 3 5 2 2 7" xfId="25581"/>
    <cellStyle name="Normal 3 5 2 2 7 2" xfId="25582"/>
    <cellStyle name="Normal 3 5 2 2 7 2 2" xfId="25583"/>
    <cellStyle name="Normal 3 5 2 2 7 3" xfId="25584"/>
    <cellStyle name="Normal 3 5 2 2 7 4" xfId="25585"/>
    <cellStyle name="Normal 3 5 2 2 8" xfId="25586"/>
    <cellStyle name="Normal 3 5 2 2 8 2" xfId="25587"/>
    <cellStyle name="Normal 3 5 2 2 9" xfId="25588"/>
    <cellStyle name="Normal 3 5 2 3" xfId="25589"/>
    <cellStyle name="Normal 3 5 2 3 2" xfId="25590"/>
    <cellStyle name="Normal 3 5 2 3 2 2" xfId="25591"/>
    <cellStyle name="Normal 3 5 2 3 2 2 2" xfId="25592"/>
    <cellStyle name="Normal 3 5 2 3 2 2 2 2" xfId="25593"/>
    <cellStyle name="Normal 3 5 2 3 2 2 3" xfId="25594"/>
    <cellStyle name="Normal 3 5 2 3 2 2 4" xfId="25595"/>
    <cellStyle name="Normal 3 5 2 3 2 3" xfId="25596"/>
    <cellStyle name="Normal 3 5 2 3 2 3 2" xfId="25597"/>
    <cellStyle name="Normal 3 5 2 3 2 4" xfId="25598"/>
    <cellStyle name="Normal 3 5 2 3 2 5" xfId="25599"/>
    <cellStyle name="Normal 3 5 2 3 3" xfId="25600"/>
    <cellStyle name="Normal 3 5 2 3 3 2" xfId="25601"/>
    <cellStyle name="Normal 3 5 2 3 3 2 2" xfId="25602"/>
    <cellStyle name="Normal 3 5 2 3 3 2 2 2" xfId="25603"/>
    <cellStyle name="Normal 3 5 2 3 3 2 3" xfId="25604"/>
    <cellStyle name="Normal 3 5 2 3 3 2 4" xfId="25605"/>
    <cellStyle name="Normal 3 5 2 3 3 3" xfId="25606"/>
    <cellStyle name="Normal 3 5 2 3 3 3 2" xfId="25607"/>
    <cellStyle name="Normal 3 5 2 3 3 4" xfId="25608"/>
    <cellStyle name="Normal 3 5 2 3 3 5" xfId="25609"/>
    <cellStyle name="Normal 3 5 2 3 4" xfId="25610"/>
    <cellStyle name="Normal 3 5 2 3 4 2" xfId="25611"/>
    <cellStyle name="Normal 3 5 2 3 4 2 2" xfId="25612"/>
    <cellStyle name="Normal 3 5 2 3 4 3" xfId="25613"/>
    <cellStyle name="Normal 3 5 2 3 4 4" xfId="25614"/>
    <cellStyle name="Normal 3 5 2 3 5" xfId="25615"/>
    <cellStyle name="Normal 3 5 2 3 5 2" xfId="25616"/>
    <cellStyle name="Normal 3 5 2 3 5 2 2" xfId="25617"/>
    <cellStyle name="Normal 3 5 2 3 5 3" xfId="25618"/>
    <cellStyle name="Normal 3 5 2 3 5 4" xfId="25619"/>
    <cellStyle name="Normal 3 5 2 3 6" xfId="25620"/>
    <cellStyle name="Normal 3 5 2 3 6 2" xfId="25621"/>
    <cellStyle name="Normal 3 5 2 3 6 2 2" xfId="25622"/>
    <cellStyle name="Normal 3 5 2 3 6 3" xfId="25623"/>
    <cellStyle name="Normal 3 5 2 3 6 4" xfId="25624"/>
    <cellStyle name="Normal 3 5 2 3 7" xfId="25625"/>
    <cellStyle name="Normal 3 5 2 3 7 2" xfId="25626"/>
    <cellStyle name="Normal 3 5 2 3 8" xfId="25627"/>
    <cellStyle name="Normal 3 5 2 3 9" xfId="25628"/>
    <cellStyle name="Normal 3 5 2 4" xfId="25629"/>
    <cellStyle name="Normal 3 5 2 4 2" xfId="25630"/>
    <cellStyle name="Normal 3 5 2 4 2 2" xfId="25631"/>
    <cellStyle name="Normal 3 5 2 4 2 2 2" xfId="25632"/>
    <cellStyle name="Normal 3 5 2 4 2 3" xfId="25633"/>
    <cellStyle name="Normal 3 5 2 4 2 4" xfId="25634"/>
    <cellStyle name="Normal 3 5 2 4 3" xfId="25635"/>
    <cellStyle name="Normal 3 5 2 4 3 2" xfId="25636"/>
    <cellStyle name="Normal 3 5 2 4 4" xfId="25637"/>
    <cellStyle name="Normal 3 5 2 4 5" xfId="25638"/>
    <cellStyle name="Normal 3 5 2 5" xfId="25639"/>
    <cellStyle name="Normal 3 5 2 5 2" xfId="25640"/>
    <cellStyle name="Normal 3 5 2 5 2 2" xfId="25641"/>
    <cellStyle name="Normal 3 5 2 5 2 2 2" xfId="25642"/>
    <cellStyle name="Normal 3 5 2 5 2 3" xfId="25643"/>
    <cellStyle name="Normal 3 5 2 5 2 4" xfId="25644"/>
    <cellStyle name="Normal 3 5 2 5 3" xfId="25645"/>
    <cellStyle name="Normal 3 5 2 5 3 2" xfId="25646"/>
    <cellStyle name="Normal 3 5 2 5 4" xfId="25647"/>
    <cellStyle name="Normal 3 5 2 5 5" xfId="25648"/>
    <cellStyle name="Normal 3 5 2 6" xfId="25649"/>
    <cellStyle name="Normal 3 5 2 6 2" xfId="25650"/>
    <cellStyle name="Normal 3 5 2 6 2 2" xfId="25651"/>
    <cellStyle name="Normal 3 5 2 6 3" xfId="25652"/>
    <cellStyle name="Normal 3 5 2 6 4" xfId="25653"/>
    <cellStyle name="Normal 3 5 2 7" xfId="25654"/>
    <cellStyle name="Normal 3 5 2 7 2" xfId="25655"/>
    <cellStyle name="Normal 3 5 2 7 2 2" xfId="25656"/>
    <cellStyle name="Normal 3 5 2 7 3" xfId="25657"/>
    <cellStyle name="Normal 3 5 2 7 4" xfId="25658"/>
    <cellStyle name="Normal 3 5 2 8" xfId="25659"/>
    <cellStyle name="Normal 3 5 2 8 2" xfId="25660"/>
    <cellStyle name="Normal 3 5 2 8 2 2" xfId="25661"/>
    <cellStyle name="Normal 3 5 2 8 3" xfId="25662"/>
    <cellStyle name="Normal 3 5 2 8 4" xfId="25663"/>
    <cellStyle name="Normal 3 5 2 9" xfId="25664"/>
    <cellStyle name="Normal 3 5 2 9 2" xfId="25665"/>
    <cellStyle name="Normal 3 5 3" xfId="25666"/>
    <cellStyle name="Normal 3 5 3 10" xfId="25667"/>
    <cellStyle name="Normal 3 5 3 11" xfId="36046"/>
    <cellStyle name="Normal 3 5 3 2" xfId="25668"/>
    <cellStyle name="Normal 3 5 3 2 2" xfId="25669"/>
    <cellStyle name="Normal 3 5 3 2 2 2" xfId="25670"/>
    <cellStyle name="Normal 3 5 3 2 2 2 2" xfId="25671"/>
    <cellStyle name="Normal 3 5 3 2 2 2 2 2" xfId="25672"/>
    <cellStyle name="Normal 3 5 3 2 2 2 3" xfId="25673"/>
    <cellStyle name="Normal 3 5 3 2 2 2 4" xfId="25674"/>
    <cellStyle name="Normal 3 5 3 2 2 3" xfId="25675"/>
    <cellStyle name="Normal 3 5 3 2 2 3 2" xfId="25676"/>
    <cellStyle name="Normal 3 5 3 2 2 4" xfId="25677"/>
    <cellStyle name="Normal 3 5 3 2 2 5" xfId="25678"/>
    <cellStyle name="Normal 3 5 3 2 3" xfId="25679"/>
    <cellStyle name="Normal 3 5 3 2 3 2" xfId="25680"/>
    <cellStyle name="Normal 3 5 3 2 3 2 2" xfId="25681"/>
    <cellStyle name="Normal 3 5 3 2 3 2 2 2" xfId="25682"/>
    <cellStyle name="Normal 3 5 3 2 3 2 3" xfId="25683"/>
    <cellStyle name="Normal 3 5 3 2 3 2 4" xfId="25684"/>
    <cellStyle name="Normal 3 5 3 2 3 3" xfId="25685"/>
    <cellStyle name="Normal 3 5 3 2 3 3 2" xfId="25686"/>
    <cellStyle name="Normal 3 5 3 2 3 4" xfId="25687"/>
    <cellStyle name="Normal 3 5 3 2 3 5" xfId="25688"/>
    <cellStyle name="Normal 3 5 3 2 4" xfId="25689"/>
    <cellStyle name="Normal 3 5 3 2 4 2" xfId="25690"/>
    <cellStyle name="Normal 3 5 3 2 4 2 2" xfId="25691"/>
    <cellStyle name="Normal 3 5 3 2 4 3" xfId="25692"/>
    <cellStyle name="Normal 3 5 3 2 4 4" xfId="25693"/>
    <cellStyle name="Normal 3 5 3 2 5" xfId="25694"/>
    <cellStyle name="Normal 3 5 3 2 5 2" xfId="25695"/>
    <cellStyle name="Normal 3 5 3 2 5 2 2" xfId="25696"/>
    <cellStyle name="Normal 3 5 3 2 5 3" xfId="25697"/>
    <cellStyle name="Normal 3 5 3 2 5 4" xfId="25698"/>
    <cellStyle name="Normal 3 5 3 2 6" xfId="25699"/>
    <cellStyle name="Normal 3 5 3 2 6 2" xfId="25700"/>
    <cellStyle name="Normal 3 5 3 2 6 2 2" xfId="25701"/>
    <cellStyle name="Normal 3 5 3 2 6 3" xfId="25702"/>
    <cellStyle name="Normal 3 5 3 2 6 4" xfId="25703"/>
    <cellStyle name="Normal 3 5 3 2 7" xfId="25704"/>
    <cellStyle name="Normal 3 5 3 2 7 2" xfId="25705"/>
    <cellStyle name="Normal 3 5 3 2 8" xfId="25706"/>
    <cellStyle name="Normal 3 5 3 2 9" xfId="25707"/>
    <cellStyle name="Normal 3 5 3 3" xfId="25708"/>
    <cellStyle name="Normal 3 5 3 3 2" xfId="25709"/>
    <cellStyle name="Normal 3 5 3 3 2 2" xfId="25710"/>
    <cellStyle name="Normal 3 5 3 3 2 2 2" xfId="25711"/>
    <cellStyle name="Normal 3 5 3 3 2 3" xfId="25712"/>
    <cellStyle name="Normal 3 5 3 3 2 4" xfId="25713"/>
    <cellStyle name="Normal 3 5 3 3 3" xfId="25714"/>
    <cellStyle name="Normal 3 5 3 3 3 2" xfId="25715"/>
    <cellStyle name="Normal 3 5 3 3 4" xfId="25716"/>
    <cellStyle name="Normal 3 5 3 3 5" xfId="25717"/>
    <cellStyle name="Normal 3 5 3 4" xfId="25718"/>
    <cellStyle name="Normal 3 5 3 4 2" xfId="25719"/>
    <cellStyle name="Normal 3 5 3 4 2 2" xfId="25720"/>
    <cellStyle name="Normal 3 5 3 4 2 2 2" xfId="25721"/>
    <cellStyle name="Normal 3 5 3 4 2 3" xfId="25722"/>
    <cellStyle name="Normal 3 5 3 4 2 4" xfId="25723"/>
    <cellStyle name="Normal 3 5 3 4 3" xfId="25724"/>
    <cellStyle name="Normal 3 5 3 4 3 2" xfId="25725"/>
    <cellStyle name="Normal 3 5 3 4 4" xfId="25726"/>
    <cellStyle name="Normal 3 5 3 4 5" xfId="25727"/>
    <cellStyle name="Normal 3 5 3 5" xfId="25728"/>
    <cellStyle name="Normal 3 5 3 5 2" xfId="25729"/>
    <cellStyle name="Normal 3 5 3 5 2 2" xfId="25730"/>
    <cellStyle name="Normal 3 5 3 5 3" xfId="25731"/>
    <cellStyle name="Normal 3 5 3 5 4" xfId="25732"/>
    <cellStyle name="Normal 3 5 3 6" xfId="25733"/>
    <cellStyle name="Normal 3 5 3 6 2" xfId="25734"/>
    <cellStyle name="Normal 3 5 3 6 2 2" xfId="25735"/>
    <cellStyle name="Normal 3 5 3 6 3" xfId="25736"/>
    <cellStyle name="Normal 3 5 3 6 4" xfId="25737"/>
    <cellStyle name="Normal 3 5 3 7" xfId="25738"/>
    <cellStyle name="Normal 3 5 3 7 2" xfId="25739"/>
    <cellStyle name="Normal 3 5 3 7 2 2" xfId="25740"/>
    <cellStyle name="Normal 3 5 3 7 3" xfId="25741"/>
    <cellStyle name="Normal 3 5 3 7 4" xfId="25742"/>
    <cellStyle name="Normal 3 5 3 8" xfId="25743"/>
    <cellStyle name="Normal 3 5 3 8 2" xfId="25744"/>
    <cellStyle name="Normal 3 5 3 9" xfId="25745"/>
    <cellStyle name="Normal 3 5 4" xfId="25746"/>
    <cellStyle name="Normal 3 5 4 2" xfId="25747"/>
    <cellStyle name="Normal 3 5 4 2 2" xfId="25748"/>
    <cellStyle name="Normal 3 5 4 2 2 2" xfId="25749"/>
    <cellStyle name="Normal 3 5 4 2 2 2 2" xfId="25750"/>
    <cellStyle name="Normal 3 5 4 2 2 3" xfId="25751"/>
    <cellStyle name="Normal 3 5 4 2 2 4" xfId="25752"/>
    <cellStyle name="Normal 3 5 4 2 3" xfId="25753"/>
    <cellStyle name="Normal 3 5 4 2 3 2" xfId="25754"/>
    <cellStyle name="Normal 3 5 4 2 4" xfId="25755"/>
    <cellStyle name="Normal 3 5 4 2 5" xfId="25756"/>
    <cellStyle name="Normal 3 5 4 3" xfId="25757"/>
    <cellStyle name="Normal 3 5 4 3 2" xfId="25758"/>
    <cellStyle name="Normal 3 5 4 3 2 2" xfId="25759"/>
    <cellStyle name="Normal 3 5 4 3 2 2 2" xfId="25760"/>
    <cellStyle name="Normal 3 5 4 3 2 3" xfId="25761"/>
    <cellStyle name="Normal 3 5 4 3 2 4" xfId="25762"/>
    <cellStyle name="Normal 3 5 4 3 3" xfId="25763"/>
    <cellStyle name="Normal 3 5 4 3 3 2" xfId="25764"/>
    <cellStyle name="Normal 3 5 4 3 4" xfId="25765"/>
    <cellStyle name="Normal 3 5 4 3 5" xfId="25766"/>
    <cellStyle name="Normal 3 5 4 4" xfId="25767"/>
    <cellStyle name="Normal 3 5 4 4 2" xfId="25768"/>
    <cellStyle name="Normal 3 5 4 4 2 2" xfId="25769"/>
    <cellStyle name="Normal 3 5 4 4 3" xfId="25770"/>
    <cellStyle name="Normal 3 5 4 4 4" xfId="25771"/>
    <cellStyle name="Normal 3 5 4 5" xfId="25772"/>
    <cellStyle name="Normal 3 5 4 5 2" xfId="25773"/>
    <cellStyle name="Normal 3 5 4 5 2 2" xfId="25774"/>
    <cellStyle name="Normal 3 5 4 5 3" xfId="25775"/>
    <cellStyle name="Normal 3 5 4 5 4" xfId="25776"/>
    <cellStyle name="Normal 3 5 4 6" xfId="25777"/>
    <cellStyle name="Normal 3 5 4 6 2" xfId="25778"/>
    <cellStyle name="Normal 3 5 4 6 2 2" xfId="25779"/>
    <cellStyle name="Normal 3 5 4 6 3" xfId="25780"/>
    <cellStyle name="Normal 3 5 4 6 4" xfId="25781"/>
    <cellStyle name="Normal 3 5 4 7" xfId="25782"/>
    <cellStyle name="Normal 3 5 4 7 2" xfId="25783"/>
    <cellStyle name="Normal 3 5 4 8" xfId="25784"/>
    <cellStyle name="Normal 3 5 4 9" xfId="25785"/>
    <cellStyle name="Normal 3 5 5" xfId="25786"/>
    <cellStyle name="Normal 3 5 5 2" xfId="25787"/>
    <cellStyle name="Normal 3 5 5 2 2" xfId="25788"/>
    <cellStyle name="Normal 3 5 5 2 2 2" xfId="25789"/>
    <cellStyle name="Normal 3 5 5 2 3" xfId="25790"/>
    <cellStyle name="Normal 3 5 5 2 4" xfId="25791"/>
    <cellStyle name="Normal 3 5 5 3" xfId="25792"/>
    <cellStyle name="Normal 3 5 5 3 2" xfId="25793"/>
    <cellStyle name="Normal 3 5 5 4" xfId="25794"/>
    <cellStyle name="Normal 3 5 5 5" xfId="25795"/>
    <cellStyle name="Normal 3 5 6" xfId="25796"/>
    <cellStyle name="Normal 3 5 6 2" xfId="25797"/>
    <cellStyle name="Normal 3 5 6 2 2" xfId="25798"/>
    <cellStyle name="Normal 3 5 6 2 2 2" xfId="25799"/>
    <cellStyle name="Normal 3 5 6 2 3" xfId="25800"/>
    <cellStyle name="Normal 3 5 6 2 4" xfId="25801"/>
    <cellStyle name="Normal 3 5 6 3" xfId="25802"/>
    <cellStyle name="Normal 3 5 6 3 2" xfId="25803"/>
    <cellStyle name="Normal 3 5 6 4" xfId="25804"/>
    <cellStyle name="Normal 3 5 6 5" xfId="25805"/>
    <cellStyle name="Normal 3 5 7" xfId="25806"/>
    <cellStyle name="Normal 3 5 7 2" xfId="25807"/>
    <cellStyle name="Normal 3 5 7 2 2" xfId="25808"/>
    <cellStyle name="Normal 3 5 7 3" xfId="25809"/>
    <cellStyle name="Normal 3 5 7 4" xfId="25810"/>
    <cellStyle name="Normal 3 5 8" xfId="25811"/>
    <cellStyle name="Normal 3 5 8 2" xfId="25812"/>
    <cellStyle name="Normal 3 5 8 2 2" xfId="25813"/>
    <cellStyle name="Normal 3 5 8 3" xfId="25814"/>
    <cellStyle name="Normal 3 5 8 4" xfId="25815"/>
    <cellStyle name="Normal 3 5 9" xfId="25816"/>
    <cellStyle name="Normal 3 5 9 2" xfId="25817"/>
    <cellStyle name="Normal 3 5 9 2 2" xfId="25818"/>
    <cellStyle name="Normal 3 5 9 3" xfId="25819"/>
    <cellStyle name="Normal 3 5 9 4" xfId="25820"/>
    <cellStyle name="Normal 3 6" xfId="25821"/>
    <cellStyle name="Normal 3 6 10" xfId="25822"/>
    <cellStyle name="Normal 3 6 11" xfId="25823"/>
    <cellStyle name="Normal 3 6 2" xfId="25824"/>
    <cellStyle name="Normal 3 6 2 10" xfId="25825"/>
    <cellStyle name="Normal 3 6 2 2" xfId="25826"/>
    <cellStyle name="Normal 3 6 2 2 2" xfId="25827"/>
    <cellStyle name="Normal 3 6 2 2 2 2" xfId="25828"/>
    <cellStyle name="Normal 3 6 2 2 2 2 2" xfId="25829"/>
    <cellStyle name="Normal 3 6 2 2 2 2 2 2" xfId="25830"/>
    <cellStyle name="Normal 3 6 2 2 2 2 3" xfId="25831"/>
    <cellStyle name="Normal 3 6 2 2 2 2 4" xfId="25832"/>
    <cellStyle name="Normal 3 6 2 2 2 3" xfId="25833"/>
    <cellStyle name="Normal 3 6 2 2 2 3 2" xfId="25834"/>
    <cellStyle name="Normal 3 6 2 2 2 4" xfId="25835"/>
    <cellStyle name="Normal 3 6 2 2 2 5" xfId="25836"/>
    <cellStyle name="Normal 3 6 2 2 3" xfId="25837"/>
    <cellStyle name="Normal 3 6 2 2 3 2" xfId="25838"/>
    <cellStyle name="Normal 3 6 2 2 3 2 2" xfId="25839"/>
    <cellStyle name="Normal 3 6 2 2 3 2 2 2" xfId="25840"/>
    <cellStyle name="Normal 3 6 2 2 3 2 3" xfId="25841"/>
    <cellStyle name="Normal 3 6 2 2 3 2 4" xfId="25842"/>
    <cellStyle name="Normal 3 6 2 2 3 3" xfId="25843"/>
    <cellStyle name="Normal 3 6 2 2 3 3 2" xfId="25844"/>
    <cellStyle name="Normal 3 6 2 2 3 4" xfId="25845"/>
    <cellStyle name="Normal 3 6 2 2 3 5" xfId="25846"/>
    <cellStyle name="Normal 3 6 2 2 4" xfId="25847"/>
    <cellStyle name="Normal 3 6 2 2 4 2" xfId="25848"/>
    <cellStyle name="Normal 3 6 2 2 4 2 2" xfId="25849"/>
    <cellStyle name="Normal 3 6 2 2 4 3" xfId="25850"/>
    <cellStyle name="Normal 3 6 2 2 4 4" xfId="25851"/>
    <cellStyle name="Normal 3 6 2 2 5" xfId="25852"/>
    <cellStyle name="Normal 3 6 2 2 5 2" xfId="25853"/>
    <cellStyle name="Normal 3 6 2 2 5 2 2" xfId="25854"/>
    <cellStyle name="Normal 3 6 2 2 5 3" xfId="25855"/>
    <cellStyle name="Normal 3 6 2 2 5 4" xfId="25856"/>
    <cellStyle name="Normal 3 6 2 2 6" xfId="25857"/>
    <cellStyle name="Normal 3 6 2 2 6 2" xfId="25858"/>
    <cellStyle name="Normal 3 6 2 2 6 2 2" xfId="25859"/>
    <cellStyle name="Normal 3 6 2 2 6 3" xfId="25860"/>
    <cellStyle name="Normal 3 6 2 2 6 4" xfId="25861"/>
    <cellStyle name="Normal 3 6 2 2 7" xfId="25862"/>
    <cellStyle name="Normal 3 6 2 2 7 2" xfId="25863"/>
    <cellStyle name="Normal 3 6 2 2 8" xfId="25864"/>
    <cellStyle name="Normal 3 6 2 2 9" xfId="25865"/>
    <cellStyle name="Normal 3 6 2 3" xfId="25866"/>
    <cellStyle name="Normal 3 6 2 3 2" xfId="25867"/>
    <cellStyle name="Normal 3 6 2 3 2 2" xfId="25868"/>
    <cellStyle name="Normal 3 6 2 3 2 2 2" xfId="25869"/>
    <cellStyle name="Normal 3 6 2 3 2 3" xfId="25870"/>
    <cellStyle name="Normal 3 6 2 3 2 4" xfId="25871"/>
    <cellStyle name="Normal 3 6 2 3 3" xfId="25872"/>
    <cellStyle name="Normal 3 6 2 3 3 2" xfId="25873"/>
    <cellStyle name="Normal 3 6 2 3 4" xfId="25874"/>
    <cellStyle name="Normal 3 6 2 3 5" xfId="25875"/>
    <cellStyle name="Normal 3 6 2 4" xfId="25876"/>
    <cellStyle name="Normal 3 6 2 4 2" xfId="25877"/>
    <cellStyle name="Normal 3 6 2 4 2 2" xfId="25878"/>
    <cellStyle name="Normal 3 6 2 4 2 2 2" xfId="25879"/>
    <cellStyle name="Normal 3 6 2 4 2 3" xfId="25880"/>
    <cellStyle name="Normal 3 6 2 4 2 4" xfId="25881"/>
    <cellStyle name="Normal 3 6 2 4 3" xfId="25882"/>
    <cellStyle name="Normal 3 6 2 4 3 2" xfId="25883"/>
    <cellStyle name="Normal 3 6 2 4 4" xfId="25884"/>
    <cellStyle name="Normal 3 6 2 4 5" xfId="25885"/>
    <cellStyle name="Normal 3 6 2 5" xfId="25886"/>
    <cellStyle name="Normal 3 6 2 5 2" xfId="25887"/>
    <cellStyle name="Normal 3 6 2 5 2 2" xfId="25888"/>
    <cellStyle name="Normal 3 6 2 5 3" xfId="25889"/>
    <cellStyle name="Normal 3 6 2 5 4" xfId="25890"/>
    <cellStyle name="Normal 3 6 2 6" xfId="25891"/>
    <cellStyle name="Normal 3 6 2 6 2" xfId="25892"/>
    <cellStyle name="Normal 3 6 2 6 2 2" xfId="25893"/>
    <cellStyle name="Normal 3 6 2 6 3" xfId="25894"/>
    <cellStyle name="Normal 3 6 2 6 4" xfId="25895"/>
    <cellStyle name="Normal 3 6 2 7" xfId="25896"/>
    <cellStyle name="Normal 3 6 2 7 2" xfId="25897"/>
    <cellStyle name="Normal 3 6 2 7 2 2" xfId="25898"/>
    <cellStyle name="Normal 3 6 2 7 3" xfId="25899"/>
    <cellStyle name="Normal 3 6 2 7 4" xfId="25900"/>
    <cellStyle name="Normal 3 6 2 8" xfId="25901"/>
    <cellStyle name="Normal 3 6 2 8 2" xfId="25902"/>
    <cellStyle name="Normal 3 6 2 9" xfId="25903"/>
    <cellStyle name="Normal 3 6 3" xfId="25904"/>
    <cellStyle name="Normal 3 6 3 2" xfId="25905"/>
    <cellStyle name="Normal 3 6 3 2 2" xfId="25906"/>
    <cellStyle name="Normal 3 6 3 2 2 2" xfId="25907"/>
    <cellStyle name="Normal 3 6 3 2 2 2 2" xfId="25908"/>
    <cellStyle name="Normal 3 6 3 2 2 3" xfId="25909"/>
    <cellStyle name="Normal 3 6 3 2 2 4" xfId="25910"/>
    <cellStyle name="Normal 3 6 3 2 3" xfId="25911"/>
    <cellStyle name="Normal 3 6 3 2 3 2" xfId="25912"/>
    <cellStyle name="Normal 3 6 3 2 4" xfId="25913"/>
    <cellStyle name="Normal 3 6 3 2 5" xfId="25914"/>
    <cellStyle name="Normal 3 6 3 3" xfId="25915"/>
    <cellStyle name="Normal 3 6 3 3 2" xfId="25916"/>
    <cellStyle name="Normal 3 6 3 3 2 2" xfId="25917"/>
    <cellStyle name="Normal 3 6 3 3 2 2 2" xfId="25918"/>
    <cellStyle name="Normal 3 6 3 3 2 3" xfId="25919"/>
    <cellStyle name="Normal 3 6 3 3 2 4" xfId="25920"/>
    <cellStyle name="Normal 3 6 3 3 3" xfId="25921"/>
    <cellStyle name="Normal 3 6 3 3 3 2" xfId="25922"/>
    <cellStyle name="Normal 3 6 3 3 4" xfId="25923"/>
    <cellStyle name="Normal 3 6 3 3 5" xfId="25924"/>
    <cellStyle name="Normal 3 6 3 4" xfId="25925"/>
    <cellStyle name="Normal 3 6 3 4 2" xfId="25926"/>
    <cellStyle name="Normal 3 6 3 4 2 2" xfId="25927"/>
    <cellStyle name="Normal 3 6 3 4 3" xfId="25928"/>
    <cellStyle name="Normal 3 6 3 4 4" xfId="25929"/>
    <cellStyle name="Normal 3 6 3 5" xfId="25930"/>
    <cellStyle name="Normal 3 6 3 5 2" xfId="25931"/>
    <cellStyle name="Normal 3 6 3 5 2 2" xfId="25932"/>
    <cellStyle name="Normal 3 6 3 5 3" xfId="25933"/>
    <cellStyle name="Normal 3 6 3 5 4" xfId="25934"/>
    <cellStyle name="Normal 3 6 3 6" xfId="25935"/>
    <cellStyle name="Normal 3 6 3 6 2" xfId="25936"/>
    <cellStyle name="Normal 3 6 3 6 2 2" xfId="25937"/>
    <cellStyle name="Normal 3 6 3 6 3" xfId="25938"/>
    <cellStyle name="Normal 3 6 3 6 4" xfId="25939"/>
    <cellStyle name="Normal 3 6 3 7" xfId="25940"/>
    <cellStyle name="Normal 3 6 3 7 2" xfId="25941"/>
    <cellStyle name="Normal 3 6 3 8" xfId="25942"/>
    <cellStyle name="Normal 3 6 3 9" xfId="25943"/>
    <cellStyle name="Normal 3 6 4" xfId="25944"/>
    <cellStyle name="Normal 3 6 4 2" xfId="25945"/>
    <cellStyle name="Normal 3 6 4 2 2" xfId="25946"/>
    <cellStyle name="Normal 3 6 4 2 2 2" xfId="25947"/>
    <cellStyle name="Normal 3 6 4 2 3" xfId="25948"/>
    <cellStyle name="Normal 3 6 4 2 4" xfId="25949"/>
    <cellStyle name="Normal 3 6 4 3" xfId="25950"/>
    <cellStyle name="Normal 3 6 4 3 2" xfId="25951"/>
    <cellStyle name="Normal 3 6 4 4" xfId="25952"/>
    <cellStyle name="Normal 3 6 4 5" xfId="25953"/>
    <cellStyle name="Normal 3 6 5" xfId="25954"/>
    <cellStyle name="Normal 3 6 5 2" xfId="25955"/>
    <cellStyle name="Normal 3 6 5 2 2" xfId="25956"/>
    <cellStyle name="Normal 3 6 5 2 2 2" xfId="25957"/>
    <cellStyle name="Normal 3 6 5 2 3" xfId="25958"/>
    <cellStyle name="Normal 3 6 5 2 4" xfId="25959"/>
    <cellStyle name="Normal 3 6 5 3" xfId="25960"/>
    <cellStyle name="Normal 3 6 5 3 2" xfId="25961"/>
    <cellStyle name="Normal 3 6 5 4" xfId="25962"/>
    <cellStyle name="Normal 3 6 5 5" xfId="25963"/>
    <cellStyle name="Normal 3 6 6" xfId="25964"/>
    <cellStyle name="Normal 3 6 6 2" xfId="25965"/>
    <cellStyle name="Normal 3 6 6 2 2" xfId="25966"/>
    <cellStyle name="Normal 3 6 6 3" xfId="25967"/>
    <cellStyle name="Normal 3 6 6 4" xfId="25968"/>
    <cellStyle name="Normal 3 6 7" xfId="25969"/>
    <cellStyle name="Normal 3 6 7 2" xfId="25970"/>
    <cellStyle name="Normal 3 6 7 2 2" xfId="25971"/>
    <cellStyle name="Normal 3 6 7 3" xfId="25972"/>
    <cellStyle name="Normal 3 6 7 4" xfId="25973"/>
    <cellStyle name="Normal 3 6 8" xfId="25974"/>
    <cellStyle name="Normal 3 6 8 2" xfId="25975"/>
    <cellStyle name="Normal 3 6 8 2 2" xfId="25976"/>
    <cellStyle name="Normal 3 6 8 3" xfId="25977"/>
    <cellStyle name="Normal 3 6 8 4" xfId="25978"/>
    <cellStyle name="Normal 3 6 9" xfId="25979"/>
    <cellStyle name="Normal 3 6 9 2" xfId="25980"/>
    <cellStyle name="Normal 3 7" xfId="25981"/>
    <cellStyle name="Normal 3 7 10" xfId="25982"/>
    <cellStyle name="Normal 3 7 2" xfId="25983"/>
    <cellStyle name="Normal 3 7 2 2" xfId="25984"/>
    <cellStyle name="Normal 3 7 2 2 2" xfId="25985"/>
    <cellStyle name="Normal 3 7 2 2 2 2" xfId="25986"/>
    <cellStyle name="Normal 3 7 2 2 2 2 2" xfId="25987"/>
    <cellStyle name="Normal 3 7 2 2 2 3" xfId="25988"/>
    <cellStyle name="Normal 3 7 2 2 2 4" xfId="25989"/>
    <cellStyle name="Normal 3 7 2 2 3" xfId="25990"/>
    <cellStyle name="Normal 3 7 2 2 3 2" xfId="25991"/>
    <cellStyle name="Normal 3 7 2 2 4" xfId="25992"/>
    <cellStyle name="Normal 3 7 2 2 5" xfId="25993"/>
    <cellStyle name="Normal 3 7 2 3" xfId="25994"/>
    <cellStyle name="Normal 3 7 2 3 2" xfId="25995"/>
    <cellStyle name="Normal 3 7 2 3 2 2" xfId="25996"/>
    <cellStyle name="Normal 3 7 2 3 2 2 2" xfId="25997"/>
    <cellStyle name="Normal 3 7 2 3 2 3" xfId="25998"/>
    <cellStyle name="Normal 3 7 2 3 2 4" xfId="25999"/>
    <cellStyle name="Normal 3 7 2 3 3" xfId="26000"/>
    <cellStyle name="Normal 3 7 2 3 3 2" xfId="26001"/>
    <cellStyle name="Normal 3 7 2 3 4" xfId="26002"/>
    <cellStyle name="Normal 3 7 2 3 5" xfId="26003"/>
    <cellStyle name="Normal 3 7 2 4" xfId="26004"/>
    <cellStyle name="Normal 3 7 2 4 2" xfId="26005"/>
    <cellStyle name="Normal 3 7 2 4 2 2" xfId="26006"/>
    <cellStyle name="Normal 3 7 2 4 3" xfId="26007"/>
    <cellStyle name="Normal 3 7 2 4 4" xfId="26008"/>
    <cellStyle name="Normal 3 7 2 5" xfId="26009"/>
    <cellStyle name="Normal 3 7 2 5 2" xfId="26010"/>
    <cellStyle name="Normal 3 7 2 5 2 2" xfId="26011"/>
    <cellStyle name="Normal 3 7 2 5 3" xfId="26012"/>
    <cellStyle name="Normal 3 7 2 5 4" xfId="26013"/>
    <cellStyle name="Normal 3 7 2 6" xfId="26014"/>
    <cellStyle name="Normal 3 7 2 6 2" xfId="26015"/>
    <cellStyle name="Normal 3 7 2 6 2 2" xfId="26016"/>
    <cellStyle name="Normal 3 7 2 6 3" xfId="26017"/>
    <cellStyle name="Normal 3 7 2 6 4" xfId="26018"/>
    <cellStyle name="Normal 3 7 2 7" xfId="26019"/>
    <cellStyle name="Normal 3 7 2 7 2" xfId="26020"/>
    <cellStyle name="Normal 3 7 2 8" xfId="26021"/>
    <cellStyle name="Normal 3 7 2 9" xfId="26022"/>
    <cellStyle name="Normal 3 7 3" xfId="26023"/>
    <cellStyle name="Normal 3 7 3 2" xfId="26024"/>
    <cellStyle name="Normal 3 7 3 2 2" xfId="26025"/>
    <cellStyle name="Normal 3 7 3 2 2 2" xfId="26026"/>
    <cellStyle name="Normal 3 7 3 2 3" xfId="26027"/>
    <cellStyle name="Normal 3 7 3 2 4" xfId="26028"/>
    <cellStyle name="Normal 3 7 3 3" xfId="26029"/>
    <cellStyle name="Normal 3 7 3 3 2" xfId="26030"/>
    <cellStyle name="Normal 3 7 3 4" xfId="26031"/>
    <cellStyle name="Normal 3 7 3 5" xfId="26032"/>
    <cellStyle name="Normal 3 7 4" xfId="26033"/>
    <cellStyle name="Normal 3 7 4 2" xfId="26034"/>
    <cellStyle name="Normal 3 7 4 2 2" xfId="26035"/>
    <cellStyle name="Normal 3 7 4 2 2 2" xfId="26036"/>
    <cellStyle name="Normal 3 7 4 2 3" xfId="26037"/>
    <cellStyle name="Normal 3 7 4 2 4" xfId="26038"/>
    <cellStyle name="Normal 3 7 4 3" xfId="26039"/>
    <cellStyle name="Normal 3 7 4 3 2" xfId="26040"/>
    <cellStyle name="Normal 3 7 4 4" xfId="26041"/>
    <cellStyle name="Normal 3 7 4 5" xfId="26042"/>
    <cellStyle name="Normal 3 7 5" xfId="26043"/>
    <cellStyle name="Normal 3 7 5 2" xfId="26044"/>
    <cellStyle name="Normal 3 7 5 2 2" xfId="26045"/>
    <cellStyle name="Normal 3 7 5 3" xfId="26046"/>
    <cellStyle name="Normal 3 7 5 4" xfId="26047"/>
    <cellStyle name="Normal 3 7 6" xfId="26048"/>
    <cellStyle name="Normal 3 7 6 2" xfId="26049"/>
    <cellStyle name="Normal 3 7 6 2 2" xfId="26050"/>
    <cellStyle name="Normal 3 7 6 3" xfId="26051"/>
    <cellStyle name="Normal 3 7 6 4" xfId="26052"/>
    <cellStyle name="Normal 3 7 7" xfId="26053"/>
    <cellStyle name="Normal 3 7 7 2" xfId="26054"/>
    <cellStyle name="Normal 3 7 7 2 2" xfId="26055"/>
    <cellStyle name="Normal 3 7 7 3" xfId="26056"/>
    <cellStyle name="Normal 3 7 7 4" xfId="26057"/>
    <cellStyle name="Normal 3 7 8" xfId="26058"/>
    <cellStyle name="Normal 3 7 8 2" xfId="26059"/>
    <cellStyle name="Normal 3 7 9" xfId="26060"/>
    <cellStyle name="Normal 3 8" xfId="26061"/>
    <cellStyle name="Normal 3 8 2" xfId="26062"/>
    <cellStyle name="Normal 3 8 2 2" xfId="26063"/>
    <cellStyle name="Normal 3 8 2 2 2" xfId="26064"/>
    <cellStyle name="Normal 3 8 2 2 2 2" xfId="26065"/>
    <cellStyle name="Normal 3 8 2 2 3" xfId="26066"/>
    <cellStyle name="Normal 3 8 2 2 4" xfId="26067"/>
    <cellStyle name="Normal 3 8 2 3" xfId="26068"/>
    <cellStyle name="Normal 3 8 2 3 2" xfId="26069"/>
    <cellStyle name="Normal 3 8 2 4" xfId="26070"/>
    <cellStyle name="Normal 3 8 2 5" xfId="26071"/>
    <cellStyle name="Normal 3 8 3" xfId="26072"/>
    <cellStyle name="Normal 3 8 3 2" xfId="26073"/>
    <cellStyle name="Normal 3 8 3 2 2" xfId="26074"/>
    <cellStyle name="Normal 3 8 3 2 2 2" xfId="26075"/>
    <cellStyle name="Normal 3 8 3 2 3" xfId="26076"/>
    <cellStyle name="Normal 3 8 3 2 4" xfId="26077"/>
    <cellStyle name="Normal 3 8 3 3" xfId="26078"/>
    <cellStyle name="Normal 3 8 3 3 2" xfId="26079"/>
    <cellStyle name="Normal 3 8 3 4" xfId="26080"/>
    <cellStyle name="Normal 3 8 3 5" xfId="26081"/>
    <cellStyle name="Normal 3 8 4" xfId="26082"/>
    <cellStyle name="Normal 3 8 4 2" xfId="26083"/>
    <cellStyle name="Normal 3 8 4 2 2" xfId="26084"/>
    <cellStyle name="Normal 3 8 4 3" xfId="26085"/>
    <cellStyle name="Normal 3 8 4 4" xfId="26086"/>
    <cellStyle name="Normal 3 8 5" xfId="26087"/>
    <cellStyle name="Normal 3 8 5 2" xfId="26088"/>
    <cellStyle name="Normal 3 8 5 2 2" xfId="26089"/>
    <cellStyle name="Normal 3 8 5 3" xfId="26090"/>
    <cellStyle name="Normal 3 8 5 4" xfId="26091"/>
    <cellStyle name="Normal 3 8 6" xfId="26092"/>
    <cellStyle name="Normal 3 8 6 2" xfId="26093"/>
    <cellStyle name="Normal 3 8 6 2 2" xfId="26094"/>
    <cellStyle name="Normal 3 8 6 3" xfId="26095"/>
    <cellStyle name="Normal 3 8 6 4" xfId="26096"/>
    <cellStyle name="Normal 3 8 7" xfId="26097"/>
    <cellStyle name="Normal 3 8 7 2" xfId="26098"/>
    <cellStyle name="Normal 3 8 8" xfId="26099"/>
    <cellStyle name="Normal 3 8 9" xfId="26100"/>
    <cellStyle name="Normal 3 9" xfId="26101"/>
    <cellStyle name="Normal 3 9 2" xfId="26102"/>
    <cellStyle name="Normal 3_29(d) - Gas extensions -tariffs" xfId="35843"/>
    <cellStyle name="Normal 30" xfId="26103"/>
    <cellStyle name="Normal 30 2" xfId="36047"/>
    <cellStyle name="Normal 300" xfId="26104"/>
    <cellStyle name="Normal 301" xfId="26105"/>
    <cellStyle name="Normal 302" xfId="26106"/>
    <cellStyle name="Normal 303" xfId="26107"/>
    <cellStyle name="Normal 304" xfId="26108"/>
    <cellStyle name="Normal 304 2" xfId="26109"/>
    <cellStyle name="Normal 304 2 2" xfId="26110"/>
    <cellStyle name="Normal 304 2 2 2" xfId="26111"/>
    <cellStyle name="Normal 304 2 3" xfId="26112"/>
    <cellStyle name="Normal 304 2 4" xfId="26113"/>
    <cellStyle name="Normal 304 3" xfId="26114"/>
    <cellStyle name="Normal 304 3 2" xfId="26115"/>
    <cellStyle name="Normal 304 4" xfId="26116"/>
    <cellStyle name="Normal 304 5" xfId="26117"/>
    <cellStyle name="Normal 305" xfId="26118"/>
    <cellStyle name="Normal 305 2" xfId="26119"/>
    <cellStyle name="Normal 305 2 2" xfId="26120"/>
    <cellStyle name="Normal 305 2 2 2" xfId="26121"/>
    <cellStyle name="Normal 305 2 3" xfId="26122"/>
    <cellStyle name="Normal 305 2 4" xfId="26123"/>
    <cellStyle name="Normal 305 3" xfId="26124"/>
    <cellStyle name="Normal 305 3 2" xfId="26125"/>
    <cellStyle name="Normal 305 4" xfId="26126"/>
    <cellStyle name="Normal 305 5" xfId="26127"/>
    <cellStyle name="Normal 306" xfId="26128"/>
    <cellStyle name="Normal 306 2" xfId="26129"/>
    <cellStyle name="Normal 306 2 2" xfId="26130"/>
    <cellStyle name="Normal 306 2 2 2" xfId="26131"/>
    <cellStyle name="Normal 306 2 3" xfId="26132"/>
    <cellStyle name="Normal 306 2 4" xfId="26133"/>
    <cellStyle name="Normal 306 3" xfId="26134"/>
    <cellStyle name="Normal 306 3 2" xfId="26135"/>
    <cellStyle name="Normal 306 4" xfId="26136"/>
    <cellStyle name="Normal 306 5" xfId="26137"/>
    <cellStyle name="Normal 307" xfId="26138"/>
    <cellStyle name="Normal 308" xfId="26139"/>
    <cellStyle name="Normal 309" xfId="26140"/>
    <cellStyle name="Normal 31" xfId="26141"/>
    <cellStyle name="Normal 31 2" xfId="36048"/>
    <cellStyle name="Normal 310" xfId="26142"/>
    <cellStyle name="Normal 311" xfId="26143"/>
    <cellStyle name="Normal 312" xfId="26144"/>
    <cellStyle name="Normal 313" xfId="26145"/>
    <cellStyle name="Normal 314" xfId="26146"/>
    <cellStyle name="Normal 315" xfId="26147"/>
    <cellStyle name="Normal 315 2" xfId="26148"/>
    <cellStyle name="Normal 315 2 2" xfId="26149"/>
    <cellStyle name="Normal 315 2 3" xfId="26150"/>
    <cellStyle name="Normal 315 3" xfId="26151"/>
    <cellStyle name="Normal 315 4" xfId="26152"/>
    <cellStyle name="Normal 316" xfId="26153"/>
    <cellStyle name="Normal 316 2" xfId="26154"/>
    <cellStyle name="Normal 316 2 2" xfId="26155"/>
    <cellStyle name="Normal 316 2 3" xfId="26156"/>
    <cellStyle name="Normal 316 3" xfId="26157"/>
    <cellStyle name="Normal 316 4" xfId="26158"/>
    <cellStyle name="Normal 317" xfId="26159"/>
    <cellStyle name="Normal 317 2" xfId="26160"/>
    <cellStyle name="Normal 317 2 2" xfId="26161"/>
    <cellStyle name="Normal 317 2 3" xfId="26162"/>
    <cellStyle name="Normal 317 3" xfId="26163"/>
    <cellStyle name="Normal 317 4" xfId="26164"/>
    <cellStyle name="Normal 318" xfId="26165"/>
    <cellStyle name="Normal 319" xfId="26166"/>
    <cellStyle name="Normal 32" xfId="26167"/>
    <cellStyle name="Normal 32 2" xfId="36118"/>
    <cellStyle name="Normal 32 3" xfId="35929"/>
    <cellStyle name="Normal 320" xfId="26168"/>
    <cellStyle name="Normal 321" xfId="26169"/>
    <cellStyle name="Normal 322" xfId="26170"/>
    <cellStyle name="Normal 323" xfId="26171"/>
    <cellStyle name="Normal 324" xfId="26172"/>
    <cellStyle name="Normal 325" xfId="26173"/>
    <cellStyle name="Normal 326" xfId="26174"/>
    <cellStyle name="Normal 327" xfId="26175"/>
    <cellStyle name="Normal 328" xfId="26176"/>
    <cellStyle name="Normal 328 2" xfId="26177"/>
    <cellStyle name="Normal 328 2 2" xfId="26178"/>
    <cellStyle name="Normal 328 3" xfId="26179"/>
    <cellStyle name="Normal 328 4" xfId="26180"/>
    <cellStyle name="Normal 329" xfId="26181"/>
    <cellStyle name="Normal 329 2" xfId="26182"/>
    <cellStyle name="Normal 329 2 2" xfId="26183"/>
    <cellStyle name="Normal 329 3" xfId="26184"/>
    <cellStyle name="Normal 329 4" xfId="26185"/>
    <cellStyle name="Normal 33" xfId="26186"/>
    <cellStyle name="Normal 33 2" xfId="26187"/>
    <cellStyle name="Normal 33 3" xfId="36049"/>
    <cellStyle name="Normal 330" xfId="26188"/>
    <cellStyle name="Normal 331" xfId="26189"/>
    <cellStyle name="Normal 332" xfId="26190"/>
    <cellStyle name="Normal 333" xfId="26191"/>
    <cellStyle name="Normal 334" xfId="26192"/>
    <cellStyle name="Normal 335" xfId="26193"/>
    <cellStyle name="Normal 336" xfId="26194"/>
    <cellStyle name="Normal 336 2" xfId="26195"/>
    <cellStyle name="Normal 336 2 2" xfId="26196"/>
    <cellStyle name="Normal 336 3" xfId="26197"/>
    <cellStyle name="Normal 337" xfId="26198"/>
    <cellStyle name="Normal 337 2" xfId="26199"/>
    <cellStyle name="Normal 338" xfId="26200"/>
    <cellStyle name="Normal 339" xfId="26201"/>
    <cellStyle name="Normal 34" xfId="26202"/>
    <cellStyle name="Normal 34 2" xfId="26203"/>
    <cellStyle name="Normal 34 3" xfId="36093"/>
    <cellStyle name="Normal 340" xfId="26204"/>
    <cellStyle name="Normal 341" xfId="26205"/>
    <cellStyle name="Normal 342" xfId="26206"/>
    <cellStyle name="Normal 343" xfId="26207"/>
    <cellStyle name="Normal 344" xfId="26208"/>
    <cellStyle name="Normal 345" xfId="26209"/>
    <cellStyle name="Normal 346" xfId="26210"/>
    <cellStyle name="Normal 347" xfId="26211"/>
    <cellStyle name="Normal 348" xfId="26212"/>
    <cellStyle name="Normal 349" xfId="26213"/>
    <cellStyle name="Normal 35" xfId="26214"/>
    <cellStyle name="Normal 35 2" xfId="26215"/>
    <cellStyle name="Normal 35 3" xfId="36106"/>
    <cellStyle name="Normal 350" xfId="26216"/>
    <cellStyle name="Normal 351" xfId="26217"/>
    <cellStyle name="Normal 352" xfId="26218"/>
    <cellStyle name="Normal 353" xfId="26219"/>
    <cellStyle name="Normal 354" xfId="35487"/>
    <cellStyle name="Normal 355" xfId="35763"/>
    <cellStyle name="Normal 356" xfId="36125"/>
    <cellStyle name="Normal 36" xfId="26220"/>
    <cellStyle name="Normal 36 2" xfId="26221"/>
    <cellStyle name="Normal 36 2 2" xfId="26222"/>
    <cellStyle name="Normal 36 3" xfId="26223"/>
    <cellStyle name="Normal 36 4" xfId="36107"/>
    <cellStyle name="Normal 37" xfId="26224"/>
    <cellStyle name="Normal 37 2" xfId="26225"/>
    <cellStyle name="Normal 37 2 2" xfId="26226"/>
    <cellStyle name="Normal 37 3" xfId="26227"/>
    <cellStyle name="Normal 37 4" xfId="36108"/>
    <cellStyle name="Normal 38" xfId="26228"/>
    <cellStyle name="Normal 38 2" xfId="26229"/>
    <cellStyle name="Normal 38 2 2" xfId="26230"/>
    <cellStyle name="Normal 38 3" xfId="26231"/>
    <cellStyle name="Normal 38_29(d) - Gas extensions -tariffs" xfId="35844"/>
    <cellStyle name="Normal 39" xfId="26232"/>
    <cellStyle name="Normal 39 2" xfId="26233"/>
    <cellStyle name="Normal 39 2 2" xfId="26234"/>
    <cellStyle name="Normal 39 3" xfId="26235"/>
    <cellStyle name="Normal 39 4" xfId="36121"/>
    <cellStyle name="Normal 4" xfId="30"/>
    <cellStyle name="Normal 4 10" xfId="26237"/>
    <cellStyle name="Normal 4 11" xfId="26238"/>
    <cellStyle name="Normal 4 12" xfId="35651"/>
    <cellStyle name="Normal 4 13" xfId="26236"/>
    <cellStyle name="Normal 4 14" xfId="35750"/>
    <cellStyle name="Normal 4 2" xfId="94"/>
    <cellStyle name="Normal 4 2 2" xfId="443"/>
    <cellStyle name="Normal 4 2 2 10" xfId="26240"/>
    <cellStyle name="Normal 4 2 2 10 2" xfId="26241"/>
    <cellStyle name="Normal 4 2 2 11" xfId="26242"/>
    <cellStyle name="Normal 4 2 2 12" xfId="26243"/>
    <cellStyle name="Normal 4 2 2 13" xfId="26239"/>
    <cellStyle name="Normal 4 2 2 2" xfId="26244"/>
    <cellStyle name="Normal 4 2 2 2 10" xfId="26245"/>
    <cellStyle name="Normal 4 2 2 2 11" xfId="26246"/>
    <cellStyle name="Normal 4 2 2 2 12" xfId="36050"/>
    <cellStyle name="Normal 4 2 2 2 2" xfId="26247"/>
    <cellStyle name="Normal 4 2 2 2 2 10" xfId="26248"/>
    <cellStyle name="Normal 4 2 2 2 2 11" xfId="36051"/>
    <cellStyle name="Normal 4 2 2 2 2 2" xfId="26249"/>
    <cellStyle name="Normal 4 2 2 2 2 2 2" xfId="26250"/>
    <cellStyle name="Normal 4 2 2 2 2 2 2 2" xfId="26251"/>
    <cellStyle name="Normal 4 2 2 2 2 2 2 2 2" xfId="26252"/>
    <cellStyle name="Normal 4 2 2 2 2 2 2 2 2 2" xfId="26253"/>
    <cellStyle name="Normal 4 2 2 2 2 2 2 2 3" xfId="26254"/>
    <cellStyle name="Normal 4 2 2 2 2 2 2 2 4" xfId="26255"/>
    <cellStyle name="Normal 4 2 2 2 2 2 2 3" xfId="26256"/>
    <cellStyle name="Normal 4 2 2 2 2 2 2 3 2" xfId="26257"/>
    <cellStyle name="Normal 4 2 2 2 2 2 2 4" xfId="26258"/>
    <cellStyle name="Normal 4 2 2 2 2 2 2 5" xfId="26259"/>
    <cellStyle name="Normal 4 2 2 2 2 2 3" xfId="26260"/>
    <cellStyle name="Normal 4 2 2 2 2 2 3 2" xfId="26261"/>
    <cellStyle name="Normal 4 2 2 2 2 2 3 2 2" xfId="26262"/>
    <cellStyle name="Normal 4 2 2 2 2 2 3 2 2 2" xfId="26263"/>
    <cellStyle name="Normal 4 2 2 2 2 2 3 2 3" xfId="26264"/>
    <cellStyle name="Normal 4 2 2 2 2 2 3 2 4" xfId="26265"/>
    <cellStyle name="Normal 4 2 2 2 2 2 3 3" xfId="26266"/>
    <cellStyle name="Normal 4 2 2 2 2 2 3 3 2" xfId="26267"/>
    <cellStyle name="Normal 4 2 2 2 2 2 3 4" xfId="26268"/>
    <cellStyle name="Normal 4 2 2 2 2 2 3 5" xfId="26269"/>
    <cellStyle name="Normal 4 2 2 2 2 2 4" xfId="26270"/>
    <cellStyle name="Normal 4 2 2 2 2 2 4 2" xfId="26271"/>
    <cellStyle name="Normal 4 2 2 2 2 2 4 2 2" xfId="26272"/>
    <cellStyle name="Normal 4 2 2 2 2 2 4 3" xfId="26273"/>
    <cellStyle name="Normal 4 2 2 2 2 2 4 4" xfId="26274"/>
    <cellStyle name="Normal 4 2 2 2 2 2 5" xfId="26275"/>
    <cellStyle name="Normal 4 2 2 2 2 2 5 2" xfId="26276"/>
    <cellStyle name="Normal 4 2 2 2 2 2 5 2 2" xfId="26277"/>
    <cellStyle name="Normal 4 2 2 2 2 2 5 3" xfId="26278"/>
    <cellStyle name="Normal 4 2 2 2 2 2 5 4" xfId="26279"/>
    <cellStyle name="Normal 4 2 2 2 2 2 6" xfId="26280"/>
    <cellStyle name="Normal 4 2 2 2 2 2 6 2" xfId="26281"/>
    <cellStyle name="Normal 4 2 2 2 2 2 6 2 2" xfId="26282"/>
    <cellStyle name="Normal 4 2 2 2 2 2 6 3" xfId="26283"/>
    <cellStyle name="Normal 4 2 2 2 2 2 6 4" xfId="26284"/>
    <cellStyle name="Normal 4 2 2 2 2 2 7" xfId="26285"/>
    <cellStyle name="Normal 4 2 2 2 2 2 7 2" xfId="26286"/>
    <cellStyle name="Normal 4 2 2 2 2 2 8" xfId="26287"/>
    <cellStyle name="Normal 4 2 2 2 2 2 9" xfId="26288"/>
    <cellStyle name="Normal 4 2 2 2 2 3" xfId="26289"/>
    <cellStyle name="Normal 4 2 2 2 2 3 2" xfId="26290"/>
    <cellStyle name="Normal 4 2 2 2 2 3 2 2" xfId="26291"/>
    <cellStyle name="Normal 4 2 2 2 2 3 2 2 2" xfId="26292"/>
    <cellStyle name="Normal 4 2 2 2 2 3 2 3" xfId="26293"/>
    <cellStyle name="Normal 4 2 2 2 2 3 2 4" xfId="26294"/>
    <cellStyle name="Normal 4 2 2 2 2 3 3" xfId="26295"/>
    <cellStyle name="Normal 4 2 2 2 2 3 3 2" xfId="26296"/>
    <cellStyle name="Normal 4 2 2 2 2 3 4" xfId="26297"/>
    <cellStyle name="Normal 4 2 2 2 2 3 5" xfId="26298"/>
    <cellStyle name="Normal 4 2 2 2 2 4" xfId="26299"/>
    <cellStyle name="Normal 4 2 2 2 2 4 2" xfId="26300"/>
    <cellStyle name="Normal 4 2 2 2 2 4 2 2" xfId="26301"/>
    <cellStyle name="Normal 4 2 2 2 2 4 2 2 2" xfId="26302"/>
    <cellStyle name="Normal 4 2 2 2 2 4 2 3" xfId="26303"/>
    <cellStyle name="Normal 4 2 2 2 2 4 2 4" xfId="26304"/>
    <cellStyle name="Normal 4 2 2 2 2 4 3" xfId="26305"/>
    <cellStyle name="Normal 4 2 2 2 2 4 3 2" xfId="26306"/>
    <cellStyle name="Normal 4 2 2 2 2 4 4" xfId="26307"/>
    <cellStyle name="Normal 4 2 2 2 2 4 5" xfId="26308"/>
    <cellStyle name="Normal 4 2 2 2 2 5" xfId="26309"/>
    <cellStyle name="Normal 4 2 2 2 2 5 2" xfId="26310"/>
    <cellStyle name="Normal 4 2 2 2 2 5 2 2" xfId="26311"/>
    <cellStyle name="Normal 4 2 2 2 2 5 3" xfId="26312"/>
    <cellStyle name="Normal 4 2 2 2 2 5 4" xfId="26313"/>
    <cellStyle name="Normal 4 2 2 2 2 6" xfId="26314"/>
    <cellStyle name="Normal 4 2 2 2 2 6 2" xfId="26315"/>
    <cellStyle name="Normal 4 2 2 2 2 6 2 2" xfId="26316"/>
    <cellStyle name="Normal 4 2 2 2 2 6 3" xfId="26317"/>
    <cellStyle name="Normal 4 2 2 2 2 6 4" xfId="26318"/>
    <cellStyle name="Normal 4 2 2 2 2 7" xfId="26319"/>
    <cellStyle name="Normal 4 2 2 2 2 7 2" xfId="26320"/>
    <cellStyle name="Normal 4 2 2 2 2 7 2 2" xfId="26321"/>
    <cellStyle name="Normal 4 2 2 2 2 7 3" xfId="26322"/>
    <cellStyle name="Normal 4 2 2 2 2 7 4" xfId="26323"/>
    <cellStyle name="Normal 4 2 2 2 2 8" xfId="26324"/>
    <cellStyle name="Normal 4 2 2 2 2 8 2" xfId="26325"/>
    <cellStyle name="Normal 4 2 2 2 2 9" xfId="26326"/>
    <cellStyle name="Normal 4 2 2 2 3" xfId="26327"/>
    <cellStyle name="Normal 4 2 2 2 3 10" xfId="36052"/>
    <cellStyle name="Normal 4 2 2 2 3 2" xfId="26328"/>
    <cellStyle name="Normal 4 2 2 2 3 2 2" xfId="26329"/>
    <cellStyle name="Normal 4 2 2 2 3 2 2 2" xfId="26330"/>
    <cellStyle name="Normal 4 2 2 2 3 2 2 2 2" xfId="26331"/>
    <cellStyle name="Normal 4 2 2 2 3 2 2 3" xfId="26332"/>
    <cellStyle name="Normal 4 2 2 2 3 2 2 4" xfId="26333"/>
    <cellStyle name="Normal 4 2 2 2 3 2 3" xfId="26334"/>
    <cellStyle name="Normal 4 2 2 2 3 2 3 2" xfId="26335"/>
    <cellStyle name="Normal 4 2 2 2 3 2 4" xfId="26336"/>
    <cellStyle name="Normal 4 2 2 2 3 2 5" xfId="26337"/>
    <cellStyle name="Normal 4 2 2 2 3 3" xfId="26338"/>
    <cellStyle name="Normal 4 2 2 2 3 3 2" xfId="26339"/>
    <cellStyle name="Normal 4 2 2 2 3 3 2 2" xfId="26340"/>
    <cellStyle name="Normal 4 2 2 2 3 3 2 2 2" xfId="26341"/>
    <cellStyle name="Normal 4 2 2 2 3 3 2 3" xfId="26342"/>
    <cellStyle name="Normal 4 2 2 2 3 3 2 4" xfId="26343"/>
    <cellStyle name="Normal 4 2 2 2 3 3 3" xfId="26344"/>
    <cellStyle name="Normal 4 2 2 2 3 3 3 2" xfId="26345"/>
    <cellStyle name="Normal 4 2 2 2 3 3 4" xfId="26346"/>
    <cellStyle name="Normal 4 2 2 2 3 3 5" xfId="26347"/>
    <cellStyle name="Normal 4 2 2 2 3 4" xfId="26348"/>
    <cellStyle name="Normal 4 2 2 2 3 4 2" xfId="26349"/>
    <cellStyle name="Normal 4 2 2 2 3 4 2 2" xfId="26350"/>
    <cellStyle name="Normal 4 2 2 2 3 4 3" xfId="26351"/>
    <cellStyle name="Normal 4 2 2 2 3 4 4" xfId="26352"/>
    <cellStyle name="Normal 4 2 2 2 3 5" xfId="26353"/>
    <cellStyle name="Normal 4 2 2 2 3 5 2" xfId="26354"/>
    <cellStyle name="Normal 4 2 2 2 3 5 2 2" xfId="26355"/>
    <cellStyle name="Normal 4 2 2 2 3 5 3" xfId="26356"/>
    <cellStyle name="Normal 4 2 2 2 3 5 4" xfId="26357"/>
    <cellStyle name="Normal 4 2 2 2 3 6" xfId="26358"/>
    <cellStyle name="Normal 4 2 2 2 3 6 2" xfId="26359"/>
    <cellStyle name="Normal 4 2 2 2 3 6 2 2" xfId="26360"/>
    <cellStyle name="Normal 4 2 2 2 3 6 3" xfId="26361"/>
    <cellStyle name="Normal 4 2 2 2 3 6 4" xfId="26362"/>
    <cellStyle name="Normal 4 2 2 2 3 7" xfId="26363"/>
    <cellStyle name="Normal 4 2 2 2 3 7 2" xfId="26364"/>
    <cellStyle name="Normal 4 2 2 2 3 8" xfId="26365"/>
    <cellStyle name="Normal 4 2 2 2 3 9" xfId="26366"/>
    <cellStyle name="Normal 4 2 2 2 4" xfId="26367"/>
    <cellStyle name="Normal 4 2 2 2 4 2" xfId="26368"/>
    <cellStyle name="Normal 4 2 2 2 4 2 2" xfId="26369"/>
    <cellStyle name="Normal 4 2 2 2 4 2 2 2" xfId="26370"/>
    <cellStyle name="Normal 4 2 2 2 4 2 3" xfId="26371"/>
    <cellStyle name="Normal 4 2 2 2 4 2 4" xfId="26372"/>
    <cellStyle name="Normal 4 2 2 2 4 3" xfId="26373"/>
    <cellStyle name="Normal 4 2 2 2 4 3 2" xfId="26374"/>
    <cellStyle name="Normal 4 2 2 2 4 4" xfId="26375"/>
    <cellStyle name="Normal 4 2 2 2 4 5" xfId="26376"/>
    <cellStyle name="Normal 4 2 2 2 5" xfId="26377"/>
    <cellStyle name="Normal 4 2 2 2 5 2" xfId="26378"/>
    <cellStyle name="Normal 4 2 2 2 5 2 2" xfId="26379"/>
    <cellStyle name="Normal 4 2 2 2 5 2 2 2" xfId="26380"/>
    <cellStyle name="Normal 4 2 2 2 5 2 3" xfId="26381"/>
    <cellStyle name="Normal 4 2 2 2 5 2 4" xfId="26382"/>
    <cellStyle name="Normal 4 2 2 2 5 3" xfId="26383"/>
    <cellStyle name="Normal 4 2 2 2 5 3 2" xfId="26384"/>
    <cellStyle name="Normal 4 2 2 2 5 4" xfId="26385"/>
    <cellStyle name="Normal 4 2 2 2 5 5" xfId="26386"/>
    <cellStyle name="Normal 4 2 2 2 6" xfId="26387"/>
    <cellStyle name="Normal 4 2 2 2 6 2" xfId="26388"/>
    <cellStyle name="Normal 4 2 2 2 6 2 2" xfId="26389"/>
    <cellStyle name="Normal 4 2 2 2 6 3" xfId="26390"/>
    <cellStyle name="Normal 4 2 2 2 6 4" xfId="26391"/>
    <cellStyle name="Normal 4 2 2 2 7" xfId="26392"/>
    <cellStyle name="Normal 4 2 2 2 7 2" xfId="26393"/>
    <cellStyle name="Normal 4 2 2 2 7 2 2" xfId="26394"/>
    <cellStyle name="Normal 4 2 2 2 7 3" xfId="26395"/>
    <cellStyle name="Normal 4 2 2 2 7 4" xfId="26396"/>
    <cellStyle name="Normal 4 2 2 2 8" xfId="26397"/>
    <cellStyle name="Normal 4 2 2 2 8 2" xfId="26398"/>
    <cellStyle name="Normal 4 2 2 2 8 2 2" xfId="26399"/>
    <cellStyle name="Normal 4 2 2 2 8 3" xfId="26400"/>
    <cellStyle name="Normal 4 2 2 2 8 4" xfId="26401"/>
    <cellStyle name="Normal 4 2 2 2 9" xfId="26402"/>
    <cellStyle name="Normal 4 2 2 2 9 2" xfId="26403"/>
    <cellStyle name="Normal 4 2 2 3" xfId="26404"/>
    <cellStyle name="Normal 4 2 2 3 10" xfId="26405"/>
    <cellStyle name="Normal 4 2 2 3 11" xfId="36053"/>
    <cellStyle name="Normal 4 2 2 3 2" xfId="26406"/>
    <cellStyle name="Normal 4 2 2 3 2 2" xfId="26407"/>
    <cellStyle name="Normal 4 2 2 3 2 2 2" xfId="26408"/>
    <cellStyle name="Normal 4 2 2 3 2 2 2 2" xfId="26409"/>
    <cellStyle name="Normal 4 2 2 3 2 2 2 2 2" xfId="26410"/>
    <cellStyle name="Normal 4 2 2 3 2 2 2 3" xfId="26411"/>
    <cellStyle name="Normal 4 2 2 3 2 2 2 4" xfId="26412"/>
    <cellStyle name="Normal 4 2 2 3 2 2 3" xfId="26413"/>
    <cellStyle name="Normal 4 2 2 3 2 2 3 2" xfId="26414"/>
    <cellStyle name="Normal 4 2 2 3 2 2 4" xfId="26415"/>
    <cellStyle name="Normal 4 2 2 3 2 2 5" xfId="26416"/>
    <cellStyle name="Normal 4 2 2 3 2 3" xfId="26417"/>
    <cellStyle name="Normal 4 2 2 3 2 3 2" xfId="26418"/>
    <cellStyle name="Normal 4 2 2 3 2 3 2 2" xfId="26419"/>
    <cellStyle name="Normal 4 2 2 3 2 3 2 2 2" xfId="26420"/>
    <cellStyle name="Normal 4 2 2 3 2 3 2 3" xfId="26421"/>
    <cellStyle name="Normal 4 2 2 3 2 3 2 4" xfId="26422"/>
    <cellStyle name="Normal 4 2 2 3 2 3 3" xfId="26423"/>
    <cellStyle name="Normal 4 2 2 3 2 3 3 2" xfId="26424"/>
    <cellStyle name="Normal 4 2 2 3 2 3 4" xfId="26425"/>
    <cellStyle name="Normal 4 2 2 3 2 3 5" xfId="26426"/>
    <cellStyle name="Normal 4 2 2 3 2 4" xfId="26427"/>
    <cellStyle name="Normal 4 2 2 3 2 4 2" xfId="26428"/>
    <cellStyle name="Normal 4 2 2 3 2 4 2 2" xfId="26429"/>
    <cellStyle name="Normal 4 2 2 3 2 4 3" xfId="26430"/>
    <cellStyle name="Normal 4 2 2 3 2 4 4" xfId="26431"/>
    <cellStyle name="Normal 4 2 2 3 2 5" xfId="26432"/>
    <cellStyle name="Normal 4 2 2 3 2 5 2" xfId="26433"/>
    <cellStyle name="Normal 4 2 2 3 2 5 2 2" xfId="26434"/>
    <cellStyle name="Normal 4 2 2 3 2 5 3" xfId="26435"/>
    <cellStyle name="Normal 4 2 2 3 2 5 4" xfId="26436"/>
    <cellStyle name="Normal 4 2 2 3 2 6" xfId="26437"/>
    <cellStyle name="Normal 4 2 2 3 2 6 2" xfId="26438"/>
    <cellStyle name="Normal 4 2 2 3 2 6 2 2" xfId="26439"/>
    <cellStyle name="Normal 4 2 2 3 2 6 3" xfId="26440"/>
    <cellStyle name="Normal 4 2 2 3 2 6 4" xfId="26441"/>
    <cellStyle name="Normal 4 2 2 3 2 7" xfId="26442"/>
    <cellStyle name="Normal 4 2 2 3 2 7 2" xfId="26443"/>
    <cellStyle name="Normal 4 2 2 3 2 8" xfId="26444"/>
    <cellStyle name="Normal 4 2 2 3 2 9" xfId="26445"/>
    <cellStyle name="Normal 4 2 2 3 3" xfId="26446"/>
    <cellStyle name="Normal 4 2 2 3 3 2" xfId="26447"/>
    <cellStyle name="Normal 4 2 2 3 3 2 2" xfId="26448"/>
    <cellStyle name="Normal 4 2 2 3 3 2 2 2" xfId="26449"/>
    <cellStyle name="Normal 4 2 2 3 3 2 3" xfId="26450"/>
    <cellStyle name="Normal 4 2 2 3 3 2 4" xfId="26451"/>
    <cellStyle name="Normal 4 2 2 3 3 3" xfId="26452"/>
    <cellStyle name="Normal 4 2 2 3 3 3 2" xfId="26453"/>
    <cellStyle name="Normal 4 2 2 3 3 4" xfId="26454"/>
    <cellStyle name="Normal 4 2 2 3 3 5" xfId="26455"/>
    <cellStyle name="Normal 4 2 2 3 4" xfId="26456"/>
    <cellStyle name="Normal 4 2 2 3 4 2" xfId="26457"/>
    <cellStyle name="Normal 4 2 2 3 4 2 2" xfId="26458"/>
    <cellStyle name="Normal 4 2 2 3 4 2 2 2" xfId="26459"/>
    <cellStyle name="Normal 4 2 2 3 4 2 3" xfId="26460"/>
    <cellStyle name="Normal 4 2 2 3 4 2 4" xfId="26461"/>
    <cellStyle name="Normal 4 2 2 3 4 3" xfId="26462"/>
    <cellStyle name="Normal 4 2 2 3 4 3 2" xfId="26463"/>
    <cellStyle name="Normal 4 2 2 3 4 4" xfId="26464"/>
    <cellStyle name="Normal 4 2 2 3 4 5" xfId="26465"/>
    <cellStyle name="Normal 4 2 2 3 5" xfId="26466"/>
    <cellStyle name="Normal 4 2 2 3 5 2" xfId="26467"/>
    <cellStyle name="Normal 4 2 2 3 5 2 2" xfId="26468"/>
    <cellStyle name="Normal 4 2 2 3 5 3" xfId="26469"/>
    <cellStyle name="Normal 4 2 2 3 5 4" xfId="26470"/>
    <cellStyle name="Normal 4 2 2 3 6" xfId="26471"/>
    <cellStyle name="Normal 4 2 2 3 6 2" xfId="26472"/>
    <cellStyle name="Normal 4 2 2 3 6 2 2" xfId="26473"/>
    <cellStyle name="Normal 4 2 2 3 6 3" xfId="26474"/>
    <cellStyle name="Normal 4 2 2 3 6 4" xfId="26475"/>
    <cellStyle name="Normal 4 2 2 3 7" xfId="26476"/>
    <cellStyle name="Normal 4 2 2 3 7 2" xfId="26477"/>
    <cellStyle name="Normal 4 2 2 3 7 2 2" xfId="26478"/>
    <cellStyle name="Normal 4 2 2 3 7 3" xfId="26479"/>
    <cellStyle name="Normal 4 2 2 3 7 4" xfId="26480"/>
    <cellStyle name="Normal 4 2 2 3 8" xfId="26481"/>
    <cellStyle name="Normal 4 2 2 3 8 2" xfId="26482"/>
    <cellStyle name="Normal 4 2 2 3 9" xfId="26483"/>
    <cellStyle name="Normal 4 2 2 4" xfId="26484"/>
    <cellStyle name="Normal 4 2 2 4 10" xfId="36054"/>
    <cellStyle name="Normal 4 2 2 4 2" xfId="26485"/>
    <cellStyle name="Normal 4 2 2 4 2 2" xfId="26486"/>
    <cellStyle name="Normal 4 2 2 4 2 2 2" xfId="26487"/>
    <cellStyle name="Normal 4 2 2 4 2 2 2 2" xfId="26488"/>
    <cellStyle name="Normal 4 2 2 4 2 2 3" xfId="26489"/>
    <cellStyle name="Normal 4 2 2 4 2 2 4" xfId="26490"/>
    <cellStyle name="Normal 4 2 2 4 2 3" xfId="26491"/>
    <cellStyle name="Normal 4 2 2 4 2 3 2" xfId="26492"/>
    <cellStyle name="Normal 4 2 2 4 2 4" xfId="26493"/>
    <cellStyle name="Normal 4 2 2 4 2 5" xfId="26494"/>
    <cellStyle name="Normal 4 2 2 4 3" xfId="26495"/>
    <cellStyle name="Normal 4 2 2 4 3 2" xfId="26496"/>
    <cellStyle name="Normal 4 2 2 4 3 2 2" xfId="26497"/>
    <cellStyle name="Normal 4 2 2 4 3 2 2 2" xfId="26498"/>
    <cellStyle name="Normal 4 2 2 4 3 2 3" xfId="26499"/>
    <cellStyle name="Normal 4 2 2 4 3 2 4" xfId="26500"/>
    <cellStyle name="Normal 4 2 2 4 3 3" xfId="26501"/>
    <cellStyle name="Normal 4 2 2 4 3 3 2" xfId="26502"/>
    <cellStyle name="Normal 4 2 2 4 3 4" xfId="26503"/>
    <cellStyle name="Normal 4 2 2 4 3 5" xfId="26504"/>
    <cellStyle name="Normal 4 2 2 4 4" xfId="26505"/>
    <cellStyle name="Normal 4 2 2 4 4 2" xfId="26506"/>
    <cellStyle name="Normal 4 2 2 4 4 2 2" xfId="26507"/>
    <cellStyle name="Normal 4 2 2 4 4 3" xfId="26508"/>
    <cellStyle name="Normal 4 2 2 4 4 4" xfId="26509"/>
    <cellStyle name="Normal 4 2 2 4 5" xfId="26510"/>
    <cellStyle name="Normal 4 2 2 4 5 2" xfId="26511"/>
    <cellStyle name="Normal 4 2 2 4 5 2 2" xfId="26512"/>
    <cellStyle name="Normal 4 2 2 4 5 3" xfId="26513"/>
    <cellStyle name="Normal 4 2 2 4 5 4" xfId="26514"/>
    <cellStyle name="Normal 4 2 2 4 6" xfId="26515"/>
    <cellStyle name="Normal 4 2 2 4 6 2" xfId="26516"/>
    <cellStyle name="Normal 4 2 2 4 6 2 2" xfId="26517"/>
    <cellStyle name="Normal 4 2 2 4 6 3" xfId="26518"/>
    <cellStyle name="Normal 4 2 2 4 6 4" xfId="26519"/>
    <cellStyle name="Normal 4 2 2 4 7" xfId="26520"/>
    <cellStyle name="Normal 4 2 2 4 7 2" xfId="26521"/>
    <cellStyle name="Normal 4 2 2 4 8" xfId="26522"/>
    <cellStyle name="Normal 4 2 2 4 9" xfId="26523"/>
    <cellStyle name="Normal 4 2 2 5" xfId="26524"/>
    <cellStyle name="Normal 4 2 2 5 2" xfId="26525"/>
    <cellStyle name="Normal 4 2 2 5 2 2" xfId="26526"/>
    <cellStyle name="Normal 4 2 2 5 2 2 2" xfId="26527"/>
    <cellStyle name="Normal 4 2 2 5 2 3" xfId="26528"/>
    <cellStyle name="Normal 4 2 2 5 2 4" xfId="26529"/>
    <cellStyle name="Normal 4 2 2 5 3" xfId="26530"/>
    <cellStyle name="Normal 4 2 2 5 3 2" xfId="26531"/>
    <cellStyle name="Normal 4 2 2 5 3 2 2" xfId="26532"/>
    <cellStyle name="Normal 4 2 2 5 3 3" xfId="26533"/>
    <cellStyle name="Normal 4 2 2 5 3 4" xfId="26534"/>
    <cellStyle name="Normal 4 2 2 5 4" xfId="26535"/>
    <cellStyle name="Normal 4 2 2 5 4 2" xfId="26536"/>
    <cellStyle name="Normal 4 2 2 5 5" xfId="26537"/>
    <cellStyle name="Normal 4 2 2 5 6" xfId="26538"/>
    <cellStyle name="Normal 4 2 2 6" xfId="26539"/>
    <cellStyle name="Normal 4 2 2 6 2" xfId="26540"/>
    <cellStyle name="Normal 4 2 2 6 2 2" xfId="26541"/>
    <cellStyle name="Normal 4 2 2 6 2 2 2" xfId="26542"/>
    <cellStyle name="Normal 4 2 2 6 2 3" xfId="26543"/>
    <cellStyle name="Normal 4 2 2 6 2 4" xfId="26544"/>
    <cellStyle name="Normal 4 2 2 6 3" xfId="26545"/>
    <cellStyle name="Normal 4 2 2 6 3 2" xfId="26546"/>
    <cellStyle name="Normal 4 2 2 6 4" xfId="26547"/>
    <cellStyle name="Normal 4 2 2 6 5" xfId="26548"/>
    <cellStyle name="Normal 4 2 2 7" xfId="26549"/>
    <cellStyle name="Normal 4 2 2 7 2" xfId="26550"/>
    <cellStyle name="Normal 4 2 2 7 2 2" xfId="26551"/>
    <cellStyle name="Normal 4 2 2 7 3" xfId="26552"/>
    <cellStyle name="Normal 4 2 2 7 4" xfId="26553"/>
    <cellStyle name="Normal 4 2 2 8" xfId="26554"/>
    <cellStyle name="Normal 4 2 2 8 2" xfId="26555"/>
    <cellStyle name="Normal 4 2 2 8 2 2" xfId="26556"/>
    <cellStyle name="Normal 4 2 2 8 3" xfId="26557"/>
    <cellStyle name="Normal 4 2 2 8 4" xfId="26558"/>
    <cellStyle name="Normal 4 2 2 9" xfId="26559"/>
    <cellStyle name="Normal 4 2 2 9 2" xfId="26560"/>
    <cellStyle name="Normal 4 2 2 9 2 2" xfId="26561"/>
    <cellStyle name="Normal 4 2 2 9 3" xfId="26562"/>
    <cellStyle name="Normal 4 2 2 9 4" xfId="26563"/>
    <cellStyle name="Normal 4 2 3" xfId="26564"/>
    <cellStyle name="Normal 4 2 3 10" xfId="26565"/>
    <cellStyle name="Normal 4 2 3 11" xfId="26566"/>
    <cellStyle name="Normal 4 2 3 2" xfId="26567"/>
    <cellStyle name="Normal 4 2 3 2 10" xfId="26568"/>
    <cellStyle name="Normal 4 2 3 2 11" xfId="36055"/>
    <cellStyle name="Normal 4 2 3 2 2" xfId="26569"/>
    <cellStyle name="Normal 4 2 3 2 2 10" xfId="36056"/>
    <cellStyle name="Normal 4 2 3 2 2 2" xfId="26570"/>
    <cellStyle name="Normal 4 2 3 2 2 2 2" xfId="26571"/>
    <cellStyle name="Normal 4 2 3 2 2 2 2 2" xfId="26572"/>
    <cellStyle name="Normal 4 2 3 2 2 2 2 2 2" xfId="26573"/>
    <cellStyle name="Normal 4 2 3 2 2 2 2 3" xfId="26574"/>
    <cellStyle name="Normal 4 2 3 2 2 2 2 4" xfId="26575"/>
    <cellStyle name="Normal 4 2 3 2 2 2 3" xfId="26576"/>
    <cellStyle name="Normal 4 2 3 2 2 2 3 2" xfId="26577"/>
    <cellStyle name="Normal 4 2 3 2 2 2 4" xfId="26578"/>
    <cellStyle name="Normal 4 2 3 2 2 2 5" xfId="26579"/>
    <cellStyle name="Normal 4 2 3 2 2 3" xfId="26580"/>
    <cellStyle name="Normal 4 2 3 2 2 3 2" xfId="26581"/>
    <cellStyle name="Normal 4 2 3 2 2 3 2 2" xfId="26582"/>
    <cellStyle name="Normal 4 2 3 2 2 3 2 2 2" xfId="26583"/>
    <cellStyle name="Normal 4 2 3 2 2 3 2 3" xfId="26584"/>
    <cellStyle name="Normal 4 2 3 2 2 3 2 4" xfId="26585"/>
    <cellStyle name="Normal 4 2 3 2 2 3 3" xfId="26586"/>
    <cellStyle name="Normal 4 2 3 2 2 3 3 2" xfId="26587"/>
    <cellStyle name="Normal 4 2 3 2 2 3 4" xfId="26588"/>
    <cellStyle name="Normal 4 2 3 2 2 3 5" xfId="26589"/>
    <cellStyle name="Normal 4 2 3 2 2 4" xfId="26590"/>
    <cellStyle name="Normal 4 2 3 2 2 4 2" xfId="26591"/>
    <cellStyle name="Normal 4 2 3 2 2 4 2 2" xfId="26592"/>
    <cellStyle name="Normal 4 2 3 2 2 4 3" xfId="26593"/>
    <cellStyle name="Normal 4 2 3 2 2 4 4" xfId="26594"/>
    <cellStyle name="Normal 4 2 3 2 2 5" xfId="26595"/>
    <cellStyle name="Normal 4 2 3 2 2 5 2" xfId="26596"/>
    <cellStyle name="Normal 4 2 3 2 2 5 2 2" xfId="26597"/>
    <cellStyle name="Normal 4 2 3 2 2 5 3" xfId="26598"/>
    <cellStyle name="Normal 4 2 3 2 2 5 4" xfId="26599"/>
    <cellStyle name="Normal 4 2 3 2 2 6" xfId="26600"/>
    <cellStyle name="Normal 4 2 3 2 2 6 2" xfId="26601"/>
    <cellStyle name="Normal 4 2 3 2 2 6 2 2" xfId="26602"/>
    <cellStyle name="Normal 4 2 3 2 2 6 3" xfId="26603"/>
    <cellStyle name="Normal 4 2 3 2 2 6 4" xfId="26604"/>
    <cellStyle name="Normal 4 2 3 2 2 7" xfId="26605"/>
    <cellStyle name="Normal 4 2 3 2 2 7 2" xfId="26606"/>
    <cellStyle name="Normal 4 2 3 2 2 8" xfId="26607"/>
    <cellStyle name="Normal 4 2 3 2 2 9" xfId="26608"/>
    <cellStyle name="Normal 4 2 3 2 3" xfId="26609"/>
    <cellStyle name="Normal 4 2 3 2 3 2" xfId="26610"/>
    <cellStyle name="Normal 4 2 3 2 3 2 2" xfId="26611"/>
    <cellStyle name="Normal 4 2 3 2 3 2 2 2" xfId="26612"/>
    <cellStyle name="Normal 4 2 3 2 3 2 3" xfId="26613"/>
    <cellStyle name="Normal 4 2 3 2 3 2 4" xfId="26614"/>
    <cellStyle name="Normal 4 2 3 2 3 3" xfId="26615"/>
    <cellStyle name="Normal 4 2 3 2 3 3 2" xfId="26616"/>
    <cellStyle name="Normal 4 2 3 2 3 4" xfId="26617"/>
    <cellStyle name="Normal 4 2 3 2 3 5" xfId="26618"/>
    <cellStyle name="Normal 4 2 3 2 3 6" xfId="36057"/>
    <cellStyle name="Normal 4 2 3 2 4" xfId="26619"/>
    <cellStyle name="Normal 4 2 3 2 4 2" xfId="26620"/>
    <cellStyle name="Normal 4 2 3 2 4 2 2" xfId="26621"/>
    <cellStyle name="Normal 4 2 3 2 4 2 2 2" xfId="26622"/>
    <cellStyle name="Normal 4 2 3 2 4 2 3" xfId="26623"/>
    <cellStyle name="Normal 4 2 3 2 4 2 4" xfId="26624"/>
    <cellStyle name="Normal 4 2 3 2 4 3" xfId="26625"/>
    <cellStyle name="Normal 4 2 3 2 4 3 2" xfId="26626"/>
    <cellStyle name="Normal 4 2 3 2 4 4" xfId="26627"/>
    <cellStyle name="Normal 4 2 3 2 4 5" xfId="26628"/>
    <cellStyle name="Normal 4 2 3 2 5" xfId="26629"/>
    <cellStyle name="Normal 4 2 3 2 5 2" xfId="26630"/>
    <cellStyle name="Normal 4 2 3 2 5 2 2" xfId="26631"/>
    <cellStyle name="Normal 4 2 3 2 5 3" xfId="26632"/>
    <cellStyle name="Normal 4 2 3 2 5 4" xfId="26633"/>
    <cellStyle name="Normal 4 2 3 2 6" xfId="26634"/>
    <cellStyle name="Normal 4 2 3 2 6 2" xfId="26635"/>
    <cellStyle name="Normal 4 2 3 2 6 2 2" xfId="26636"/>
    <cellStyle name="Normal 4 2 3 2 6 3" xfId="26637"/>
    <cellStyle name="Normal 4 2 3 2 6 4" xfId="26638"/>
    <cellStyle name="Normal 4 2 3 2 7" xfId="26639"/>
    <cellStyle name="Normal 4 2 3 2 7 2" xfId="26640"/>
    <cellStyle name="Normal 4 2 3 2 7 2 2" xfId="26641"/>
    <cellStyle name="Normal 4 2 3 2 7 3" xfId="26642"/>
    <cellStyle name="Normal 4 2 3 2 7 4" xfId="26643"/>
    <cellStyle name="Normal 4 2 3 2 8" xfId="26644"/>
    <cellStyle name="Normal 4 2 3 2 8 2" xfId="26645"/>
    <cellStyle name="Normal 4 2 3 2 9" xfId="26646"/>
    <cellStyle name="Normal 4 2 3 3" xfId="26647"/>
    <cellStyle name="Normal 4 2 3 3 10" xfId="36058"/>
    <cellStyle name="Normal 4 2 3 3 2" xfId="26648"/>
    <cellStyle name="Normal 4 2 3 3 2 2" xfId="26649"/>
    <cellStyle name="Normal 4 2 3 3 2 2 2" xfId="26650"/>
    <cellStyle name="Normal 4 2 3 3 2 2 2 2" xfId="26651"/>
    <cellStyle name="Normal 4 2 3 3 2 2 3" xfId="26652"/>
    <cellStyle name="Normal 4 2 3 3 2 2 4" xfId="26653"/>
    <cellStyle name="Normal 4 2 3 3 2 3" xfId="26654"/>
    <cellStyle name="Normal 4 2 3 3 2 3 2" xfId="26655"/>
    <cellStyle name="Normal 4 2 3 3 2 4" xfId="26656"/>
    <cellStyle name="Normal 4 2 3 3 2 5" xfId="26657"/>
    <cellStyle name="Normal 4 2 3 3 3" xfId="26658"/>
    <cellStyle name="Normal 4 2 3 3 3 2" xfId="26659"/>
    <cellStyle name="Normal 4 2 3 3 3 2 2" xfId="26660"/>
    <cellStyle name="Normal 4 2 3 3 3 2 2 2" xfId="26661"/>
    <cellStyle name="Normal 4 2 3 3 3 2 3" xfId="26662"/>
    <cellStyle name="Normal 4 2 3 3 3 2 4" xfId="26663"/>
    <cellStyle name="Normal 4 2 3 3 3 3" xfId="26664"/>
    <cellStyle name="Normal 4 2 3 3 3 3 2" xfId="26665"/>
    <cellStyle name="Normal 4 2 3 3 3 4" xfId="26666"/>
    <cellStyle name="Normal 4 2 3 3 3 5" xfId="26667"/>
    <cellStyle name="Normal 4 2 3 3 4" xfId="26668"/>
    <cellStyle name="Normal 4 2 3 3 4 2" xfId="26669"/>
    <cellStyle name="Normal 4 2 3 3 4 2 2" xfId="26670"/>
    <cellStyle name="Normal 4 2 3 3 4 3" xfId="26671"/>
    <cellStyle name="Normal 4 2 3 3 4 4" xfId="26672"/>
    <cellStyle name="Normal 4 2 3 3 5" xfId="26673"/>
    <cellStyle name="Normal 4 2 3 3 5 2" xfId="26674"/>
    <cellStyle name="Normal 4 2 3 3 5 2 2" xfId="26675"/>
    <cellStyle name="Normal 4 2 3 3 5 3" xfId="26676"/>
    <cellStyle name="Normal 4 2 3 3 5 4" xfId="26677"/>
    <cellStyle name="Normal 4 2 3 3 6" xfId="26678"/>
    <cellStyle name="Normal 4 2 3 3 6 2" xfId="26679"/>
    <cellStyle name="Normal 4 2 3 3 6 2 2" xfId="26680"/>
    <cellStyle name="Normal 4 2 3 3 6 3" xfId="26681"/>
    <cellStyle name="Normal 4 2 3 3 6 4" xfId="26682"/>
    <cellStyle name="Normal 4 2 3 3 7" xfId="26683"/>
    <cellStyle name="Normal 4 2 3 3 7 2" xfId="26684"/>
    <cellStyle name="Normal 4 2 3 3 8" xfId="26685"/>
    <cellStyle name="Normal 4 2 3 3 9" xfId="26686"/>
    <cellStyle name="Normal 4 2 3 4" xfId="26687"/>
    <cellStyle name="Normal 4 2 3 4 2" xfId="26688"/>
    <cellStyle name="Normal 4 2 3 4 2 2" xfId="26689"/>
    <cellStyle name="Normal 4 2 3 4 2 2 2" xfId="26690"/>
    <cellStyle name="Normal 4 2 3 4 2 3" xfId="26691"/>
    <cellStyle name="Normal 4 2 3 4 2 4" xfId="26692"/>
    <cellStyle name="Normal 4 2 3 4 3" xfId="26693"/>
    <cellStyle name="Normal 4 2 3 4 3 2" xfId="26694"/>
    <cellStyle name="Normal 4 2 3 4 3 2 2" xfId="26695"/>
    <cellStyle name="Normal 4 2 3 4 3 3" xfId="26696"/>
    <cellStyle name="Normal 4 2 3 4 3 4" xfId="26697"/>
    <cellStyle name="Normal 4 2 3 4 4" xfId="26698"/>
    <cellStyle name="Normal 4 2 3 4 4 2" xfId="26699"/>
    <cellStyle name="Normal 4 2 3 4 5" xfId="26700"/>
    <cellStyle name="Normal 4 2 3 4 6" xfId="26701"/>
    <cellStyle name="Normal 4 2 3 5" xfId="26702"/>
    <cellStyle name="Normal 4 2 3 5 2" xfId="26703"/>
    <cellStyle name="Normal 4 2 3 5 2 2" xfId="26704"/>
    <cellStyle name="Normal 4 2 3 5 2 2 2" xfId="26705"/>
    <cellStyle name="Normal 4 2 3 5 2 3" xfId="26706"/>
    <cellStyle name="Normal 4 2 3 5 2 4" xfId="26707"/>
    <cellStyle name="Normal 4 2 3 5 3" xfId="26708"/>
    <cellStyle name="Normal 4 2 3 5 3 2" xfId="26709"/>
    <cellStyle name="Normal 4 2 3 5 4" xfId="26710"/>
    <cellStyle name="Normal 4 2 3 5 5" xfId="26711"/>
    <cellStyle name="Normal 4 2 3 6" xfId="26712"/>
    <cellStyle name="Normal 4 2 3 6 2" xfId="26713"/>
    <cellStyle name="Normal 4 2 3 6 2 2" xfId="26714"/>
    <cellStyle name="Normal 4 2 3 6 3" xfId="26715"/>
    <cellStyle name="Normal 4 2 3 6 4" xfId="26716"/>
    <cellStyle name="Normal 4 2 3 7" xfId="26717"/>
    <cellStyle name="Normal 4 2 3 7 2" xfId="26718"/>
    <cellStyle name="Normal 4 2 3 7 2 2" xfId="26719"/>
    <cellStyle name="Normal 4 2 3 7 3" xfId="26720"/>
    <cellStyle name="Normal 4 2 3 7 4" xfId="26721"/>
    <cellStyle name="Normal 4 2 3 8" xfId="26722"/>
    <cellStyle name="Normal 4 2 3 8 2" xfId="26723"/>
    <cellStyle name="Normal 4 2 3 8 2 2" xfId="26724"/>
    <cellStyle name="Normal 4 2 3 8 3" xfId="26725"/>
    <cellStyle name="Normal 4 2 3 8 4" xfId="26726"/>
    <cellStyle name="Normal 4 2 3 9" xfId="26727"/>
    <cellStyle name="Normal 4 2 3 9 2" xfId="26728"/>
    <cellStyle name="Normal 4 2 4" xfId="26729"/>
    <cellStyle name="Normal 4 2 4 10" xfId="26730"/>
    <cellStyle name="Normal 4 2 4 2" xfId="26731"/>
    <cellStyle name="Normal 4 2 4 2 2" xfId="26732"/>
    <cellStyle name="Normal 4 2 4 2 2 2" xfId="26733"/>
    <cellStyle name="Normal 4 2 4 2 2 2 2" xfId="26734"/>
    <cellStyle name="Normal 4 2 4 2 2 2 2 2" xfId="26735"/>
    <cellStyle name="Normal 4 2 4 2 2 2 3" xfId="26736"/>
    <cellStyle name="Normal 4 2 4 2 2 2 4" xfId="26737"/>
    <cellStyle name="Normal 4 2 4 2 2 3" xfId="26738"/>
    <cellStyle name="Normal 4 2 4 2 2 3 2" xfId="26739"/>
    <cellStyle name="Normal 4 2 4 2 2 4" xfId="26740"/>
    <cellStyle name="Normal 4 2 4 2 2 5" xfId="26741"/>
    <cellStyle name="Normal 4 2 4 2 3" xfId="26742"/>
    <cellStyle name="Normal 4 2 4 2 3 2" xfId="26743"/>
    <cellStyle name="Normal 4 2 4 2 3 2 2" xfId="26744"/>
    <cellStyle name="Normal 4 2 4 2 3 2 2 2" xfId="26745"/>
    <cellStyle name="Normal 4 2 4 2 3 2 3" xfId="26746"/>
    <cellStyle name="Normal 4 2 4 2 3 2 4" xfId="26747"/>
    <cellStyle name="Normal 4 2 4 2 3 3" xfId="26748"/>
    <cellStyle name="Normal 4 2 4 2 3 3 2" xfId="26749"/>
    <cellStyle name="Normal 4 2 4 2 3 4" xfId="26750"/>
    <cellStyle name="Normal 4 2 4 2 3 5" xfId="26751"/>
    <cellStyle name="Normal 4 2 4 2 4" xfId="26752"/>
    <cellStyle name="Normal 4 2 4 2 4 2" xfId="26753"/>
    <cellStyle name="Normal 4 2 4 2 4 2 2" xfId="26754"/>
    <cellStyle name="Normal 4 2 4 2 4 3" xfId="26755"/>
    <cellStyle name="Normal 4 2 4 2 4 4" xfId="26756"/>
    <cellStyle name="Normal 4 2 4 2 5" xfId="26757"/>
    <cellStyle name="Normal 4 2 4 2 5 2" xfId="26758"/>
    <cellStyle name="Normal 4 2 4 2 5 2 2" xfId="26759"/>
    <cellStyle name="Normal 4 2 4 2 5 3" xfId="26760"/>
    <cellStyle name="Normal 4 2 4 2 5 4" xfId="26761"/>
    <cellStyle name="Normal 4 2 4 2 6" xfId="26762"/>
    <cellStyle name="Normal 4 2 4 2 6 2" xfId="26763"/>
    <cellStyle name="Normal 4 2 4 2 6 2 2" xfId="26764"/>
    <cellStyle name="Normal 4 2 4 2 6 3" xfId="26765"/>
    <cellStyle name="Normal 4 2 4 2 6 4" xfId="26766"/>
    <cellStyle name="Normal 4 2 4 2 7" xfId="26767"/>
    <cellStyle name="Normal 4 2 4 2 7 2" xfId="26768"/>
    <cellStyle name="Normal 4 2 4 2 8" xfId="26769"/>
    <cellStyle name="Normal 4 2 4 2 9" xfId="26770"/>
    <cellStyle name="Normal 4 2 4 3" xfId="26771"/>
    <cellStyle name="Normal 4 2 4 3 2" xfId="26772"/>
    <cellStyle name="Normal 4 2 4 3 2 2" xfId="26773"/>
    <cellStyle name="Normal 4 2 4 3 2 2 2" xfId="26774"/>
    <cellStyle name="Normal 4 2 4 3 2 3" xfId="26775"/>
    <cellStyle name="Normal 4 2 4 3 2 4" xfId="26776"/>
    <cellStyle name="Normal 4 2 4 3 3" xfId="26777"/>
    <cellStyle name="Normal 4 2 4 3 3 2" xfId="26778"/>
    <cellStyle name="Normal 4 2 4 3 4" xfId="26779"/>
    <cellStyle name="Normal 4 2 4 3 5" xfId="26780"/>
    <cellStyle name="Normal 4 2 4 4" xfId="26781"/>
    <cellStyle name="Normal 4 2 4 4 2" xfId="26782"/>
    <cellStyle name="Normal 4 2 4 4 2 2" xfId="26783"/>
    <cellStyle name="Normal 4 2 4 4 2 2 2" xfId="26784"/>
    <cellStyle name="Normal 4 2 4 4 2 3" xfId="26785"/>
    <cellStyle name="Normal 4 2 4 4 2 4" xfId="26786"/>
    <cellStyle name="Normal 4 2 4 4 3" xfId="26787"/>
    <cellStyle name="Normal 4 2 4 4 3 2" xfId="26788"/>
    <cellStyle name="Normal 4 2 4 4 4" xfId="26789"/>
    <cellStyle name="Normal 4 2 4 4 5" xfId="26790"/>
    <cellStyle name="Normal 4 2 4 5" xfId="26791"/>
    <cellStyle name="Normal 4 2 4 5 2" xfId="26792"/>
    <cellStyle name="Normal 4 2 4 5 2 2" xfId="26793"/>
    <cellStyle name="Normal 4 2 4 5 3" xfId="26794"/>
    <cellStyle name="Normal 4 2 4 5 4" xfId="26795"/>
    <cellStyle name="Normal 4 2 4 6" xfId="26796"/>
    <cellStyle name="Normal 4 2 4 6 2" xfId="26797"/>
    <cellStyle name="Normal 4 2 4 6 2 2" xfId="26798"/>
    <cellStyle name="Normal 4 2 4 6 3" xfId="26799"/>
    <cellStyle name="Normal 4 2 4 6 4" xfId="26800"/>
    <cellStyle name="Normal 4 2 4 7" xfId="26801"/>
    <cellStyle name="Normal 4 2 4 7 2" xfId="26802"/>
    <cellStyle name="Normal 4 2 4 7 2 2" xfId="26803"/>
    <cellStyle name="Normal 4 2 4 7 3" xfId="26804"/>
    <cellStyle name="Normal 4 2 4 7 4" xfId="26805"/>
    <cellStyle name="Normal 4 2 4 8" xfId="26806"/>
    <cellStyle name="Normal 4 2 4 8 2" xfId="26807"/>
    <cellStyle name="Normal 4 2 4 9" xfId="26808"/>
    <cellStyle name="Normal 4 2 5" xfId="26809"/>
    <cellStyle name="Normal 4 2 5 2" xfId="26810"/>
    <cellStyle name="Normal 4 2 5 2 2" xfId="26811"/>
    <cellStyle name="Normal 4 2 5 2 2 2" xfId="26812"/>
    <cellStyle name="Normal 4 2 5 2 2 2 2" xfId="26813"/>
    <cellStyle name="Normal 4 2 5 2 2 3" xfId="26814"/>
    <cellStyle name="Normal 4 2 5 2 2 4" xfId="26815"/>
    <cellStyle name="Normal 4 2 5 2 3" xfId="26816"/>
    <cellStyle name="Normal 4 2 5 2 3 2" xfId="26817"/>
    <cellStyle name="Normal 4 2 5 2 4" xfId="26818"/>
    <cellStyle name="Normal 4 2 5 2 5" xfId="26819"/>
    <cellStyle name="Normal 4 2 5 3" xfId="26820"/>
    <cellStyle name="Normal 4 2 5 3 2" xfId="26821"/>
    <cellStyle name="Normal 4 2 5 3 2 2" xfId="26822"/>
    <cellStyle name="Normal 4 2 5 3 2 2 2" xfId="26823"/>
    <cellStyle name="Normal 4 2 5 3 2 3" xfId="26824"/>
    <cellStyle name="Normal 4 2 5 3 2 4" xfId="26825"/>
    <cellStyle name="Normal 4 2 5 3 3" xfId="26826"/>
    <cellStyle name="Normal 4 2 5 3 3 2" xfId="26827"/>
    <cellStyle name="Normal 4 2 5 3 4" xfId="26828"/>
    <cellStyle name="Normal 4 2 5 3 5" xfId="26829"/>
    <cellStyle name="Normal 4 2 5 4" xfId="26830"/>
    <cellStyle name="Normal 4 2 5 4 2" xfId="26831"/>
    <cellStyle name="Normal 4 2 5 4 2 2" xfId="26832"/>
    <cellStyle name="Normal 4 2 5 4 3" xfId="26833"/>
    <cellStyle name="Normal 4 2 5 4 4" xfId="26834"/>
    <cellStyle name="Normal 4 2 5 5" xfId="26835"/>
    <cellStyle name="Normal 4 2 5 5 2" xfId="26836"/>
    <cellStyle name="Normal 4 2 5 5 2 2" xfId="26837"/>
    <cellStyle name="Normal 4 2 5 5 3" xfId="26838"/>
    <cellStyle name="Normal 4 2 5 5 4" xfId="26839"/>
    <cellStyle name="Normal 4 2 5 6" xfId="26840"/>
    <cellStyle name="Normal 4 2 5 6 2" xfId="26841"/>
    <cellStyle name="Normal 4 2 5 6 2 2" xfId="26842"/>
    <cellStyle name="Normal 4 2 5 6 3" xfId="26843"/>
    <cellStyle name="Normal 4 2 5 6 4" xfId="26844"/>
    <cellStyle name="Normal 4 2 5 7" xfId="26845"/>
    <cellStyle name="Normal 4 2 5 7 2" xfId="26846"/>
    <cellStyle name="Normal 4 2 5 8" xfId="26847"/>
    <cellStyle name="Normal 4 2 5 9" xfId="26848"/>
    <cellStyle name="Normal 4 2 6" xfId="26849"/>
    <cellStyle name="Normal 4 2 6 2" xfId="26850"/>
    <cellStyle name="Normal 4 2 6 2 2" xfId="26851"/>
    <cellStyle name="Normal 4 2 6 2 2 2" xfId="26852"/>
    <cellStyle name="Normal 4 2 6 2 2 2 2" xfId="26853"/>
    <cellStyle name="Normal 4 2 6 2 2 3" xfId="26854"/>
    <cellStyle name="Normal 4 2 6 2 2 4" xfId="26855"/>
    <cellStyle name="Normal 4 2 6 2 3" xfId="26856"/>
    <cellStyle name="Normal 4 2 6 2 3 2" xfId="26857"/>
    <cellStyle name="Normal 4 2 6 2 4" xfId="26858"/>
    <cellStyle name="Normal 4 2 6 2 5" xfId="26859"/>
    <cellStyle name="Normal 4 2 6 3" xfId="26860"/>
    <cellStyle name="Normal 4 2 6 3 2" xfId="26861"/>
    <cellStyle name="Normal 4 2 6 3 2 2" xfId="26862"/>
    <cellStyle name="Normal 4 2 6 3 3" xfId="26863"/>
    <cellStyle name="Normal 4 2 6 3 4" xfId="26864"/>
    <cellStyle name="Normal 4 2 6 4" xfId="26865"/>
    <cellStyle name="Normal 4 2 6 4 2" xfId="26866"/>
    <cellStyle name="Normal 4 2 6 4 2 2" xfId="26867"/>
    <cellStyle name="Normal 4 2 6 4 3" xfId="26868"/>
    <cellStyle name="Normal 4 2 6 4 4" xfId="26869"/>
    <cellStyle name="Normal 4 2 6 5" xfId="26870"/>
    <cellStyle name="Normal 4 2 6 5 2" xfId="26871"/>
    <cellStyle name="Normal 4 2 6 6" xfId="26872"/>
    <cellStyle name="Normal 4 2 6 7" xfId="26873"/>
    <cellStyle name="Normal 4 2 7" xfId="26874"/>
    <cellStyle name="Normal 4 2 7 2" xfId="26875"/>
    <cellStyle name="Normal 4 2 7 2 2" xfId="26876"/>
    <cellStyle name="Normal 4 2 7 2 2 2" xfId="26877"/>
    <cellStyle name="Normal 4 2 7 2 3" xfId="26878"/>
    <cellStyle name="Normal 4 2 7 2 4" xfId="26879"/>
    <cellStyle name="Normal 4 2 8" xfId="26880"/>
    <cellStyle name="Normal 4 2 8 2" xfId="26881"/>
    <cellStyle name="Normal 4 2 8 2 2" xfId="26882"/>
    <cellStyle name="Normal 4 2 8 2 2 2" xfId="26883"/>
    <cellStyle name="Normal 4 2 8 2 3" xfId="26884"/>
    <cellStyle name="Normal 4 2 8 2 4" xfId="26885"/>
    <cellStyle name="Normal 4 2 8 3" xfId="26886"/>
    <cellStyle name="Normal 4 2 8 4" xfId="26887"/>
    <cellStyle name="Normal 4 2 8 4 2" xfId="26888"/>
    <cellStyle name="Normal 4 2 8 5" xfId="26889"/>
    <cellStyle name="Normal 4 2 8 6" xfId="26890"/>
    <cellStyle name="Normal 4 2 9" xfId="26891"/>
    <cellStyle name="Normal 4 2 9 2" xfId="26892"/>
    <cellStyle name="Normal 4 2 9 3" xfId="26893"/>
    <cellStyle name="Normal 4 2 9 3 2" xfId="26894"/>
    <cellStyle name="Normal 4 2 9 4" xfId="26895"/>
    <cellStyle name="Normal 4 2 9 5" xfId="26896"/>
    <cellStyle name="Normal 4 3" xfId="88"/>
    <cellStyle name="Normal 4 3 2" xfId="26898"/>
    <cellStyle name="Normal 4 3 2 2" xfId="26899"/>
    <cellStyle name="Normal 4 3 2 2 2" xfId="26900"/>
    <cellStyle name="Normal 4 3 2 2 2 2" xfId="26901"/>
    <cellStyle name="Normal 4 3 2 2 3" xfId="26902"/>
    <cellStyle name="Normal 4 3 2 2 4" xfId="26903"/>
    <cellStyle name="Normal 4 3 2 3" xfId="36059"/>
    <cellStyle name="Normal 4 3 3" xfId="26904"/>
    <cellStyle name="Normal 4 3 3 2" xfId="26905"/>
    <cellStyle name="Normal 4 3 3 2 2" xfId="26906"/>
    <cellStyle name="Normal 4 3 3 2 2 2" xfId="26907"/>
    <cellStyle name="Normal 4 3 3 2 3" xfId="26908"/>
    <cellStyle name="Normal 4 3 3 2 4" xfId="26909"/>
    <cellStyle name="Normal 4 3 4" xfId="26910"/>
    <cellStyle name="Normal 4 3 4 2" xfId="26911"/>
    <cellStyle name="Normal 4 3 4 2 2" xfId="26912"/>
    <cellStyle name="Normal 4 3 4 3" xfId="26913"/>
    <cellStyle name="Normal 4 3 4 4" xfId="26914"/>
    <cellStyle name="Normal 4 3 4 5" xfId="36060"/>
    <cellStyle name="Normal 4 3 5" xfId="26915"/>
    <cellStyle name="Normal 4 3 5 2" xfId="26916"/>
    <cellStyle name="Normal 4 3 5 2 2" xfId="26917"/>
    <cellStyle name="Normal 4 3 5 3" xfId="26918"/>
    <cellStyle name="Normal 4 3 5 4" xfId="26919"/>
    <cellStyle name="Normal 4 3 6" xfId="35641"/>
    <cellStyle name="Normal 4 3 7" xfId="26897"/>
    <cellStyle name="Normal 4 4" xfId="180"/>
    <cellStyle name="Normal 4 4 10" xfId="26921"/>
    <cellStyle name="Normal 4 4 10 2" xfId="26922"/>
    <cellStyle name="Normal 4 4 11" xfId="26923"/>
    <cellStyle name="Normal 4 4 12" xfId="26924"/>
    <cellStyle name="Normal 4 4 13" xfId="26920"/>
    <cellStyle name="Normal 4 4 14" xfId="35917"/>
    <cellStyle name="Normal 4 4 2" xfId="329"/>
    <cellStyle name="Normal 4 4 2 10" xfId="26926"/>
    <cellStyle name="Normal 4 4 2 11" xfId="26927"/>
    <cellStyle name="Normal 4 4 2 12" xfId="26925"/>
    <cellStyle name="Normal 4 4 2 2" xfId="410"/>
    <cellStyle name="Normal 4 4 2 2 10" xfId="26929"/>
    <cellStyle name="Normal 4 4 2 2 11" xfId="35642"/>
    <cellStyle name="Normal 4 4 2 2 12" xfId="26928"/>
    <cellStyle name="Normal 4 4 2 2 2" xfId="26930"/>
    <cellStyle name="Normal 4 4 2 2 2 2" xfId="26931"/>
    <cellStyle name="Normal 4 4 2 2 2 2 2" xfId="26932"/>
    <cellStyle name="Normal 4 4 2 2 2 2 2 2" xfId="26933"/>
    <cellStyle name="Normal 4 4 2 2 2 2 2 2 2" xfId="26934"/>
    <cellStyle name="Normal 4 4 2 2 2 2 2 3" xfId="26935"/>
    <cellStyle name="Normal 4 4 2 2 2 2 2 4" xfId="26936"/>
    <cellStyle name="Normal 4 4 2 2 2 2 3" xfId="26937"/>
    <cellStyle name="Normal 4 4 2 2 2 2 3 2" xfId="26938"/>
    <cellStyle name="Normal 4 4 2 2 2 2 4" xfId="26939"/>
    <cellStyle name="Normal 4 4 2 2 2 2 5" xfId="26940"/>
    <cellStyle name="Normal 4 4 2 2 2 3" xfId="26941"/>
    <cellStyle name="Normal 4 4 2 2 2 3 2" xfId="26942"/>
    <cellStyle name="Normal 4 4 2 2 2 3 2 2" xfId="26943"/>
    <cellStyle name="Normal 4 4 2 2 2 3 2 2 2" xfId="26944"/>
    <cellStyle name="Normal 4 4 2 2 2 3 2 3" xfId="26945"/>
    <cellStyle name="Normal 4 4 2 2 2 3 2 4" xfId="26946"/>
    <cellStyle name="Normal 4 4 2 2 2 3 3" xfId="26947"/>
    <cellStyle name="Normal 4 4 2 2 2 3 3 2" xfId="26948"/>
    <cellStyle name="Normal 4 4 2 2 2 3 4" xfId="26949"/>
    <cellStyle name="Normal 4 4 2 2 2 3 5" xfId="26950"/>
    <cellStyle name="Normal 4 4 2 2 2 4" xfId="26951"/>
    <cellStyle name="Normal 4 4 2 2 2 4 2" xfId="26952"/>
    <cellStyle name="Normal 4 4 2 2 2 4 2 2" xfId="26953"/>
    <cellStyle name="Normal 4 4 2 2 2 4 3" xfId="26954"/>
    <cellStyle name="Normal 4 4 2 2 2 4 4" xfId="26955"/>
    <cellStyle name="Normal 4 4 2 2 2 5" xfId="26956"/>
    <cellStyle name="Normal 4 4 2 2 2 5 2" xfId="26957"/>
    <cellStyle name="Normal 4 4 2 2 2 5 2 2" xfId="26958"/>
    <cellStyle name="Normal 4 4 2 2 2 5 3" xfId="26959"/>
    <cellStyle name="Normal 4 4 2 2 2 5 4" xfId="26960"/>
    <cellStyle name="Normal 4 4 2 2 2 6" xfId="26961"/>
    <cellStyle name="Normal 4 4 2 2 2 6 2" xfId="26962"/>
    <cellStyle name="Normal 4 4 2 2 2 6 2 2" xfId="26963"/>
    <cellStyle name="Normal 4 4 2 2 2 6 3" xfId="26964"/>
    <cellStyle name="Normal 4 4 2 2 2 6 4" xfId="26965"/>
    <cellStyle name="Normal 4 4 2 2 2 7" xfId="26966"/>
    <cellStyle name="Normal 4 4 2 2 2 7 2" xfId="26967"/>
    <cellStyle name="Normal 4 4 2 2 2 8" xfId="26968"/>
    <cellStyle name="Normal 4 4 2 2 2 9" xfId="26969"/>
    <cellStyle name="Normal 4 4 2 2 3" xfId="26970"/>
    <cellStyle name="Normal 4 4 2 2 3 2" xfId="26971"/>
    <cellStyle name="Normal 4 4 2 2 3 2 2" xfId="26972"/>
    <cellStyle name="Normal 4 4 2 2 3 2 2 2" xfId="26973"/>
    <cellStyle name="Normal 4 4 2 2 3 2 3" xfId="26974"/>
    <cellStyle name="Normal 4 4 2 2 3 2 4" xfId="26975"/>
    <cellStyle name="Normal 4 4 2 2 3 3" xfId="26976"/>
    <cellStyle name="Normal 4 4 2 2 3 3 2" xfId="26977"/>
    <cellStyle name="Normal 4 4 2 2 3 4" xfId="26978"/>
    <cellStyle name="Normal 4 4 2 2 3 5" xfId="26979"/>
    <cellStyle name="Normal 4 4 2 2 4" xfId="26980"/>
    <cellStyle name="Normal 4 4 2 2 4 2" xfId="26981"/>
    <cellStyle name="Normal 4 4 2 2 4 2 2" xfId="26982"/>
    <cellStyle name="Normal 4 4 2 2 4 2 2 2" xfId="26983"/>
    <cellStyle name="Normal 4 4 2 2 4 2 3" xfId="26984"/>
    <cellStyle name="Normal 4 4 2 2 4 2 4" xfId="26985"/>
    <cellStyle name="Normal 4 4 2 2 4 3" xfId="26986"/>
    <cellStyle name="Normal 4 4 2 2 4 3 2" xfId="26987"/>
    <cellStyle name="Normal 4 4 2 2 4 4" xfId="26988"/>
    <cellStyle name="Normal 4 4 2 2 4 5" xfId="26989"/>
    <cellStyle name="Normal 4 4 2 2 5" xfId="26990"/>
    <cellStyle name="Normal 4 4 2 2 5 2" xfId="26991"/>
    <cellStyle name="Normal 4 4 2 2 5 2 2" xfId="26992"/>
    <cellStyle name="Normal 4 4 2 2 5 3" xfId="26993"/>
    <cellStyle name="Normal 4 4 2 2 5 4" xfId="26994"/>
    <cellStyle name="Normal 4 4 2 2 6" xfId="26995"/>
    <cellStyle name="Normal 4 4 2 2 6 2" xfId="26996"/>
    <cellStyle name="Normal 4 4 2 2 6 2 2" xfId="26997"/>
    <cellStyle name="Normal 4 4 2 2 6 3" xfId="26998"/>
    <cellStyle name="Normal 4 4 2 2 6 4" xfId="26999"/>
    <cellStyle name="Normal 4 4 2 2 7" xfId="27000"/>
    <cellStyle name="Normal 4 4 2 2 7 2" xfId="27001"/>
    <cellStyle name="Normal 4 4 2 2 7 2 2" xfId="27002"/>
    <cellStyle name="Normal 4 4 2 2 7 3" xfId="27003"/>
    <cellStyle name="Normal 4 4 2 2 7 4" xfId="27004"/>
    <cellStyle name="Normal 4 4 2 2 8" xfId="27005"/>
    <cellStyle name="Normal 4 4 2 2 8 2" xfId="27006"/>
    <cellStyle name="Normal 4 4 2 2 9" xfId="27007"/>
    <cellStyle name="Normal 4 4 2 3" xfId="27008"/>
    <cellStyle name="Normal 4 4 2 3 2" xfId="27009"/>
    <cellStyle name="Normal 4 4 2 3 2 2" xfId="27010"/>
    <cellStyle name="Normal 4 4 2 3 2 2 2" xfId="27011"/>
    <cellStyle name="Normal 4 4 2 3 2 2 2 2" xfId="27012"/>
    <cellStyle name="Normal 4 4 2 3 2 2 3" xfId="27013"/>
    <cellStyle name="Normal 4 4 2 3 2 2 4" xfId="27014"/>
    <cellStyle name="Normal 4 4 2 3 2 3" xfId="27015"/>
    <cellStyle name="Normal 4 4 2 3 2 3 2" xfId="27016"/>
    <cellStyle name="Normal 4 4 2 3 2 4" xfId="27017"/>
    <cellStyle name="Normal 4 4 2 3 2 5" xfId="27018"/>
    <cellStyle name="Normal 4 4 2 3 3" xfId="27019"/>
    <cellStyle name="Normal 4 4 2 3 3 2" xfId="27020"/>
    <cellStyle name="Normal 4 4 2 3 3 2 2" xfId="27021"/>
    <cellStyle name="Normal 4 4 2 3 3 2 2 2" xfId="27022"/>
    <cellStyle name="Normal 4 4 2 3 3 2 3" xfId="27023"/>
    <cellStyle name="Normal 4 4 2 3 3 2 4" xfId="27024"/>
    <cellStyle name="Normal 4 4 2 3 3 3" xfId="27025"/>
    <cellStyle name="Normal 4 4 2 3 3 3 2" xfId="27026"/>
    <cellStyle name="Normal 4 4 2 3 3 4" xfId="27027"/>
    <cellStyle name="Normal 4 4 2 3 3 5" xfId="27028"/>
    <cellStyle name="Normal 4 4 2 3 4" xfId="27029"/>
    <cellStyle name="Normal 4 4 2 3 4 2" xfId="27030"/>
    <cellStyle name="Normal 4 4 2 3 4 2 2" xfId="27031"/>
    <cellStyle name="Normal 4 4 2 3 4 3" xfId="27032"/>
    <cellStyle name="Normal 4 4 2 3 4 4" xfId="27033"/>
    <cellStyle name="Normal 4 4 2 3 5" xfId="27034"/>
    <cellStyle name="Normal 4 4 2 3 5 2" xfId="27035"/>
    <cellStyle name="Normal 4 4 2 3 5 2 2" xfId="27036"/>
    <cellStyle name="Normal 4 4 2 3 5 3" xfId="27037"/>
    <cellStyle name="Normal 4 4 2 3 5 4" xfId="27038"/>
    <cellStyle name="Normal 4 4 2 3 6" xfId="27039"/>
    <cellStyle name="Normal 4 4 2 3 6 2" xfId="27040"/>
    <cellStyle name="Normal 4 4 2 3 6 2 2" xfId="27041"/>
    <cellStyle name="Normal 4 4 2 3 6 3" xfId="27042"/>
    <cellStyle name="Normal 4 4 2 3 6 4" xfId="27043"/>
    <cellStyle name="Normal 4 4 2 3 7" xfId="27044"/>
    <cellStyle name="Normal 4 4 2 3 7 2" xfId="27045"/>
    <cellStyle name="Normal 4 4 2 3 8" xfId="27046"/>
    <cellStyle name="Normal 4 4 2 3 9" xfId="27047"/>
    <cellStyle name="Normal 4 4 2 4" xfId="27048"/>
    <cellStyle name="Normal 4 4 2 4 2" xfId="27049"/>
    <cellStyle name="Normal 4 4 2 4 2 2" xfId="27050"/>
    <cellStyle name="Normal 4 4 2 4 2 2 2" xfId="27051"/>
    <cellStyle name="Normal 4 4 2 4 2 3" xfId="27052"/>
    <cellStyle name="Normal 4 4 2 4 2 4" xfId="27053"/>
    <cellStyle name="Normal 4 4 2 4 3" xfId="27054"/>
    <cellStyle name="Normal 4 4 2 4 3 2" xfId="27055"/>
    <cellStyle name="Normal 4 4 2 4 3 2 2" xfId="27056"/>
    <cellStyle name="Normal 4 4 2 4 3 3" xfId="27057"/>
    <cellStyle name="Normal 4 4 2 4 3 4" xfId="27058"/>
    <cellStyle name="Normal 4 4 2 4 4" xfId="27059"/>
    <cellStyle name="Normal 4 4 2 4 4 2" xfId="27060"/>
    <cellStyle name="Normal 4 4 2 4 5" xfId="27061"/>
    <cellStyle name="Normal 4 4 2 4 6" xfId="27062"/>
    <cellStyle name="Normal 4 4 2 5" xfId="27063"/>
    <cellStyle name="Normal 4 4 2 5 2" xfId="27064"/>
    <cellStyle name="Normal 4 4 2 5 2 2" xfId="27065"/>
    <cellStyle name="Normal 4 4 2 5 2 2 2" xfId="27066"/>
    <cellStyle name="Normal 4 4 2 5 2 3" xfId="27067"/>
    <cellStyle name="Normal 4 4 2 5 2 4" xfId="27068"/>
    <cellStyle name="Normal 4 4 2 5 3" xfId="27069"/>
    <cellStyle name="Normal 4 4 2 5 3 2" xfId="27070"/>
    <cellStyle name="Normal 4 4 2 5 4" xfId="27071"/>
    <cellStyle name="Normal 4 4 2 5 5" xfId="27072"/>
    <cellStyle name="Normal 4 4 2 6" xfId="27073"/>
    <cellStyle name="Normal 4 4 2 6 2" xfId="27074"/>
    <cellStyle name="Normal 4 4 2 6 2 2" xfId="27075"/>
    <cellStyle name="Normal 4 4 2 6 3" xfId="27076"/>
    <cellStyle name="Normal 4 4 2 6 4" xfId="27077"/>
    <cellStyle name="Normal 4 4 2 7" xfId="27078"/>
    <cellStyle name="Normal 4 4 2 7 2" xfId="27079"/>
    <cellStyle name="Normal 4 4 2 7 2 2" xfId="27080"/>
    <cellStyle name="Normal 4 4 2 7 3" xfId="27081"/>
    <cellStyle name="Normal 4 4 2 7 4" xfId="27082"/>
    <cellStyle name="Normal 4 4 2 8" xfId="27083"/>
    <cellStyle name="Normal 4 4 2 8 2" xfId="27084"/>
    <cellStyle name="Normal 4 4 2 8 2 2" xfId="27085"/>
    <cellStyle name="Normal 4 4 2 8 3" xfId="27086"/>
    <cellStyle name="Normal 4 4 2 8 4" xfId="27087"/>
    <cellStyle name="Normal 4 4 2 9" xfId="27088"/>
    <cellStyle name="Normal 4 4 2 9 2" xfId="27089"/>
    <cellStyle name="Normal 4 4 3" xfId="350"/>
    <cellStyle name="Normal 4 4 3 10" xfId="27091"/>
    <cellStyle name="Normal 4 4 3 11" xfId="27090"/>
    <cellStyle name="Normal 4 4 3 2" xfId="431"/>
    <cellStyle name="Normal 4 4 3 2 10" xfId="35643"/>
    <cellStyle name="Normal 4 4 3 2 11" xfId="27092"/>
    <cellStyle name="Normal 4 4 3 2 2" xfId="27093"/>
    <cellStyle name="Normal 4 4 3 2 2 2" xfId="27094"/>
    <cellStyle name="Normal 4 4 3 2 2 2 2" xfId="27095"/>
    <cellStyle name="Normal 4 4 3 2 2 2 2 2" xfId="27096"/>
    <cellStyle name="Normal 4 4 3 2 2 2 3" xfId="27097"/>
    <cellStyle name="Normal 4 4 3 2 2 2 4" xfId="27098"/>
    <cellStyle name="Normal 4 4 3 2 2 3" xfId="27099"/>
    <cellStyle name="Normal 4 4 3 2 2 3 2" xfId="27100"/>
    <cellStyle name="Normal 4 4 3 2 2 4" xfId="27101"/>
    <cellStyle name="Normal 4 4 3 2 2 5" xfId="27102"/>
    <cellStyle name="Normal 4 4 3 2 3" xfId="27103"/>
    <cellStyle name="Normal 4 4 3 2 3 2" xfId="27104"/>
    <cellStyle name="Normal 4 4 3 2 3 2 2" xfId="27105"/>
    <cellStyle name="Normal 4 4 3 2 3 2 2 2" xfId="27106"/>
    <cellStyle name="Normal 4 4 3 2 3 2 3" xfId="27107"/>
    <cellStyle name="Normal 4 4 3 2 3 2 4" xfId="27108"/>
    <cellStyle name="Normal 4 4 3 2 3 3" xfId="27109"/>
    <cellStyle name="Normal 4 4 3 2 3 3 2" xfId="27110"/>
    <cellStyle name="Normal 4 4 3 2 3 4" xfId="27111"/>
    <cellStyle name="Normal 4 4 3 2 3 5" xfId="27112"/>
    <cellStyle name="Normal 4 4 3 2 4" xfId="27113"/>
    <cellStyle name="Normal 4 4 3 2 4 2" xfId="27114"/>
    <cellStyle name="Normal 4 4 3 2 4 2 2" xfId="27115"/>
    <cellStyle name="Normal 4 4 3 2 4 3" xfId="27116"/>
    <cellStyle name="Normal 4 4 3 2 4 4" xfId="27117"/>
    <cellStyle name="Normal 4 4 3 2 5" xfId="27118"/>
    <cellStyle name="Normal 4 4 3 2 5 2" xfId="27119"/>
    <cellStyle name="Normal 4 4 3 2 5 2 2" xfId="27120"/>
    <cellStyle name="Normal 4 4 3 2 5 3" xfId="27121"/>
    <cellStyle name="Normal 4 4 3 2 5 4" xfId="27122"/>
    <cellStyle name="Normal 4 4 3 2 6" xfId="27123"/>
    <cellStyle name="Normal 4 4 3 2 6 2" xfId="27124"/>
    <cellStyle name="Normal 4 4 3 2 6 2 2" xfId="27125"/>
    <cellStyle name="Normal 4 4 3 2 6 3" xfId="27126"/>
    <cellStyle name="Normal 4 4 3 2 6 4" xfId="27127"/>
    <cellStyle name="Normal 4 4 3 2 7" xfId="27128"/>
    <cellStyle name="Normal 4 4 3 2 7 2" xfId="27129"/>
    <cellStyle name="Normal 4 4 3 2 8" xfId="27130"/>
    <cellStyle name="Normal 4 4 3 2 9" xfId="27131"/>
    <cellStyle name="Normal 4 4 3 3" xfId="27132"/>
    <cellStyle name="Normal 4 4 3 3 2" xfId="27133"/>
    <cellStyle name="Normal 4 4 3 3 2 2" xfId="27134"/>
    <cellStyle name="Normal 4 4 3 3 2 2 2" xfId="27135"/>
    <cellStyle name="Normal 4 4 3 3 2 3" xfId="27136"/>
    <cellStyle name="Normal 4 4 3 3 2 4" xfId="27137"/>
    <cellStyle name="Normal 4 4 3 3 3" xfId="27138"/>
    <cellStyle name="Normal 4 4 3 3 3 2" xfId="27139"/>
    <cellStyle name="Normal 4 4 3 3 3 2 2" xfId="27140"/>
    <cellStyle name="Normal 4 4 3 3 3 3" xfId="27141"/>
    <cellStyle name="Normal 4 4 3 3 3 4" xfId="27142"/>
    <cellStyle name="Normal 4 4 3 3 4" xfId="27143"/>
    <cellStyle name="Normal 4 4 3 3 4 2" xfId="27144"/>
    <cellStyle name="Normal 4 4 3 3 5" xfId="27145"/>
    <cellStyle name="Normal 4 4 3 3 6" xfId="27146"/>
    <cellStyle name="Normal 4 4 3 4" xfId="27147"/>
    <cellStyle name="Normal 4 4 3 4 2" xfId="27148"/>
    <cellStyle name="Normal 4 4 3 4 2 2" xfId="27149"/>
    <cellStyle name="Normal 4 4 3 4 2 2 2" xfId="27150"/>
    <cellStyle name="Normal 4 4 3 4 2 3" xfId="27151"/>
    <cellStyle name="Normal 4 4 3 4 2 4" xfId="27152"/>
    <cellStyle name="Normal 4 4 3 4 3" xfId="27153"/>
    <cellStyle name="Normal 4 4 3 4 3 2" xfId="27154"/>
    <cellStyle name="Normal 4 4 3 4 4" xfId="27155"/>
    <cellStyle name="Normal 4 4 3 4 5" xfId="27156"/>
    <cellStyle name="Normal 4 4 3 5" xfId="27157"/>
    <cellStyle name="Normal 4 4 3 5 2" xfId="27158"/>
    <cellStyle name="Normal 4 4 3 5 2 2" xfId="27159"/>
    <cellStyle name="Normal 4 4 3 5 3" xfId="27160"/>
    <cellStyle name="Normal 4 4 3 5 4" xfId="27161"/>
    <cellStyle name="Normal 4 4 3 6" xfId="27162"/>
    <cellStyle name="Normal 4 4 3 6 2" xfId="27163"/>
    <cellStyle name="Normal 4 4 3 6 2 2" xfId="27164"/>
    <cellStyle name="Normal 4 4 3 6 3" xfId="27165"/>
    <cellStyle name="Normal 4 4 3 6 4" xfId="27166"/>
    <cellStyle name="Normal 4 4 3 7" xfId="27167"/>
    <cellStyle name="Normal 4 4 3 7 2" xfId="27168"/>
    <cellStyle name="Normal 4 4 3 7 2 2" xfId="27169"/>
    <cellStyle name="Normal 4 4 3 7 3" xfId="27170"/>
    <cellStyle name="Normal 4 4 3 7 4" xfId="27171"/>
    <cellStyle name="Normal 4 4 3 8" xfId="27172"/>
    <cellStyle name="Normal 4 4 3 8 2" xfId="27173"/>
    <cellStyle name="Normal 4 4 3 9" xfId="27174"/>
    <cellStyle name="Normal 4 4 4" xfId="373"/>
    <cellStyle name="Normal 4 4 4 10" xfId="35644"/>
    <cellStyle name="Normal 4 4 4 11" xfId="27175"/>
    <cellStyle name="Normal 4 4 4 2" xfId="27176"/>
    <cellStyle name="Normal 4 4 4 2 2" xfId="27177"/>
    <cellStyle name="Normal 4 4 4 2 2 2" xfId="27178"/>
    <cellStyle name="Normal 4 4 4 2 2 2 2" xfId="27179"/>
    <cellStyle name="Normal 4 4 4 2 2 3" xfId="27180"/>
    <cellStyle name="Normal 4 4 4 2 2 4" xfId="27181"/>
    <cellStyle name="Normal 4 4 4 2 3" xfId="27182"/>
    <cellStyle name="Normal 4 4 4 2 3 2" xfId="27183"/>
    <cellStyle name="Normal 4 4 4 2 4" xfId="27184"/>
    <cellStyle name="Normal 4 4 4 2 5" xfId="27185"/>
    <cellStyle name="Normal 4 4 4 3" xfId="27186"/>
    <cellStyle name="Normal 4 4 4 3 2" xfId="27187"/>
    <cellStyle name="Normal 4 4 4 3 2 2" xfId="27188"/>
    <cellStyle name="Normal 4 4 4 3 2 2 2" xfId="27189"/>
    <cellStyle name="Normal 4 4 4 3 2 3" xfId="27190"/>
    <cellStyle name="Normal 4 4 4 3 2 4" xfId="27191"/>
    <cellStyle name="Normal 4 4 4 3 3" xfId="27192"/>
    <cellStyle name="Normal 4 4 4 3 3 2" xfId="27193"/>
    <cellStyle name="Normal 4 4 4 3 4" xfId="27194"/>
    <cellStyle name="Normal 4 4 4 3 5" xfId="27195"/>
    <cellStyle name="Normal 4 4 4 4" xfId="27196"/>
    <cellStyle name="Normal 4 4 4 4 2" xfId="27197"/>
    <cellStyle name="Normal 4 4 4 4 2 2" xfId="27198"/>
    <cellStyle name="Normal 4 4 4 4 3" xfId="27199"/>
    <cellStyle name="Normal 4 4 4 4 4" xfId="27200"/>
    <cellStyle name="Normal 4 4 4 5" xfId="27201"/>
    <cellStyle name="Normal 4 4 4 5 2" xfId="27202"/>
    <cellStyle name="Normal 4 4 4 5 2 2" xfId="27203"/>
    <cellStyle name="Normal 4 4 4 5 3" xfId="27204"/>
    <cellStyle name="Normal 4 4 4 5 4" xfId="27205"/>
    <cellStyle name="Normal 4 4 4 6" xfId="27206"/>
    <cellStyle name="Normal 4 4 4 6 2" xfId="27207"/>
    <cellStyle name="Normal 4 4 4 6 2 2" xfId="27208"/>
    <cellStyle name="Normal 4 4 4 6 3" xfId="27209"/>
    <cellStyle name="Normal 4 4 4 6 4" xfId="27210"/>
    <cellStyle name="Normal 4 4 4 7" xfId="27211"/>
    <cellStyle name="Normal 4 4 4 7 2" xfId="27212"/>
    <cellStyle name="Normal 4 4 4 8" xfId="27213"/>
    <cellStyle name="Normal 4 4 4 9" xfId="27214"/>
    <cellStyle name="Normal 4 4 5" xfId="27215"/>
    <cellStyle name="Normal 4 4 5 2" xfId="27216"/>
    <cellStyle name="Normal 4 4 5 2 2" xfId="27217"/>
    <cellStyle name="Normal 4 4 5 2 2 2" xfId="27218"/>
    <cellStyle name="Normal 4 4 5 2 3" xfId="27219"/>
    <cellStyle name="Normal 4 4 5 2 4" xfId="27220"/>
    <cellStyle name="Normal 4 4 5 3" xfId="27221"/>
    <cellStyle name="Normal 4 4 5 3 2" xfId="27222"/>
    <cellStyle name="Normal 4 4 5 3 2 2" xfId="27223"/>
    <cellStyle name="Normal 4 4 5 3 3" xfId="27224"/>
    <cellStyle name="Normal 4 4 5 3 4" xfId="27225"/>
    <cellStyle name="Normal 4 4 5 4" xfId="27226"/>
    <cellStyle name="Normal 4 4 5 4 2" xfId="27227"/>
    <cellStyle name="Normal 4 4 5 5" xfId="27228"/>
    <cellStyle name="Normal 4 4 5 6" xfId="27229"/>
    <cellStyle name="Normal 4 4 6" xfId="27230"/>
    <cellStyle name="Normal 4 4 6 2" xfId="27231"/>
    <cellStyle name="Normal 4 4 6 2 2" xfId="27232"/>
    <cellStyle name="Normal 4 4 6 2 2 2" xfId="27233"/>
    <cellStyle name="Normal 4 4 6 2 3" xfId="27234"/>
    <cellStyle name="Normal 4 4 6 2 4" xfId="27235"/>
    <cellStyle name="Normal 4 4 6 3" xfId="27236"/>
    <cellStyle name="Normal 4 4 6 3 2" xfId="27237"/>
    <cellStyle name="Normal 4 4 6 4" xfId="27238"/>
    <cellStyle name="Normal 4 4 6 5" xfId="27239"/>
    <cellStyle name="Normal 4 4 7" xfId="27240"/>
    <cellStyle name="Normal 4 4 7 2" xfId="27241"/>
    <cellStyle name="Normal 4 4 7 2 2" xfId="27242"/>
    <cellStyle name="Normal 4 4 7 3" xfId="27243"/>
    <cellStyle name="Normal 4 4 7 4" xfId="27244"/>
    <cellStyle name="Normal 4 4 8" xfId="27245"/>
    <cellStyle name="Normal 4 4 8 2" xfId="27246"/>
    <cellStyle name="Normal 4 4 8 2 2" xfId="27247"/>
    <cellStyle name="Normal 4 4 8 3" xfId="27248"/>
    <cellStyle name="Normal 4 4 8 4" xfId="27249"/>
    <cellStyle name="Normal 4 4 9" xfId="27250"/>
    <cellStyle name="Normal 4 4 9 2" xfId="27251"/>
    <cellStyle name="Normal 4 4 9 2 2" xfId="27252"/>
    <cellStyle name="Normal 4 4 9 3" xfId="27253"/>
    <cellStyle name="Normal 4 4 9 4" xfId="27254"/>
    <cellStyle name="Normal 4 5" xfId="27255"/>
    <cellStyle name="Normal 4 5 10" xfId="27256"/>
    <cellStyle name="Normal 4 5 10 2" xfId="27257"/>
    <cellStyle name="Normal 4 5 11" xfId="27258"/>
    <cellStyle name="Normal 4 5 12" xfId="27259"/>
    <cellStyle name="Normal 4 5 13" xfId="36061"/>
    <cellStyle name="Normal 4 5 2" xfId="27260"/>
    <cellStyle name="Normal 4 5 2 10" xfId="27261"/>
    <cellStyle name="Normal 4 5 2 11" xfId="27262"/>
    <cellStyle name="Normal 4 5 2 2" xfId="27263"/>
    <cellStyle name="Normal 4 5 2 2 10" xfId="27264"/>
    <cellStyle name="Normal 4 5 2 2 2" xfId="27265"/>
    <cellStyle name="Normal 4 5 2 2 2 2" xfId="27266"/>
    <cellStyle name="Normal 4 5 2 2 2 2 2" xfId="27267"/>
    <cellStyle name="Normal 4 5 2 2 2 2 2 2" xfId="27268"/>
    <cellStyle name="Normal 4 5 2 2 2 2 2 2 2" xfId="27269"/>
    <cellStyle name="Normal 4 5 2 2 2 2 2 3" xfId="27270"/>
    <cellStyle name="Normal 4 5 2 2 2 2 2 4" xfId="27271"/>
    <cellStyle name="Normal 4 5 2 2 2 2 3" xfId="27272"/>
    <cellStyle name="Normal 4 5 2 2 2 2 3 2" xfId="27273"/>
    <cellStyle name="Normal 4 5 2 2 2 2 4" xfId="27274"/>
    <cellStyle name="Normal 4 5 2 2 2 2 5" xfId="27275"/>
    <cellStyle name="Normal 4 5 2 2 2 3" xfId="27276"/>
    <cellStyle name="Normal 4 5 2 2 2 3 2" xfId="27277"/>
    <cellStyle name="Normal 4 5 2 2 2 3 2 2" xfId="27278"/>
    <cellStyle name="Normal 4 5 2 2 2 3 2 2 2" xfId="27279"/>
    <cellStyle name="Normal 4 5 2 2 2 3 2 3" xfId="27280"/>
    <cellStyle name="Normal 4 5 2 2 2 3 2 4" xfId="27281"/>
    <cellStyle name="Normal 4 5 2 2 2 3 3" xfId="27282"/>
    <cellStyle name="Normal 4 5 2 2 2 3 3 2" xfId="27283"/>
    <cellStyle name="Normal 4 5 2 2 2 3 4" xfId="27284"/>
    <cellStyle name="Normal 4 5 2 2 2 3 5" xfId="27285"/>
    <cellStyle name="Normal 4 5 2 2 2 4" xfId="27286"/>
    <cellStyle name="Normal 4 5 2 2 2 4 2" xfId="27287"/>
    <cellStyle name="Normal 4 5 2 2 2 4 2 2" xfId="27288"/>
    <cellStyle name="Normal 4 5 2 2 2 4 3" xfId="27289"/>
    <cellStyle name="Normal 4 5 2 2 2 4 4" xfId="27290"/>
    <cellStyle name="Normal 4 5 2 2 2 5" xfId="27291"/>
    <cellStyle name="Normal 4 5 2 2 2 5 2" xfId="27292"/>
    <cellStyle name="Normal 4 5 2 2 2 5 2 2" xfId="27293"/>
    <cellStyle name="Normal 4 5 2 2 2 5 3" xfId="27294"/>
    <cellStyle name="Normal 4 5 2 2 2 5 4" xfId="27295"/>
    <cellStyle name="Normal 4 5 2 2 2 6" xfId="27296"/>
    <cellStyle name="Normal 4 5 2 2 2 6 2" xfId="27297"/>
    <cellStyle name="Normal 4 5 2 2 2 6 2 2" xfId="27298"/>
    <cellStyle name="Normal 4 5 2 2 2 6 3" xfId="27299"/>
    <cellStyle name="Normal 4 5 2 2 2 6 4" xfId="27300"/>
    <cellStyle name="Normal 4 5 2 2 2 7" xfId="27301"/>
    <cellStyle name="Normal 4 5 2 2 2 7 2" xfId="27302"/>
    <cellStyle name="Normal 4 5 2 2 2 8" xfId="27303"/>
    <cellStyle name="Normal 4 5 2 2 2 9" xfId="27304"/>
    <cellStyle name="Normal 4 5 2 2 3" xfId="27305"/>
    <cellStyle name="Normal 4 5 2 2 3 2" xfId="27306"/>
    <cellStyle name="Normal 4 5 2 2 3 2 2" xfId="27307"/>
    <cellStyle name="Normal 4 5 2 2 3 2 2 2" xfId="27308"/>
    <cellStyle name="Normal 4 5 2 2 3 2 3" xfId="27309"/>
    <cellStyle name="Normal 4 5 2 2 3 2 4" xfId="27310"/>
    <cellStyle name="Normal 4 5 2 2 3 3" xfId="27311"/>
    <cellStyle name="Normal 4 5 2 2 3 3 2" xfId="27312"/>
    <cellStyle name="Normal 4 5 2 2 3 4" xfId="27313"/>
    <cellStyle name="Normal 4 5 2 2 3 5" xfId="27314"/>
    <cellStyle name="Normal 4 5 2 2 4" xfId="27315"/>
    <cellStyle name="Normal 4 5 2 2 4 2" xfId="27316"/>
    <cellStyle name="Normal 4 5 2 2 4 2 2" xfId="27317"/>
    <cellStyle name="Normal 4 5 2 2 4 2 2 2" xfId="27318"/>
    <cellStyle name="Normal 4 5 2 2 4 2 3" xfId="27319"/>
    <cellStyle name="Normal 4 5 2 2 4 2 4" xfId="27320"/>
    <cellStyle name="Normal 4 5 2 2 4 3" xfId="27321"/>
    <cellStyle name="Normal 4 5 2 2 4 3 2" xfId="27322"/>
    <cellStyle name="Normal 4 5 2 2 4 4" xfId="27323"/>
    <cellStyle name="Normal 4 5 2 2 4 5" xfId="27324"/>
    <cellStyle name="Normal 4 5 2 2 5" xfId="27325"/>
    <cellStyle name="Normal 4 5 2 2 5 2" xfId="27326"/>
    <cellStyle name="Normal 4 5 2 2 5 2 2" xfId="27327"/>
    <cellStyle name="Normal 4 5 2 2 5 3" xfId="27328"/>
    <cellStyle name="Normal 4 5 2 2 5 4" xfId="27329"/>
    <cellStyle name="Normal 4 5 2 2 6" xfId="27330"/>
    <cellStyle name="Normal 4 5 2 2 6 2" xfId="27331"/>
    <cellStyle name="Normal 4 5 2 2 6 2 2" xfId="27332"/>
    <cellStyle name="Normal 4 5 2 2 6 3" xfId="27333"/>
    <cellStyle name="Normal 4 5 2 2 6 4" xfId="27334"/>
    <cellStyle name="Normal 4 5 2 2 7" xfId="27335"/>
    <cellStyle name="Normal 4 5 2 2 7 2" xfId="27336"/>
    <cellStyle name="Normal 4 5 2 2 7 2 2" xfId="27337"/>
    <cellStyle name="Normal 4 5 2 2 7 3" xfId="27338"/>
    <cellStyle name="Normal 4 5 2 2 7 4" xfId="27339"/>
    <cellStyle name="Normal 4 5 2 2 8" xfId="27340"/>
    <cellStyle name="Normal 4 5 2 2 8 2" xfId="27341"/>
    <cellStyle name="Normal 4 5 2 2 9" xfId="27342"/>
    <cellStyle name="Normal 4 5 2 3" xfId="27343"/>
    <cellStyle name="Normal 4 5 2 3 2" xfId="27344"/>
    <cellStyle name="Normal 4 5 2 3 2 2" xfId="27345"/>
    <cellStyle name="Normal 4 5 2 3 2 2 2" xfId="27346"/>
    <cellStyle name="Normal 4 5 2 3 2 2 2 2" xfId="27347"/>
    <cellStyle name="Normal 4 5 2 3 2 2 3" xfId="27348"/>
    <cellStyle name="Normal 4 5 2 3 2 2 4" xfId="27349"/>
    <cellStyle name="Normal 4 5 2 3 2 3" xfId="27350"/>
    <cellStyle name="Normal 4 5 2 3 2 3 2" xfId="27351"/>
    <cellStyle name="Normal 4 5 2 3 2 4" xfId="27352"/>
    <cellStyle name="Normal 4 5 2 3 2 5" xfId="27353"/>
    <cellStyle name="Normal 4 5 2 3 3" xfId="27354"/>
    <cellStyle name="Normal 4 5 2 3 3 2" xfId="27355"/>
    <cellStyle name="Normal 4 5 2 3 3 2 2" xfId="27356"/>
    <cellStyle name="Normal 4 5 2 3 3 2 2 2" xfId="27357"/>
    <cellStyle name="Normal 4 5 2 3 3 2 3" xfId="27358"/>
    <cellStyle name="Normal 4 5 2 3 3 2 4" xfId="27359"/>
    <cellStyle name="Normal 4 5 2 3 3 3" xfId="27360"/>
    <cellStyle name="Normal 4 5 2 3 3 3 2" xfId="27361"/>
    <cellStyle name="Normal 4 5 2 3 3 4" xfId="27362"/>
    <cellStyle name="Normal 4 5 2 3 3 5" xfId="27363"/>
    <cellStyle name="Normal 4 5 2 3 4" xfId="27364"/>
    <cellStyle name="Normal 4 5 2 3 4 2" xfId="27365"/>
    <cellStyle name="Normal 4 5 2 3 4 2 2" xfId="27366"/>
    <cellStyle name="Normal 4 5 2 3 4 3" xfId="27367"/>
    <cellStyle name="Normal 4 5 2 3 4 4" xfId="27368"/>
    <cellStyle name="Normal 4 5 2 3 5" xfId="27369"/>
    <cellStyle name="Normal 4 5 2 3 5 2" xfId="27370"/>
    <cellStyle name="Normal 4 5 2 3 5 2 2" xfId="27371"/>
    <cellStyle name="Normal 4 5 2 3 5 3" xfId="27372"/>
    <cellStyle name="Normal 4 5 2 3 5 4" xfId="27373"/>
    <cellStyle name="Normal 4 5 2 3 6" xfId="27374"/>
    <cellStyle name="Normal 4 5 2 3 6 2" xfId="27375"/>
    <cellStyle name="Normal 4 5 2 3 6 2 2" xfId="27376"/>
    <cellStyle name="Normal 4 5 2 3 6 3" xfId="27377"/>
    <cellStyle name="Normal 4 5 2 3 6 4" xfId="27378"/>
    <cellStyle name="Normal 4 5 2 3 7" xfId="27379"/>
    <cellStyle name="Normal 4 5 2 3 7 2" xfId="27380"/>
    <cellStyle name="Normal 4 5 2 3 8" xfId="27381"/>
    <cellStyle name="Normal 4 5 2 3 9" xfId="27382"/>
    <cellStyle name="Normal 4 5 2 4" xfId="27383"/>
    <cellStyle name="Normal 4 5 2 4 2" xfId="27384"/>
    <cellStyle name="Normal 4 5 2 4 2 2" xfId="27385"/>
    <cellStyle name="Normal 4 5 2 4 2 2 2" xfId="27386"/>
    <cellStyle name="Normal 4 5 2 4 2 3" xfId="27387"/>
    <cellStyle name="Normal 4 5 2 4 2 4" xfId="27388"/>
    <cellStyle name="Normal 4 5 2 4 3" xfId="27389"/>
    <cellStyle name="Normal 4 5 2 4 3 2" xfId="27390"/>
    <cellStyle name="Normal 4 5 2 4 4" xfId="27391"/>
    <cellStyle name="Normal 4 5 2 4 5" xfId="27392"/>
    <cellStyle name="Normal 4 5 2 5" xfId="27393"/>
    <cellStyle name="Normal 4 5 2 5 2" xfId="27394"/>
    <cellStyle name="Normal 4 5 2 5 2 2" xfId="27395"/>
    <cellStyle name="Normal 4 5 2 5 2 2 2" xfId="27396"/>
    <cellStyle name="Normal 4 5 2 5 2 3" xfId="27397"/>
    <cellStyle name="Normal 4 5 2 5 2 4" xfId="27398"/>
    <cellStyle name="Normal 4 5 2 5 3" xfId="27399"/>
    <cellStyle name="Normal 4 5 2 5 3 2" xfId="27400"/>
    <cellStyle name="Normal 4 5 2 5 4" xfId="27401"/>
    <cellStyle name="Normal 4 5 2 5 5" xfId="27402"/>
    <cellStyle name="Normal 4 5 2 6" xfId="27403"/>
    <cellStyle name="Normal 4 5 2 6 2" xfId="27404"/>
    <cellStyle name="Normal 4 5 2 6 2 2" xfId="27405"/>
    <cellStyle name="Normal 4 5 2 6 3" xfId="27406"/>
    <cellStyle name="Normal 4 5 2 6 4" xfId="27407"/>
    <cellStyle name="Normal 4 5 2 7" xfId="27408"/>
    <cellStyle name="Normal 4 5 2 7 2" xfId="27409"/>
    <cellStyle name="Normal 4 5 2 7 2 2" xfId="27410"/>
    <cellStyle name="Normal 4 5 2 7 3" xfId="27411"/>
    <cellStyle name="Normal 4 5 2 7 4" xfId="27412"/>
    <cellStyle name="Normal 4 5 2 8" xfId="27413"/>
    <cellStyle name="Normal 4 5 2 8 2" xfId="27414"/>
    <cellStyle name="Normal 4 5 2 8 2 2" xfId="27415"/>
    <cellStyle name="Normal 4 5 2 8 3" xfId="27416"/>
    <cellStyle name="Normal 4 5 2 8 4" xfId="27417"/>
    <cellStyle name="Normal 4 5 2 9" xfId="27418"/>
    <cellStyle name="Normal 4 5 2 9 2" xfId="27419"/>
    <cellStyle name="Normal 4 5 3" xfId="27420"/>
    <cellStyle name="Normal 4 5 3 10" xfId="27421"/>
    <cellStyle name="Normal 4 5 3 2" xfId="27422"/>
    <cellStyle name="Normal 4 5 3 2 2" xfId="27423"/>
    <cellStyle name="Normal 4 5 3 2 2 2" xfId="27424"/>
    <cellStyle name="Normal 4 5 3 2 2 2 2" xfId="27425"/>
    <cellStyle name="Normal 4 5 3 2 2 2 2 2" xfId="27426"/>
    <cellStyle name="Normal 4 5 3 2 2 2 3" xfId="27427"/>
    <cellStyle name="Normal 4 5 3 2 2 2 4" xfId="27428"/>
    <cellStyle name="Normal 4 5 3 2 2 3" xfId="27429"/>
    <cellStyle name="Normal 4 5 3 2 2 3 2" xfId="27430"/>
    <cellStyle name="Normal 4 5 3 2 2 4" xfId="27431"/>
    <cellStyle name="Normal 4 5 3 2 2 5" xfId="27432"/>
    <cellStyle name="Normal 4 5 3 2 3" xfId="27433"/>
    <cellStyle name="Normal 4 5 3 2 3 2" xfId="27434"/>
    <cellStyle name="Normal 4 5 3 2 3 2 2" xfId="27435"/>
    <cellStyle name="Normal 4 5 3 2 3 2 2 2" xfId="27436"/>
    <cellStyle name="Normal 4 5 3 2 3 2 3" xfId="27437"/>
    <cellStyle name="Normal 4 5 3 2 3 2 4" xfId="27438"/>
    <cellStyle name="Normal 4 5 3 2 3 3" xfId="27439"/>
    <cellStyle name="Normal 4 5 3 2 3 3 2" xfId="27440"/>
    <cellStyle name="Normal 4 5 3 2 3 4" xfId="27441"/>
    <cellStyle name="Normal 4 5 3 2 3 5" xfId="27442"/>
    <cellStyle name="Normal 4 5 3 2 4" xfId="27443"/>
    <cellStyle name="Normal 4 5 3 2 4 2" xfId="27444"/>
    <cellStyle name="Normal 4 5 3 2 4 2 2" xfId="27445"/>
    <cellStyle name="Normal 4 5 3 2 4 3" xfId="27446"/>
    <cellStyle name="Normal 4 5 3 2 4 4" xfId="27447"/>
    <cellStyle name="Normal 4 5 3 2 5" xfId="27448"/>
    <cellStyle name="Normal 4 5 3 2 5 2" xfId="27449"/>
    <cellStyle name="Normal 4 5 3 2 5 2 2" xfId="27450"/>
    <cellStyle name="Normal 4 5 3 2 5 3" xfId="27451"/>
    <cellStyle name="Normal 4 5 3 2 5 4" xfId="27452"/>
    <cellStyle name="Normal 4 5 3 2 6" xfId="27453"/>
    <cellStyle name="Normal 4 5 3 2 6 2" xfId="27454"/>
    <cellStyle name="Normal 4 5 3 2 6 2 2" xfId="27455"/>
    <cellStyle name="Normal 4 5 3 2 6 3" xfId="27456"/>
    <cellStyle name="Normal 4 5 3 2 6 4" xfId="27457"/>
    <cellStyle name="Normal 4 5 3 2 7" xfId="27458"/>
    <cellStyle name="Normal 4 5 3 2 7 2" xfId="27459"/>
    <cellStyle name="Normal 4 5 3 2 8" xfId="27460"/>
    <cellStyle name="Normal 4 5 3 2 9" xfId="27461"/>
    <cellStyle name="Normal 4 5 3 3" xfId="27462"/>
    <cellStyle name="Normal 4 5 3 3 2" xfId="27463"/>
    <cellStyle name="Normal 4 5 3 3 2 2" xfId="27464"/>
    <cellStyle name="Normal 4 5 3 3 2 2 2" xfId="27465"/>
    <cellStyle name="Normal 4 5 3 3 2 3" xfId="27466"/>
    <cellStyle name="Normal 4 5 3 3 2 4" xfId="27467"/>
    <cellStyle name="Normal 4 5 3 3 3" xfId="27468"/>
    <cellStyle name="Normal 4 5 3 3 3 2" xfId="27469"/>
    <cellStyle name="Normal 4 5 3 3 4" xfId="27470"/>
    <cellStyle name="Normal 4 5 3 3 5" xfId="27471"/>
    <cellStyle name="Normal 4 5 3 4" xfId="27472"/>
    <cellStyle name="Normal 4 5 3 4 2" xfId="27473"/>
    <cellStyle name="Normal 4 5 3 4 2 2" xfId="27474"/>
    <cellStyle name="Normal 4 5 3 4 2 2 2" xfId="27475"/>
    <cellStyle name="Normal 4 5 3 4 2 3" xfId="27476"/>
    <cellStyle name="Normal 4 5 3 4 2 4" xfId="27477"/>
    <cellStyle name="Normal 4 5 3 4 3" xfId="27478"/>
    <cellStyle name="Normal 4 5 3 4 3 2" xfId="27479"/>
    <cellStyle name="Normal 4 5 3 4 4" xfId="27480"/>
    <cellStyle name="Normal 4 5 3 4 5" xfId="27481"/>
    <cellStyle name="Normal 4 5 3 5" xfId="27482"/>
    <cellStyle name="Normal 4 5 3 5 2" xfId="27483"/>
    <cellStyle name="Normal 4 5 3 5 2 2" xfId="27484"/>
    <cellStyle name="Normal 4 5 3 5 3" xfId="27485"/>
    <cellStyle name="Normal 4 5 3 5 4" xfId="27486"/>
    <cellStyle name="Normal 4 5 3 6" xfId="27487"/>
    <cellStyle name="Normal 4 5 3 6 2" xfId="27488"/>
    <cellStyle name="Normal 4 5 3 6 2 2" xfId="27489"/>
    <cellStyle name="Normal 4 5 3 6 3" xfId="27490"/>
    <cellStyle name="Normal 4 5 3 6 4" xfId="27491"/>
    <cellStyle name="Normal 4 5 3 7" xfId="27492"/>
    <cellStyle name="Normal 4 5 3 7 2" xfId="27493"/>
    <cellStyle name="Normal 4 5 3 7 2 2" xfId="27494"/>
    <cellStyle name="Normal 4 5 3 7 3" xfId="27495"/>
    <cellStyle name="Normal 4 5 3 7 4" xfId="27496"/>
    <cellStyle name="Normal 4 5 3 8" xfId="27497"/>
    <cellStyle name="Normal 4 5 3 8 2" xfId="27498"/>
    <cellStyle name="Normal 4 5 3 9" xfId="27499"/>
    <cellStyle name="Normal 4 5 4" xfId="27500"/>
    <cellStyle name="Normal 4 5 4 2" xfId="27501"/>
    <cellStyle name="Normal 4 5 4 2 2" xfId="27502"/>
    <cellStyle name="Normal 4 5 4 2 2 2" xfId="27503"/>
    <cellStyle name="Normal 4 5 4 2 2 2 2" xfId="27504"/>
    <cellStyle name="Normal 4 5 4 2 2 3" xfId="27505"/>
    <cellStyle name="Normal 4 5 4 2 2 4" xfId="27506"/>
    <cellStyle name="Normal 4 5 4 2 3" xfId="27507"/>
    <cellStyle name="Normal 4 5 4 2 3 2" xfId="27508"/>
    <cellStyle name="Normal 4 5 4 2 4" xfId="27509"/>
    <cellStyle name="Normal 4 5 4 2 5" xfId="27510"/>
    <cellStyle name="Normal 4 5 4 3" xfId="27511"/>
    <cellStyle name="Normal 4 5 4 3 2" xfId="27512"/>
    <cellStyle name="Normal 4 5 4 3 2 2" xfId="27513"/>
    <cellStyle name="Normal 4 5 4 3 2 2 2" xfId="27514"/>
    <cellStyle name="Normal 4 5 4 3 2 3" xfId="27515"/>
    <cellStyle name="Normal 4 5 4 3 2 4" xfId="27516"/>
    <cellStyle name="Normal 4 5 4 3 3" xfId="27517"/>
    <cellStyle name="Normal 4 5 4 3 3 2" xfId="27518"/>
    <cellStyle name="Normal 4 5 4 3 4" xfId="27519"/>
    <cellStyle name="Normal 4 5 4 3 5" xfId="27520"/>
    <cellStyle name="Normal 4 5 4 4" xfId="27521"/>
    <cellStyle name="Normal 4 5 4 4 2" xfId="27522"/>
    <cellStyle name="Normal 4 5 4 4 2 2" xfId="27523"/>
    <cellStyle name="Normal 4 5 4 4 3" xfId="27524"/>
    <cellStyle name="Normal 4 5 4 4 4" xfId="27525"/>
    <cellStyle name="Normal 4 5 4 5" xfId="27526"/>
    <cellStyle name="Normal 4 5 4 5 2" xfId="27527"/>
    <cellStyle name="Normal 4 5 4 5 2 2" xfId="27528"/>
    <cellStyle name="Normal 4 5 4 5 3" xfId="27529"/>
    <cellStyle name="Normal 4 5 4 5 4" xfId="27530"/>
    <cellStyle name="Normal 4 5 4 6" xfId="27531"/>
    <cellStyle name="Normal 4 5 4 6 2" xfId="27532"/>
    <cellStyle name="Normal 4 5 4 6 2 2" xfId="27533"/>
    <cellStyle name="Normal 4 5 4 6 3" xfId="27534"/>
    <cellStyle name="Normal 4 5 4 6 4" xfId="27535"/>
    <cellStyle name="Normal 4 5 4 7" xfId="27536"/>
    <cellStyle name="Normal 4 5 4 7 2" xfId="27537"/>
    <cellStyle name="Normal 4 5 4 8" xfId="27538"/>
    <cellStyle name="Normal 4 5 4 9" xfId="27539"/>
    <cellStyle name="Normal 4 5 5" xfId="27540"/>
    <cellStyle name="Normal 4 5 5 2" xfId="27541"/>
    <cellStyle name="Normal 4 5 5 2 2" xfId="27542"/>
    <cellStyle name="Normal 4 5 5 2 2 2" xfId="27543"/>
    <cellStyle name="Normal 4 5 5 2 3" xfId="27544"/>
    <cellStyle name="Normal 4 5 5 2 4" xfId="27545"/>
    <cellStyle name="Normal 4 5 5 3" xfId="27546"/>
    <cellStyle name="Normal 4 5 5 3 2" xfId="27547"/>
    <cellStyle name="Normal 4 5 5 3 2 2" xfId="27548"/>
    <cellStyle name="Normal 4 5 5 3 3" xfId="27549"/>
    <cellStyle name="Normal 4 5 5 3 4" xfId="27550"/>
    <cellStyle name="Normal 4 5 5 4" xfId="27551"/>
    <cellStyle name="Normal 4 5 5 4 2" xfId="27552"/>
    <cellStyle name="Normal 4 5 5 5" xfId="27553"/>
    <cellStyle name="Normal 4 5 5 6" xfId="27554"/>
    <cellStyle name="Normal 4 5 6" xfId="27555"/>
    <cellStyle name="Normal 4 5 6 2" xfId="27556"/>
    <cellStyle name="Normal 4 5 6 2 2" xfId="27557"/>
    <cellStyle name="Normal 4 5 6 2 2 2" xfId="27558"/>
    <cellStyle name="Normal 4 5 6 2 3" xfId="27559"/>
    <cellStyle name="Normal 4 5 6 2 4" xfId="27560"/>
    <cellStyle name="Normal 4 5 6 3" xfId="27561"/>
    <cellStyle name="Normal 4 5 6 3 2" xfId="27562"/>
    <cellStyle name="Normal 4 5 6 4" xfId="27563"/>
    <cellStyle name="Normal 4 5 6 5" xfId="27564"/>
    <cellStyle name="Normal 4 5 7" xfId="27565"/>
    <cellStyle name="Normal 4 5 7 2" xfId="27566"/>
    <cellStyle name="Normal 4 5 7 2 2" xfId="27567"/>
    <cellStyle name="Normal 4 5 7 3" xfId="27568"/>
    <cellStyle name="Normal 4 5 7 4" xfId="27569"/>
    <cellStyle name="Normal 4 5 8" xfId="27570"/>
    <cellStyle name="Normal 4 5 8 2" xfId="27571"/>
    <cellStyle name="Normal 4 5 8 2 2" xfId="27572"/>
    <cellStyle name="Normal 4 5 8 3" xfId="27573"/>
    <cellStyle name="Normal 4 5 8 4" xfId="27574"/>
    <cellStyle name="Normal 4 5 9" xfId="27575"/>
    <cellStyle name="Normal 4 5 9 2" xfId="27576"/>
    <cellStyle name="Normal 4 5 9 2 2" xfId="27577"/>
    <cellStyle name="Normal 4 5 9 3" xfId="27578"/>
    <cellStyle name="Normal 4 5 9 4" xfId="27579"/>
    <cellStyle name="Normal 4 6" xfId="27580"/>
    <cellStyle name="Normal 4 6 2" xfId="27581"/>
    <cellStyle name="Normal 4 6 2 2" xfId="27582"/>
    <cellStyle name="Normal 4 6 2 2 2" xfId="27583"/>
    <cellStyle name="Normal 4 6 2 2 2 2" xfId="27584"/>
    <cellStyle name="Normal 4 6 2 2 3" xfId="27585"/>
    <cellStyle name="Normal 4 6 2 2 4" xfId="27586"/>
    <cellStyle name="Normal 4 7" xfId="27587"/>
    <cellStyle name="Normal 4 7 2" xfId="27588"/>
    <cellStyle name="Normal 4 7 2 2" xfId="27589"/>
    <cellStyle name="Normal 4 7 2 2 2" xfId="27590"/>
    <cellStyle name="Normal 4 7 2 2 2 2" xfId="27591"/>
    <cellStyle name="Normal 4 7 2 2 3" xfId="27592"/>
    <cellStyle name="Normal 4 7 2 2 4" xfId="27593"/>
    <cellStyle name="Normal 4 7 2 3" xfId="27594"/>
    <cellStyle name="Normal 4 7 2 3 2" xfId="27595"/>
    <cellStyle name="Normal 4 7 2 4" xfId="27596"/>
    <cellStyle name="Normal 4 7 2 5" xfId="27597"/>
    <cellStyle name="Normal 4 7 3" xfId="27598"/>
    <cellStyle name="Normal 4 7 3 2" xfId="27599"/>
    <cellStyle name="Normal 4 7 3 2 2" xfId="27600"/>
    <cellStyle name="Normal 4 7 3 2 2 2" xfId="27601"/>
    <cellStyle name="Normal 4 7 3 2 3" xfId="27602"/>
    <cellStyle name="Normal 4 7 3 2 4" xfId="27603"/>
    <cellStyle name="Normal 4 7 3 3" xfId="27604"/>
    <cellStyle name="Normal 4 7 3 3 2" xfId="27605"/>
    <cellStyle name="Normal 4 7 3 4" xfId="27606"/>
    <cellStyle name="Normal 4 7 3 5" xfId="27607"/>
    <cellStyle name="Normal 4 7 4" xfId="27608"/>
    <cellStyle name="Normal 4 7 4 2" xfId="27609"/>
    <cellStyle name="Normal 4 7 4 2 2" xfId="27610"/>
    <cellStyle name="Normal 4 7 4 3" xfId="27611"/>
    <cellStyle name="Normal 4 7 4 4" xfId="27612"/>
    <cellStyle name="Normal 4 7 5" xfId="27613"/>
    <cellStyle name="Normal 4 7 5 2" xfId="27614"/>
    <cellStyle name="Normal 4 7 5 2 2" xfId="27615"/>
    <cellStyle name="Normal 4 7 5 3" xfId="27616"/>
    <cellStyle name="Normal 4 7 5 4" xfId="27617"/>
    <cellStyle name="Normal 4 7 6" xfId="27618"/>
    <cellStyle name="Normal 4 7 6 2" xfId="27619"/>
    <cellStyle name="Normal 4 7 7" xfId="27620"/>
    <cellStyle name="Normal 4 7 8" xfId="27621"/>
    <cellStyle name="Normal 4 8" xfId="27622"/>
    <cellStyle name="Normal 4 8 2" xfId="27623"/>
    <cellStyle name="Normal 4 9" xfId="27624"/>
    <cellStyle name="Normal 4_29(d) - Gas extensions -tariffs" xfId="35845"/>
    <cellStyle name="Normal 40" xfId="27625"/>
    <cellStyle name="Normal 40 2" xfId="27626"/>
    <cellStyle name="Normal 40 2 2" xfId="27627"/>
    <cellStyle name="Normal 40 3" xfId="27628"/>
    <cellStyle name="Normal 40_29(d) - Gas extensions -tariffs" xfId="35846"/>
    <cellStyle name="Normal 41" xfId="27629"/>
    <cellStyle name="Normal 41 10" xfId="27630"/>
    <cellStyle name="Normal 41 11" xfId="27631"/>
    <cellStyle name="Normal 41 2" xfId="27632"/>
    <cellStyle name="Normal 41 2 10" xfId="27633"/>
    <cellStyle name="Normal 41 2 2" xfId="27634"/>
    <cellStyle name="Normal 41 2 2 2" xfId="27635"/>
    <cellStyle name="Normal 41 2 2 2 2" xfId="27636"/>
    <cellStyle name="Normal 41 2 2 2 2 2" xfId="27637"/>
    <cellStyle name="Normal 41 2 2 2 2 2 2" xfId="27638"/>
    <cellStyle name="Normal 41 2 2 2 2 3" xfId="27639"/>
    <cellStyle name="Normal 41 2 2 2 2 4" xfId="27640"/>
    <cellStyle name="Normal 41 2 2 2 3" xfId="27641"/>
    <cellStyle name="Normal 41 2 2 2 3 2" xfId="27642"/>
    <cellStyle name="Normal 41 2 2 2 4" xfId="27643"/>
    <cellStyle name="Normal 41 2 2 2 5" xfId="27644"/>
    <cellStyle name="Normal 41 2 2 3" xfId="27645"/>
    <cellStyle name="Normal 41 2 2 3 2" xfId="27646"/>
    <cellStyle name="Normal 41 2 2 3 2 2" xfId="27647"/>
    <cellStyle name="Normal 41 2 2 3 2 2 2" xfId="27648"/>
    <cellStyle name="Normal 41 2 2 3 2 3" xfId="27649"/>
    <cellStyle name="Normal 41 2 2 3 2 4" xfId="27650"/>
    <cellStyle name="Normal 41 2 2 3 3" xfId="27651"/>
    <cellStyle name="Normal 41 2 2 3 3 2" xfId="27652"/>
    <cellStyle name="Normal 41 2 2 3 4" xfId="27653"/>
    <cellStyle name="Normal 41 2 2 3 5" xfId="27654"/>
    <cellStyle name="Normal 41 2 2 4" xfId="27655"/>
    <cellStyle name="Normal 41 2 2 4 2" xfId="27656"/>
    <cellStyle name="Normal 41 2 2 4 2 2" xfId="27657"/>
    <cellStyle name="Normal 41 2 2 4 3" xfId="27658"/>
    <cellStyle name="Normal 41 2 2 4 4" xfId="27659"/>
    <cellStyle name="Normal 41 2 2 5" xfId="27660"/>
    <cellStyle name="Normal 41 2 2 5 2" xfId="27661"/>
    <cellStyle name="Normal 41 2 2 5 2 2" xfId="27662"/>
    <cellStyle name="Normal 41 2 2 5 3" xfId="27663"/>
    <cellStyle name="Normal 41 2 2 5 4" xfId="27664"/>
    <cellStyle name="Normal 41 2 2 6" xfId="27665"/>
    <cellStyle name="Normal 41 2 2 6 2" xfId="27666"/>
    <cellStyle name="Normal 41 2 2 6 2 2" xfId="27667"/>
    <cellStyle name="Normal 41 2 2 6 3" xfId="27668"/>
    <cellStyle name="Normal 41 2 2 6 4" xfId="27669"/>
    <cellStyle name="Normal 41 2 2 7" xfId="27670"/>
    <cellStyle name="Normal 41 2 2 7 2" xfId="27671"/>
    <cellStyle name="Normal 41 2 2 8" xfId="27672"/>
    <cellStyle name="Normal 41 2 2 9" xfId="27673"/>
    <cellStyle name="Normal 41 2 3" xfId="27674"/>
    <cellStyle name="Normal 41 2 3 2" xfId="27675"/>
    <cellStyle name="Normal 41 2 3 2 2" xfId="27676"/>
    <cellStyle name="Normal 41 2 3 2 2 2" xfId="27677"/>
    <cellStyle name="Normal 41 2 3 2 3" xfId="27678"/>
    <cellStyle name="Normal 41 2 3 2 4" xfId="27679"/>
    <cellStyle name="Normal 41 2 3 3" xfId="27680"/>
    <cellStyle name="Normal 41 2 3 3 2" xfId="27681"/>
    <cellStyle name="Normal 41 2 3 4" xfId="27682"/>
    <cellStyle name="Normal 41 2 3 5" xfId="27683"/>
    <cellStyle name="Normal 41 2 4" xfId="27684"/>
    <cellStyle name="Normal 41 2 4 2" xfId="27685"/>
    <cellStyle name="Normal 41 2 4 2 2" xfId="27686"/>
    <cellStyle name="Normal 41 2 4 2 2 2" xfId="27687"/>
    <cellStyle name="Normal 41 2 4 2 3" xfId="27688"/>
    <cellStyle name="Normal 41 2 4 2 4" xfId="27689"/>
    <cellStyle name="Normal 41 2 4 3" xfId="27690"/>
    <cellStyle name="Normal 41 2 4 3 2" xfId="27691"/>
    <cellStyle name="Normal 41 2 4 4" xfId="27692"/>
    <cellStyle name="Normal 41 2 4 5" xfId="27693"/>
    <cellStyle name="Normal 41 2 5" xfId="27694"/>
    <cellStyle name="Normal 41 2 5 2" xfId="27695"/>
    <cellStyle name="Normal 41 2 5 2 2" xfId="27696"/>
    <cellStyle name="Normal 41 2 5 3" xfId="27697"/>
    <cellStyle name="Normal 41 2 5 4" xfId="27698"/>
    <cellStyle name="Normal 41 2 6" xfId="27699"/>
    <cellStyle name="Normal 41 2 6 2" xfId="27700"/>
    <cellStyle name="Normal 41 2 6 2 2" xfId="27701"/>
    <cellStyle name="Normal 41 2 6 3" xfId="27702"/>
    <cellStyle name="Normal 41 2 6 4" xfId="27703"/>
    <cellStyle name="Normal 41 2 7" xfId="27704"/>
    <cellStyle name="Normal 41 2 7 2" xfId="27705"/>
    <cellStyle name="Normal 41 2 7 2 2" xfId="27706"/>
    <cellStyle name="Normal 41 2 7 3" xfId="27707"/>
    <cellStyle name="Normal 41 2 7 4" xfId="27708"/>
    <cellStyle name="Normal 41 2 8" xfId="27709"/>
    <cellStyle name="Normal 41 2 8 2" xfId="27710"/>
    <cellStyle name="Normal 41 2 9" xfId="27711"/>
    <cellStyle name="Normal 41 3" xfId="27712"/>
    <cellStyle name="Normal 41 3 2" xfId="27713"/>
    <cellStyle name="Normal 41 3 2 2" xfId="27714"/>
    <cellStyle name="Normal 41 3 2 2 2" xfId="27715"/>
    <cellStyle name="Normal 41 3 2 2 2 2" xfId="27716"/>
    <cellStyle name="Normal 41 3 2 2 3" xfId="27717"/>
    <cellStyle name="Normal 41 3 2 2 4" xfId="27718"/>
    <cellStyle name="Normal 41 3 2 3" xfId="27719"/>
    <cellStyle name="Normal 41 3 2 3 2" xfId="27720"/>
    <cellStyle name="Normal 41 3 2 4" xfId="27721"/>
    <cellStyle name="Normal 41 3 2 5" xfId="27722"/>
    <cellStyle name="Normal 41 3 3" xfId="27723"/>
    <cellStyle name="Normal 41 3 3 2" xfId="27724"/>
    <cellStyle name="Normal 41 3 3 2 2" xfId="27725"/>
    <cellStyle name="Normal 41 3 3 2 2 2" xfId="27726"/>
    <cellStyle name="Normal 41 3 3 2 3" xfId="27727"/>
    <cellStyle name="Normal 41 3 3 2 4" xfId="27728"/>
    <cellStyle name="Normal 41 3 3 3" xfId="27729"/>
    <cellStyle name="Normal 41 3 3 3 2" xfId="27730"/>
    <cellStyle name="Normal 41 3 3 4" xfId="27731"/>
    <cellStyle name="Normal 41 3 3 5" xfId="27732"/>
    <cellStyle name="Normal 41 3 4" xfId="27733"/>
    <cellStyle name="Normal 41 3 4 2" xfId="27734"/>
    <cellStyle name="Normal 41 3 4 2 2" xfId="27735"/>
    <cellStyle name="Normal 41 3 4 3" xfId="27736"/>
    <cellStyle name="Normal 41 3 4 4" xfId="27737"/>
    <cellStyle name="Normal 41 3 5" xfId="27738"/>
    <cellStyle name="Normal 41 3 5 2" xfId="27739"/>
    <cellStyle name="Normal 41 3 5 2 2" xfId="27740"/>
    <cellStyle name="Normal 41 3 5 3" xfId="27741"/>
    <cellStyle name="Normal 41 3 5 4" xfId="27742"/>
    <cellStyle name="Normal 41 3 6" xfId="27743"/>
    <cellStyle name="Normal 41 3 6 2" xfId="27744"/>
    <cellStyle name="Normal 41 3 6 2 2" xfId="27745"/>
    <cellStyle name="Normal 41 3 6 3" xfId="27746"/>
    <cellStyle name="Normal 41 3 6 4" xfId="27747"/>
    <cellStyle name="Normal 41 3 7" xfId="27748"/>
    <cellStyle name="Normal 41 3 7 2" xfId="27749"/>
    <cellStyle name="Normal 41 3 8" xfId="27750"/>
    <cellStyle name="Normal 41 3 9" xfId="27751"/>
    <cellStyle name="Normal 41 4" xfId="27752"/>
    <cellStyle name="Normal 41 4 2" xfId="27753"/>
    <cellStyle name="Normal 41 4 2 2" xfId="27754"/>
    <cellStyle name="Normal 41 4 2 2 2" xfId="27755"/>
    <cellStyle name="Normal 41 4 2 3" xfId="27756"/>
    <cellStyle name="Normal 41 4 2 4" xfId="27757"/>
    <cellStyle name="Normal 41 4 3" xfId="27758"/>
    <cellStyle name="Normal 41 4 3 2" xfId="27759"/>
    <cellStyle name="Normal 41 4 4" xfId="27760"/>
    <cellStyle name="Normal 41 4 5" xfId="27761"/>
    <cellStyle name="Normal 41 5" xfId="27762"/>
    <cellStyle name="Normal 41 5 2" xfId="27763"/>
    <cellStyle name="Normal 41 5 2 2" xfId="27764"/>
    <cellStyle name="Normal 41 5 2 2 2" xfId="27765"/>
    <cellStyle name="Normal 41 5 2 3" xfId="27766"/>
    <cellStyle name="Normal 41 5 2 4" xfId="27767"/>
    <cellStyle name="Normal 41 5 3" xfId="27768"/>
    <cellStyle name="Normal 41 5 3 2" xfId="27769"/>
    <cellStyle name="Normal 41 5 4" xfId="27770"/>
    <cellStyle name="Normal 41 5 5" xfId="27771"/>
    <cellStyle name="Normal 41 6" xfId="27772"/>
    <cellStyle name="Normal 41 6 2" xfId="27773"/>
    <cellStyle name="Normal 41 6 2 2" xfId="27774"/>
    <cellStyle name="Normal 41 6 3" xfId="27775"/>
    <cellStyle name="Normal 41 6 4" xfId="27776"/>
    <cellStyle name="Normal 41 7" xfId="27777"/>
    <cellStyle name="Normal 41 7 2" xfId="27778"/>
    <cellStyle name="Normal 41 7 2 2" xfId="27779"/>
    <cellStyle name="Normal 41 7 3" xfId="27780"/>
    <cellStyle name="Normal 41 7 4" xfId="27781"/>
    <cellStyle name="Normal 41 8" xfId="27782"/>
    <cellStyle name="Normal 41 8 2" xfId="27783"/>
    <cellStyle name="Normal 41 8 2 2" xfId="27784"/>
    <cellStyle name="Normal 41 8 3" xfId="27785"/>
    <cellStyle name="Normal 41 8 4" xfId="27786"/>
    <cellStyle name="Normal 41 9" xfId="27787"/>
    <cellStyle name="Normal 41 9 2" xfId="27788"/>
    <cellStyle name="Normal 42" xfId="27789"/>
    <cellStyle name="Normal 42 2" xfId="27790"/>
    <cellStyle name="Normal 42 2 2" xfId="27791"/>
    <cellStyle name="Normal 42 3" xfId="27792"/>
    <cellStyle name="Normal 43" xfId="27793"/>
    <cellStyle name="Normal 43 10" xfId="27794"/>
    <cellStyle name="Normal 43 11" xfId="27795"/>
    <cellStyle name="Normal 43 2" xfId="27796"/>
    <cellStyle name="Normal 43 2 10" xfId="27797"/>
    <cellStyle name="Normal 43 2 2" xfId="27798"/>
    <cellStyle name="Normal 43 2 2 2" xfId="27799"/>
    <cellStyle name="Normal 43 2 2 2 2" xfId="27800"/>
    <cellStyle name="Normal 43 2 2 2 2 2" xfId="27801"/>
    <cellStyle name="Normal 43 2 2 2 2 2 2" xfId="27802"/>
    <cellStyle name="Normal 43 2 2 2 2 3" xfId="27803"/>
    <cellStyle name="Normal 43 2 2 2 2 4" xfId="27804"/>
    <cellStyle name="Normal 43 2 2 2 3" xfId="27805"/>
    <cellStyle name="Normal 43 2 2 2 3 2" xfId="27806"/>
    <cellStyle name="Normal 43 2 2 2 4" xfId="27807"/>
    <cellStyle name="Normal 43 2 2 2 5" xfId="27808"/>
    <cellStyle name="Normal 43 2 2 3" xfId="27809"/>
    <cellStyle name="Normal 43 2 2 3 2" xfId="27810"/>
    <cellStyle name="Normal 43 2 2 3 2 2" xfId="27811"/>
    <cellStyle name="Normal 43 2 2 3 2 2 2" xfId="27812"/>
    <cellStyle name="Normal 43 2 2 3 2 3" xfId="27813"/>
    <cellStyle name="Normal 43 2 2 3 2 4" xfId="27814"/>
    <cellStyle name="Normal 43 2 2 3 3" xfId="27815"/>
    <cellStyle name="Normal 43 2 2 3 3 2" xfId="27816"/>
    <cellStyle name="Normal 43 2 2 3 4" xfId="27817"/>
    <cellStyle name="Normal 43 2 2 3 5" xfId="27818"/>
    <cellStyle name="Normal 43 2 2 4" xfId="27819"/>
    <cellStyle name="Normal 43 2 2 4 2" xfId="27820"/>
    <cellStyle name="Normal 43 2 2 4 2 2" xfId="27821"/>
    <cellStyle name="Normal 43 2 2 4 3" xfId="27822"/>
    <cellStyle name="Normal 43 2 2 4 4" xfId="27823"/>
    <cellStyle name="Normal 43 2 2 5" xfId="27824"/>
    <cellStyle name="Normal 43 2 2 5 2" xfId="27825"/>
    <cellStyle name="Normal 43 2 2 5 2 2" xfId="27826"/>
    <cellStyle name="Normal 43 2 2 5 3" xfId="27827"/>
    <cellStyle name="Normal 43 2 2 5 4" xfId="27828"/>
    <cellStyle name="Normal 43 2 2 6" xfId="27829"/>
    <cellStyle name="Normal 43 2 2 6 2" xfId="27830"/>
    <cellStyle name="Normal 43 2 2 6 2 2" xfId="27831"/>
    <cellStyle name="Normal 43 2 2 6 3" xfId="27832"/>
    <cellStyle name="Normal 43 2 2 6 4" xfId="27833"/>
    <cellStyle name="Normal 43 2 2 7" xfId="27834"/>
    <cellStyle name="Normal 43 2 2 7 2" xfId="27835"/>
    <cellStyle name="Normal 43 2 2 8" xfId="27836"/>
    <cellStyle name="Normal 43 2 2 9" xfId="27837"/>
    <cellStyle name="Normal 43 2 3" xfId="27838"/>
    <cellStyle name="Normal 43 2 3 2" xfId="27839"/>
    <cellStyle name="Normal 43 2 3 2 2" xfId="27840"/>
    <cellStyle name="Normal 43 2 3 2 2 2" xfId="27841"/>
    <cellStyle name="Normal 43 2 3 2 3" xfId="27842"/>
    <cellStyle name="Normal 43 2 3 2 4" xfId="27843"/>
    <cellStyle name="Normal 43 2 3 3" xfId="27844"/>
    <cellStyle name="Normal 43 2 3 3 2" xfId="27845"/>
    <cellStyle name="Normal 43 2 3 4" xfId="27846"/>
    <cellStyle name="Normal 43 2 3 5" xfId="27847"/>
    <cellStyle name="Normal 43 2 4" xfId="27848"/>
    <cellStyle name="Normal 43 2 4 2" xfId="27849"/>
    <cellStyle name="Normal 43 2 4 2 2" xfId="27850"/>
    <cellStyle name="Normal 43 2 4 2 2 2" xfId="27851"/>
    <cellStyle name="Normal 43 2 4 2 3" xfId="27852"/>
    <cellStyle name="Normal 43 2 4 2 4" xfId="27853"/>
    <cellStyle name="Normal 43 2 4 3" xfId="27854"/>
    <cellStyle name="Normal 43 2 4 3 2" xfId="27855"/>
    <cellStyle name="Normal 43 2 4 4" xfId="27856"/>
    <cellStyle name="Normal 43 2 4 5" xfId="27857"/>
    <cellStyle name="Normal 43 2 5" xfId="27858"/>
    <cellStyle name="Normal 43 2 5 2" xfId="27859"/>
    <cellStyle name="Normal 43 2 5 2 2" xfId="27860"/>
    <cellStyle name="Normal 43 2 5 3" xfId="27861"/>
    <cellStyle name="Normal 43 2 5 4" xfId="27862"/>
    <cellStyle name="Normal 43 2 6" xfId="27863"/>
    <cellStyle name="Normal 43 2 6 2" xfId="27864"/>
    <cellStyle name="Normal 43 2 6 2 2" xfId="27865"/>
    <cellStyle name="Normal 43 2 6 3" xfId="27866"/>
    <cellStyle name="Normal 43 2 6 4" xfId="27867"/>
    <cellStyle name="Normal 43 2 7" xfId="27868"/>
    <cellStyle name="Normal 43 2 7 2" xfId="27869"/>
    <cellStyle name="Normal 43 2 7 2 2" xfId="27870"/>
    <cellStyle name="Normal 43 2 7 3" xfId="27871"/>
    <cellStyle name="Normal 43 2 7 4" xfId="27872"/>
    <cellStyle name="Normal 43 2 8" xfId="27873"/>
    <cellStyle name="Normal 43 2 8 2" xfId="27874"/>
    <cellStyle name="Normal 43 2 9" xfId="27875"/>
    <cellStyle name="Normal 43 3" xfId="27876"/>
    <cellStyle name="Normal 43 3 2" xfId="27877"/>
    <cellStyle name="Normal 43 3 2 2" xfId="27878"/>
    <cellStyle name="Normal 43 3 2 2 2" xfId="27879"/>
    <cellStyle name="Normal 43 3 2 2 2 2" xfId="27880"/>
    <cellStyle name="Normal 43 3 2 2 3" xfId="27881"/>
    <cellStyle name="Normal 43 3 2 2 4" xfId="27882"/>
    <cellStyle name="Normal 43 3 2 3" xfId="27883"/>
    <cellStyle name="Normal 43 3 2 3 2" xfId="27884"/>
    <cellStyle name="Normal 43 3 2 4" xfId="27885"/>
    <cellStyle name="Normal 43 3 2 5" xfId="27886"/>
    <cellStyle name="Normal 43 3 3" xfId="27887"/>
    <cellStyle name="Normal 43 3 3 2" xfId="27888"/>
    <cellStyle name="Normal 43 3 3 2 2" xfId="27889"/>
    <cellStyle name="Normal 43 3 3 2 2 2" xfId="27890"/>
    <cellStyle name="Normal 43 3 3 2 3" xfId="27891"/>
    <cellStyle name="Normal 43 3 3 2 4" xfId="27892"/>
    <cellStyle name="Normal 43 3 3 3" xfId="27893"/>
    <cellStyle name="Normal 43 3 3 3 2" xfId="27894"/>
    <cellStyle name="Normal 43 3 3 4" xfId="27895"/>
    <cellStyle name="Normal 43 3 3 5" xfId="27896"/>
    <cellStyle name="Normal 43 3 4" xfId="27897"/>
    <cellStyle name="Normal 43 3 4 2" xfId="27898"/>
    <cellStyle name="Normal 43 3 4 2 2" xfId="27899"/>
    <cellStyle name="Normal 43 3 4 3" xfId="27900"/>
    <cellStyle name="Normal 43 3 4 4" xfId="27901"/>
    <cellStyle name="Normal 43 3 5" xfId="27902"/>
    <cellStyle name="Normal 43 3 5 2" xfId="27903"/>
    <cellStyle name="Normal 43 3 5 2 2" xfId="27904"/>
    <cellStyle name="Normal 43 3 5 3" xfId="27905"/>
    <cellStyle name="Normal 43 3 5 4" xfId="27906"/>
    <cellStyle name="Normal 43 3 6" xfId="27907"/>
    <cellStyle name="Normal 43 3 6 2" xfId="27908"/>
    <cellStyle name="Normal 43 3 6 2 2" xfId="27909"/>
    <cellStyle name="Normal 43 3 6 3" xfId="27910"/>
    <cellStyle name="Normal 43 3 6 4" xfId="27911"/>
    <cellStyle name="Normal 43 3 7" xfId="27912"/>
    <cellStyle name="Normal 43 3 7 2" xfId="27913"/>
    <cellStyle name="Normal 43 3 8" xfId="27914"/>
    <cellStyle name="Normal 43 3 9" xfId="27915"/>
    <cellStyle name="Normal 43 4" xfId="27916"/>
    <cellStyle name="Normal 43 4 2" xfId="27917"/>
    <cellStyle name="Normal 43 4 2 2" xfId="27918"/>
    <cellStyle name="Normal 43 4 2 2 2" xfId="27919"/>
    <cellStyle name="Normal 43 4 2 3" xfId="27920"/>
    <cellStyle name="Normal 43 4 2 4" xfId="27921"/>
    <cellStyle name="Normal 43 4 3" xfId="27922"/>
    <cellStyle name="Normal 43 4 3 2" xfId="27923"/>
    <cellStyle name="Normal 43 4 4" xfId="27924"/>
    <cellStyle name="Normal 43 4 5" xfId="27925"/>
    <cellStyle name="Normal 43 5" xfId="27926"/>
    <cellStyle name="Normal 43 5 2" xfId="27927"/>
    <cellStyle name="Normal 43 5 2 2" xfId="27928"/>
    <cellStyle name="Normal 43 5 2 2 2" xfId="27929"/>
    <cellStyle name="Normal 43 5 2 3" xfId="27930"/>
    <cellStyle name="Normal 43 5 2 4" xfId="27931"/>
    <cellStyle name="Normal 43 5 3" xfId="27932"/>
    <cellStyle name="Normal 43 5 3 2" xfId="27933"/>
    <cellStyle name="Normal 43 5 4" xfId="27934"/>
    <cellStyle name="Normal 43 5 5" xfId="27935"/>
    <cellStyle name="Normal 43 6" xfId="27936"/>
    <cellStyle name="Normal 43 6 2" xfId="27937"/>
    <cellStyle name="Normal 43 6 2 2" xfId="27938"/>
    <cellStyle name="Normal 43 6 3" xfId="27939"/>
    <cellStyle name="Normal 43 6 4" xfId="27940"/>
    <cellStyle name="Normal 43 7" xfId="27941"/>
    <cellStyle name="Normal 43 7 2" xfId="27942"/>
    <cellStyle name="Normal 43 7 2 2" xfId="27943"/>
    <cellStyle name="Normal 43 7 3" xfId="27944"/>
    <cellStyle name="Normal 43 7 4" xfId="27945"/>
    <cellStyle name="Normal 43 8" xfId="27946"/>
    <cellStyle name="Normal 43 8 2" xfId="27947"/>
    <cellStyle name="Normal 43 8 2 2" xfId="27948"/>
    <cellStyle name="Normal 43 8 3" xfId="27949"/>
    <cellStyle name="Normal 43 8 4" xfId="27950"/>
    <cellStyle name="Normal 43 9" xfId="27951"/>
    <cellStyle name="Normal 43 9 2" xfId="27952"/>
    <cellStyle name="Normal 44" xfId="27953"/>
    <cellStyle name="Normal 44 10" xfId="27954"/>
    <cellStyle name="Normal 44 11" xfId="27955"/>
    <cellStyle name="Normal 44 2" xfId="27956"/>
    <cellStyle name="Normal 44 2 10" xfId="27957"/>
    <cellStyle name="Normal 44 2 2" xfId="27958"/>
    <cellStyle name="Normal 44 2 2 2" xfId="27959"/>
    <cellStyle name="Normal 44 2 2 2 2" xfId="27960"/>
    <cellStyle name="Normal 44 2 2 2 2 2" xfId="27961"/>
    <cellStyle name="Normal 44 2 2 2 2 2 2" xfId="27962"/>
    <cellStyle name="Normal 44 2 2 2 2 3" xfId="27963"/>
    <cellStyle name="Normal 44 2 2 2 2 4" xfId="27964"/>
    <cellStyle name="Normal 44 2 2 2 3" xfId="27965"/>
    <cellStyle name="Normal 44 2 2 2 3 2" xfId="27966"/>
    <cellStyle name="Normal 44 2 2 2 4" xfId="27967"/>
    <cellStyle name="Normal 44 2 2 2 5" xfId="27968"/>
    <cellStyle name="Normal 44 2 2 3" xfId="27969"/>
    <cellStyle name="Normal 44 2 2 3 2" xfId="27970"/>
    <cellStyle name="Normal 44 2 2 3 2 2" xfId="27971"/>
    <cellStyle name="Normal 44 2 2 3 2 2 2" xfId="27972"/>
    <cellStyle name="Normal 44 2 2 3 2 3" xfId="27973"/>
    <cellStyle name="Normal 44 2 2 3 2 4" xfId="27974"/>
    <cellStyle name="Normal 44 2 2 3 3" xfId="27975"/>
    <cellStyle name="Normal 44 2 2 3 3 2" xfId="27976"/>
    <cellStyle name="Normal 44 2 2 3 4" xfId="27977"/>
    <cellStyle name="Normal 44 2 2 3 5" xfId="27978"/>
    <cellStyle name="Normal 44 2 2 4" xfId="27979"/>
    <cellStyle name="Normal 44 2 2 4 2" xfId="27980"/>
    <cellStyle name="Normal 44 2 2 4 2 2" xfId="27981"/>
    <cellStyle name="Normal 44 2 2 4 3" xfId="27982"/>
    <cellStyle name="Normal 44 2 2 4 4" xfId="27983"/>
    <cellStyle name="Normal 44 2 2 5" xfId="27984"/>
    <cellStyle name="Normal 44 2 2 5 2" xfId="27985"/>
    <cellStyle name="Normal 44 2 2 5 2 2" xfId="27986"/>
    <cellStyle name="Normal 44 2 2 5 3" xfId="27987"/>
    <cellStyle name="Normal 44 2 2 5 4" xfId="27988"/>
    <cellStyle name="Normal 44 2 2 6" xfId="27989"/>
    <cellStyle name="Normal 44 2 2 6 2" xfId="27990"/>
    <cellStyle name="Normal 44 2 2 6 2 2" xfId="27991"/>
    <cellStyle name="Normal 44 2 2 6 3" xfId="27992"/>
    <cellStyle name="Normal 44 2 2 6 4" xfId="27993"/>
    <cellStyle name="Normal 44 2 2 7" xfId="27994"/>
    <cellStyle name="Normal 44 2 2 7 2" xfId="27995"/>
    <cellStyle name="Normal 44 2 2 8" xfId="27996"/>
    <cellStyle name="Normal 44 2 2 9" xfId="27997"/>
    <cellStyle name="Normal 44 2 3" xfId="27998"/>
    <cellStyle name="Normal 44 2 3 2" xfId="27999"/>
    <cellStyle name="Normal 44 2 3 2 2" xfId="28000"/>
    <cellStyle name="Normal 44 2 3 2 2 2" xfId="28001"/>
    <cellStyle name="Normal 44 2 3 2 3" xfId="28002"/>
    <cellStyle name="Normal 44 2 3 2 4" xfId="28003"/>
    <cellStyle name="Normal 44 2 3 3" xfId="28004"/>
    <cellStyle name="Normal 44 2 3 3 2" xfId="28005"/>
    <cellStyle name="Normal 44 2 3 4" xfId="28006"/>
    <cellStyle name="Normal 44 2 3 5" xfId="28007"/>
    <cellStyle name="Normal 44 2 4" xfId="28008"/>
    <cellStyle name="Normal 44 2 4 2" xfId="28009"/>
    <cellStyle name="Normal 44 2 4 2 2" xfId="28010"/>
    <cellStyle name="Normal 44 2 4 2 2 2" xfId="28011"/>
    <cellStyle name="Normal 44 2 4 2 3" xfId="28012"/>
    <cellStyle name="Normal 44 2 4 2 4" xfId="28013"/>
    <cellStyle name="Normal 44 2 4 3" xfId="28014"/>
    <cellStyle name="Normal 44 2 4 3 2" xfId="28015"/>
    <cellStyle name="Normal 44 2 4 4" xfId="28016"/>
    <cellStyle name="Normal 44 2 4 5" xfId="28017"/>
    <cellStyle name="Normal 44 2 5" xfId="28018"/>
    <cellStyle name="Normal 44 2 5 2" xfId="28019"/>
    <cellStyle name="Normal 44 2 5 2 2" xfId="28020"/>
    <cellStyle name="Normal 44 2 5 3" xfId="28021"/>
    <cellStyle name="Normal 44 2 5 4" xfId="28022"/>
    <cellStyle name="Normal 44 2 6" xfId="28023"/>
    <cellStyle name="Normal 44 2 6 2" xfId="28024"/>
    <cellStyle name="Normal 44 2 6 2 2" xfId="28025"/>
    <cellStyle name="Normal 44 2 6 3" xfId="28026"/>
    <cellStyle name="Normal 44 2 6 4" xfId="28027"/>
    <cellStyle name="Normal 44 2 7" xfId="28028"/>
    <cellStyle name="Normal 44 2 7 2" xfId="28029"/>
    <cellStyle name="Normal 44 2 7 2 2" xfId="28030"/>
    <cellStyle name="Normal 44 2 7 3" xfId="28031"/>
    <cellStyle name="Normal 44 2 7 4" xfId="28032"/>
    <cellStyle name="Normal 44 2 8" xfId="28033"/>
    <cellStyle name="Normal 44 2 8 2" xfId="28034"/>
    <cellStyle name="Normal 44 2 9" xfId="28035"/>
    <cellStyle name="Normal 44 3" xfId="28036"/>
    <cellStyle name="Normal 44 3 2" xfId="28037"/>
    <cellStyle name="Normal 44 3 2 2" xfId="28038"/>
    <cellStyle name="Normal 44 3 2 2 2" xfId="28039"/>
    <cellStyle name="Normal 44 3 2 2 2 2" xfId="28040"/>
    <cellStyle name="Normal 44 3 2 2 3" xfId="28041"/>
    <cellStyle name="Normal 44 3 2 2 4" xfId="28042"/>
    <cellStyle name="Normal 44 3 2 3" xfId="28043"/>
    <cellStyle name="Normal 44 3 2 3 2" xfId="28044"/>
    <cellStyle name="Normal 44 3 2 4" xfId="28045"/>
    <cellStyle name="Normal 44 3 2 5" xfId="28046"/>
    <cellStyle name="Normal 44 3 3" xfId="28047"/>
    <cellStyle name="Normal 44 3 3 2" xfId="28048"/>
    <cellStyle name="Normal 44 3 3 2 2" xfId="28049"/>
    <cellStyle name="Normal 44 3 3 2 2 2" xfId="28050"/>
    <cellStyle name="Normal 44 3 3 2 3" xfId="28051"/>
    <cellStyle name="Normal 44 3 3 2 4" xfId="28052"/>
    <cellStyle name="Normal 44 3 3 3" xfId="28053"/>
    <cellStyle name="Normal 44 3 3 3 2" xfId="28054"/>
    <cellStyle name="Normal 44 3 3 4" xfId="28055"/>
    <cellStyle name="Normal 44 3 3 5" xfId="28056"/>
    <cellStyle name="Normal 44 3 4" xfId="28057"/>
    <cellStyle name="Normal 44 3 4 2" xfId="28058"/>
    <cellStyle name="Normal 44 3 4 2 2" xfId="28059"/>
    <cellStyle name="Normal 44 3 4 3" xfId="28060"/>
    <cellStyle name="Normal 44 3 4 4" xfId="28061"/>
    <cellStyle name="Normal 44 3 5" xfId="28062"/>
    <cellStyle name="Normal 44 3 5 2" xfId="28063"/>
    <cellStyle name="Normal 44 3 5 2 2" xfId="28064"/>
    <cellStyle name="Normal 44 3 5 3" xfId="28065"/>
    <cellStyle name="Normal 44 3 5 4" xfId="28066"/>
    <cellStyle name="Normal 44 3 6" xfId="28067"/>
    <cellStyle name="Normal 44 3 6 2" xfId="28068"/>
    <cellStyle name="Normal 44 3 6 2 2" xfId="28069"/>
    <cellStyle name="Normal 44 3 6 3" xfId="28070"/>
    <cellStyle name="Normal 44 3 6 4" xfId="28071"/>
    <cellStyle name="Normal 44 3 7" xfId="28072"/>
    <cellStyle name="Normal 44 3 7 2" xfId="28073"/>
    <cellStyle name="Normal 44 3 8" xfId="28074"/>
    <cellStyle name="Normal 44 3 9" xfId="28075"/>
    <cellStyle name="Normal 44 4" xfId="28076"/>
    <cellStyle name="Normal 44 4 2" xfId="28077"/>
    <cellStyle name="Normal 44 4 2 2" xfId="28078"/>
    <cellStyle name="Normal 44 4 2 2 2" xfId="28079"/>
    <cellStyle name="Normal 44 4 2 3" xfId="28080"/>
    <cellStyle name="Normal 44 4 2 4" xfId="28081"/>
    <cellStyle name="Normal 44 4 3" xfId="28082"/>
    <cellStyle name="Normal 44 4 3 2" xfId="28083"/>
    <cellStyle name="Normal 44 4 4" xfId="28084"/>
    <cellStyle name="Normal 44 4 5" xfId="28085"/>
    <cellStyle name="Normal 44 5" xfId="28086"/>
    <cellStyle name="Normal 44 5 2" xfId="28087"/>
    <cellStyle name="Normal 44 5 2 2" xfId="28088"/>
    <cellStyle name="Normal 44 5 2 2 2" xfId="28089"/>
    <cellStyle name="Normal 44 5 2 3" xfId="28090"/>
    <cellStyle name="Normal 44 5 2 4" xfId="28091"/>
    <cellStyle name="Normal 44 5 3" xfId="28092"/>
    <cellStyle name="Normal 44 5 3 2" xfId="28093"/>
    <cellStyle name="Normal 44 5 4" xfId="28094"/>
    <cellStyle name="Normal 44 5 5" xfId="28095"/>
    <cellStyle name="Normal 44 6" xfId="28096"/>
    <cellStyle name="Normal 44 6 2" xfId="28097"/>
    <cellStyle name="Normal 44 6 2 2" xfId="28098"/>
    <cellStyle name="Normal 44 6 3" xfId="28099"/>
    <cellStyle name="Normal 44 6 4" xfId="28100"/>
    <cellStyle name="Normal 44 7" xfId="28101"/>
    <cellStyle name="Normal 44 7 2" xfId="28102"/>
    <cellStyle name="Normal 44 7 2 2" xfId="28103"/>
    <cellStyle name="Normal 44 7 3" xfId="28104"/>
    <cellStyle name="Normal 44 7 4" xfId="28105"/>
    <cellStyle name="Normal 44 8" xfId="28106"/>
    <cellStyle name="Normal 44 8 2" xfId="28107"/>
    <cellStyle name="Normal 44 8 2 2" xfId="28108"/>
    <cellStyle name="Normal 44 8 3" xfId="28109"/>
    <cellStyle name="Normal 44 8 4" xfId="28110"/>
    <cellStyle name="Normal 44 9" xfId="28111"/>
    <cellStyle name="Normal 44 9 2" xfId="28112"/>
    <cellStyle name="Normal 45" xfId="28113"/>
    <cellStyle name="Normal 45 2" xfId="28114"/>
    <cellStyle name="Normal 45 2 2" xfId="28115"/>
    <cellStyle name="Normal 45 3" xfId="28116"/>
    <cellStyle name="Normal 46" xfId="28117"/>
    <cellStyle name="Normal 46 10" xfId="28118"/>
    <cellStyle name="Normal 46 11" xfId="28119"/>
    <cellStyle name="Normal 46 2" xfId="28120"/>
    <cellStyle name="Normal 46 2 10" xfId="28121"/>
    <cellStyle name="Normal 46 2 2" xfId="28122"/>
    <cellStyle name="Normal 46 2 2 2" xfId="28123"/>
    <cellStyle name="Normal 46 2 2 2 2" xfId="28124"/>
    <cellStyle name="Normal 46 2 2 2 2 2" xfId="28125"/>
    <cellStyle name="Normal 46 2 2 2 2 2 2" xfId="28126"/>
    <cellStyle name="Normal 46 2 2 2 2 3" xfId="28127"/>
    <cellStyle name="Normal 46 2 2 2 2 4" xfId="28128"/>
    <cellStyle name="Normal 46 2 2 2 3" xfId="28129"/>
    <cellStyle name="Normal 46 2 2 2 3 2" xfId="28130"/>
    <cellStyle name="Normal 46 2 2 2 4" xfId="28131"/>
    <cellStyle name="Normal 46 2 2 2 5" xfId="28132"/>
    <cellStyle name="Normal 46 2 2 3" xfId="28133"/>
    <cellStyle name="Normal 46 2 2 3 2" xfId="28134"/>
    <cellStyle name="Normal 46 2 2 3 2 2" xfId="28135"/>
    <cellStyle name="Normal 46 2 2 3 2 2 2" xfId="28136"/>
    <cellStyle name="Normal 46 2 2 3 2 3" xfId="28137"/>
    <cellStyle name="Normal 46 2 2 3 2 4" xfId="28138"/>
    <cellStyle name="Normal 46 2 2 3 3" xfId="28139"/>
    <cellStyle name="Normal 46 2 2 3 3 2" xfId="28140"/>
    <cellStyle name="Normal 46 2 2 3 4" xfId="28141"/>
    <cellStyle name="Normal 46 2 2 3 5" xfId="28142"/>
    <cellStyle name="Normal 46 2 2 4" xfId="28143"/>
    <cellStyle name="Normal 46 2 2 4 2" xfId="28144"/>
    <cellStyle name="Normal 46 2 2 4 2 2" xfId="28145"/>
    <cellStyle name="Normal 46 2 2 4 3" xfId="28146"/>
    <cellStyle name="Normal 46 2 2 4 4" xfId="28147"/>
    <cellStyle name="Normal 46 2 2 5" xfId="28148"/>
    <cellStyle name="Normal 46 2 2 5 2" xfId="28149"/>
    <cellStyle name="Normal 46 2 2 5 2 2" xfId="28150"/>
    <cellStyle name="Normal 46 2 2 5 3" xfId="28151"/>
    <cellStyle name="Normal 46 2 2 5 4" xfId="28152"/>
    <cellStyle name="Normal 46 2 2 6" xfId="28153"/>
    <cellStyle name="Normal 46 2 2 6 2" xfId="28154"/>
    <cellStyle name="Normal 46 2 2 6 2 2" xfId="28155"/>
    <cellStyle name="Normal 46 2 2 6 3" xfId="28156"/>
    <cellStyle name="Normal 46 2 2 6 4" xfId="28157"/>
    <cellStyle name="Normal 46 2 2 7" xfId="28158"/>
    <cellStyle name="Normal 46 2 2 7 2" xfId="28159"/>
    <cellStyle name="Normal 46 2 2 8" xfId="28160"/>
    <cellStyle name="Normal 46 2 2 9" xfId="28161"/>
    <cellStyle name="Normal 46 2 3" xfId="28162"/>
    <cellStyle name="Normal 46 2 3 2" xfId="28163"/>
    <cellStyle name="Normal 46 2 3 2 2" xfId="28164"/>
    <cellStyle name="Normal 46 2 3 2 2 2" xfId="28165"/>
    <cellStyle name="Normal 46 2 3 2 3" xfId="28166"/>
    <cellStyle name="Normal 46 2 3 2 4" xfId="28167"/>
    <cellStyle name="Normal 46 2 3 3" xfId="28168"/>
    <cellStyle name="Normal 46 2 3 3 2" xfId="28169"/>
    <cellStyle name="Normal 46 2 3 4" xfId="28170"/>
    <cellStyle name="Normal 46 2 3 5" xfId="28171"/>
    <cellStyle name="Normal 46 2 4" xfId="28172"/>
    <cellStyle name="Normal 46 2 4 2" xfId="28173"/>
    <cellStyle name="Normal 46 2 4 2 2" xfId="28174"/>
    <cellStyle name="Normal 46 2 4 2 2 2" xfId="28175"/>
    <cellStyle name="Normal 46 2 4 2 3" xfId="28176"/>
    <cellStyle name="Normal 46 2 4 2 4" xfId="28177"/>
    <cellStyle name="Normal 46 2 4 3" xfId="28178"/>
    <cellStyle name="Normal 46 2 4 3 2" xfId="28179"/>
    <cellStyle name="Normal 46 2 4 4" xfId="28180"/>
    <cellStyle name="Normal 46 2 4 5" xfId="28181"/>
    <cellStyle name="Normal 46 2 5" xfId="28182"/>
    <cellStyle name="Normal 46 2 5 2" xfId="28183"/>
    <cellStyle name="Normal 46 2 5 2 2" xfId="28184"/>
    <cellStyle name="Normal 46 2 5 3" xfId="28185"/>
    <cellStyle name="Normal 46 2 5 4" xfId="28186"/>
    <cellStyle name="Normal 46 2 6" xfId="28187"/>
    <cellStyle name="Normal 46 2 6 2" xfId="28188"/>
    <cellStyle name="Normal 46 2 6 2 2" xfId="28189"/>
    <cellStyle name="Normal 46 2 6 3" xfId="28190"/>
    <cellStyle name="Normal 46 2 6 4" xfId="28191"/>
    <cellStyle name="Normal 46 2 7" xfId="28192"/>
    <cellStyle name="Normal 46 2 7 2" xfId="28193"/>
    <cellStyle name="Normal 46 2 7 2 2" xfId="28194"/>
    <cellStyle name="Normal 46 2 7 3" xfId="28195"/>
    <cellStyle name="Normal 46 2 7 4" xfId="28196"/>
    <cellStyle name="Normal 46 2 8" xfId="28197"/>
    <cellStyle name="Normal 46 2 8 2" xfId="28198"/>
    <cellStyle name="Normal 46 2 9" xfId="28199"/>
    <cellStyle name="Normal 46 3" xfId="28200"/>
    <cellStyle name="Normal 46 3 2" xfId="28201"/>
    <cellStyle name="Normal 46 3 2 2" xfId="28202"/>
    <cellStyle name="Normal 46 3 2 2 2" xfId="28203"/>
    <cellStyle name="Normal 46 3 2 2 2 2" xfId="28204"/>
    <cellStyle name="Normal 46 3 2 2 3" xfId="28205"/>
    <cellStyle name="Normal 46 3 2 2 4" xfId="28206"/>
    <cellStyle name="Normal 46 3 2 3" xfId="28207"/>
    <cellStyle name="Normal 46 3 2 3 2" xfId="28208"/>
    <cellStyle name="Normal 46 3 2 4" xfId="28209"/>
    <cellStyle name="Normal 46 3 2 5" xfId="28210"/>
    <cellStyle name="Normal 46 3 3" xfId="28211"/>
    <cellStyle name="Normal 46 3 3 2" xfId="28212"/>
    <cellStyle name="Normal 46 3 3 2 2" xfId="28213"/>
    <cellStyle name="Normal 46 3 3 2 2 2" xfId="28214"/>
    <cellStyle name="Normal 46 3 3 2 3" xfId="28215"/>
    <cellStyle name="Normal 46 3 3 2 4" xfId="28216"/>
    <cellStyle name="Normal 46 3 3 3" xfId="28217"/>
    <cellStyle name="Normal 46 3 3 3 2" xfId="28218"/>
    <cellStyle name="Normal 46 3 3 4" xfId="28219"/>
    <cellStyle name="Normal 46 3 3 5" xfId="28220"/>
    <cellStyle name="Normal 46 3 4" xfId="28221"/>
    <cellStyle name="Normal 46 3 4 2" xfId="28222"/>
    <cellStyle name="Normal 46 3 4 2 2" xfId="28223"/>
    <cellStyle name="Normal 46 3 4 3" xfId="28224"/>
    <cellStyle name="Normal 46 3 4 4" xfId="28225"/>
    <cellStyle name="Normal 46 3 5" xfId="28226"/>
    <cellStyle name="Normal 46 3 5 2" xfId="28227"/>
    <cellStyle name="Normal 46 3 5 2 2" xfId="28228"/>
    <cellStyle name="Normal 46 3 5 3" xfId="28229"/>
    <cellStyle name="Normal 46 3 5 4" xfId="28230"/>
    <cellStyle name="Normal 46 3 6" xfId="28231"/>
    <cellStyle name="Normal 46 3 6 2" xfId="28232"/>
    <cellStyle name="Normal 46 3 6 2 2" xfId="28233"/>
    <cellStyle name="Normal 46 3 6 3" xfId="28234"/>
    <cellStyle name="Normal 46 3 6 4" xfId="28235"/>
    <cellStyle name="Normal 46 3 7" xfId="28236"/>
    <cellStyle name="Normal 46 3 7 2" xfId="28237"/>
    <cellStyle name="Normal 46 3 8" xfId="28238"/>
    <cellStyle name="Normal 46 3 9" xfId="28239"/>
    <cellStyle name="Normal 46 4" xfId="28240"/>
    <cellStyle name="Normal 46 4 2" xfId="28241"/>
    <cellStyle name="Normal 46 4 2 2" xfId="28242"/>
    <cellStyle name="Normal 46 4 2 2 2" xfId="28243"/>
    <cellStyle name="Normal 46 4 2 3" xfId="28244"/>
    <cellStyle name="Normal 46 4 2 4" xfId="28245"/>
    <cellStyle name="Normal 46 4 3" xfId="28246"/>
    <cellStyle name="Normal 46 4 3 2" xfId="28247"/>
    <cellStyle name="Normal 46 4 4" xfId="28248"/>
    <cellStyle name="Normal 46 4 5" xfId="28249"/>
    <cellStyle name="Normal 46 5" xfId="28250"/>
    <cellStyle name="Normal 46 5 2" xfId="28251"/>
    <cellStyle name="Normal 46 5 2 2" xfId="28252"/>
    <cellStyle name="Normal 46 5 2 2 2" xfId="28253"/>
    <cellStyle name="Normal 46 5 2 3" xfId="28254"/>
    <cellStyle name="Normal 46 5 2 4" xfId="28255"/>
    <cellStyle name="Normal 46 5 3" xfId="28256"/>
    <cellStyle name="Normal 46 5 3 2" xfId="28257"/>
    <cellStyle name="Normal 46 5 4" xfId="28258"/>
    <cellStyle name="Normal 46 5 5" xfId="28259"/>
    <cellStyle name="Normal 46 6" xfId="28260"/>
    <cellStyle name="Normal 46 6 2" xfId="28261"/>
    <cellStyle name="Normal 46 6 2 2" xfId="28262"/>
    <cellStyle name="Normal 46 6 3" xfId="28263"/>
    <cellStyle name="Normal 46 6 4" xfId="28264"/>
    <cellStyle name="Normal 46 7" xfId="28265"/>
    <cellStyle name="Normal 46 7 2" xfId="28266"/>
    <cellStyle name="Normal 46 7 2 2" xfId="28267"/>
    <cellStyle name="Normal 46 7 3" xfId="28268"/>
    <cellStyle name="Normal 46 7 4" xfId="28269"/>
    <cellStyle name="Normal 46 8" xfId="28270"/>
    <cellStyle name="Normal 46 8 2" xfId="28271"/>
    <cellStyle name="Normal 46 8 2 2" xfId="28272"/>
    <cellStyle name="Normal 46 8 3" xfId="28273"/>
    <cellStyle name="Normal 46 8 4" xfId="28274"/>
    <cellStyle name="Normal 46 9" xfId="28275"/>
    <cellStyle name="Normal 46 9 2" xfId="28276"/>
    <cellStyle name="Normal 47" xfId="28277"/>
    <cellStyle name="Normal 47 10" xfId="28278"/>
    <cellStyle name="Normal 47 11" xfId="28279"/>
    <cellStyle name="Normal 47 2" xfId="28280"/>
    <cellStyle name="Normal 47 2 10" xfId="28281"/>
    <cellStyle name="Normal 47 2 2" xfId="28282"/>
    <cellStyle name="Normal 47 2 2 2" xfId="28283"/>
    <cellStyle name="Normal 47 2 2 2 2" xfId="28284"/>
    <cellStyle name="Normal 47 2 2 2 2 2" xfId="28285"/>
    <cellStyle name="Normal 47 2 2 2 2 2 2" xfId="28286"/>
    <cellStyle name="Normal 47 2 2 2 2 3" xfId="28287"/>
    <cellStyle name="Normal 47 2 2 2 2 4" xfId="28288"/>
    <cellStyle name="Normal 47 2 2 2 3" xfId="28289"/>
    <cellStyle name="Normal 47 2 2 2 3 2" xfId="28290"/>
    <cellStyle name="Normal 47 2 2 2 4" xfId="28291"/>
    <cellStyle name="Normal 47 2 2 2 5" xfId="28292"/>
    <cellStyle name="Normal 47 2 2 3" xfId="28293"/>
    <cellStyle name="Normal 47 2 2 3 2" xfId="28294"/>
    <cellStyle name="Normal 47 2 2 3 2 2" xfId="28295"/>
    <cellStyle name="Normal 47 2 2 3 2 2 2" xfId="28296"/>
    <cellStyle name="Normal 47 2 2 3 2 3" xfId="28297"/>
    <cellStyle name="Normal 47 2 2 3 2 4" xfId="28298"/>
    <cellStyle name="Normal 47 2 2 3 3" xfId="28299"/>
    <cellStyle name="Normal 47 2 2 3 3 2" xfId="28300"/>
    <cellStyle name="Normal 47 2 2 3 4" xfId="28301"/>
    <cellStyle name="Normal 47 2 2 3 5" xfId="28302"/>
    <cellStyle name="Normal 47 2 2 4" xfId="28303"/>
    <cellStyle name="Normal 47 2 2 4 2" xfId="28304"/>
    <cellStyle name="Normal 47 2 2 4 2 2" xfId="28305"/>
    <cellStyle name="Normal 47 2 2 4 3" xfId="28306"/>
    <cellStyle name="Normal 47 2 2 4 4" xfId="28307"/>
    <cellStyle name="Normal 47 2 2 5" xfId="28308"/>
    <cellStyle name="Normal 47 2 2 5 2" xfId="28309"/>
    <cellStyle name="Normal 47 2 2 5 2 2" xfId="28310"/>
    <cellStyle name="Normal 47 2 2 5 3" xfId="28311"/>
    <cellStyle name="Normal 47 2 2 5 4" xfId="28312"/>
    <cellStyle name="Normal 47 2 2 6" xfId="28313"/>
    <cellStyle name="Normal 47 2 2 6 2" xfId="28314"/>
    <cellStyle name="Normal 47 2 2 6 2 2" xfId="28315"/>
    <cellStyle name="Normal 47 2 2 6 3" xfId="28316"/>
    <cellStyle name="Normal 47 2 2 6 4" xfId="28317"/>
    <cellStyle name="Normal 47 2 2 7" xfId="28318"/>
    <cellStyle name="Normal 47 2 2 7 2" xfId="28319"/>
    <cellStyle name="Normal 47 2 2 8" xfId="28320"/>
    <cellStyle name="Normal 47 2 2 9" xfId="28321"/>
    <cellStyle name="Normal 47 2 3" xfId="28322"/>
    <cellStyle name="Normal 47 2 3 2" xfId="28323"/>
    <cellStyle name="Normal 47 2 3 2 2" xfId="28324"/>
    <cellStyle name="Normal 47 2 3 2 2 2" xfId="28325"/>
    <cellStyle name="Normal 47 2 3 2 3" xfId="28326"/>
    <cellStyle name="Normal 47 2 3 2 4" xfId="28327"/>
    <cellStyle name="Normal 47 2 3 3" xfId="28328"/>
    <cellStyle name="Normal 47 2 3 3 2" xfId="28329"/>
    <cellStyle name="Normal 47 2 3 4" xfId="28330"/>
    <cellStyle name="Normal 47 2 3 5" xfId="28331"/>
    <cellStyle name="Normal 47 2 4" xfId="28332"/>
    <cellStyle name="Normal 47 2 4 2" xfId="28333"/>
    <cellStyle name="Normal 47 2 4 2 2" xfId="28334"/>
    <cellStyle name="Normal 47 2 4 2 2 2" xfId="28335"/>
    <cellStyle name="Normal 47 2 4 2 3" xfId="28336"/>
    <cellStyle name="Normal 47 2 4 2 4" xfId="28337"/>
    <cellStyle name="Normal 47 2 4 3" xfId="28338"/>
    <cellStyle name="Normal 47 2 4 3 2" xfId="28339"/>
    <cellStyle name="Normal 47 2 4 4" xfId="28340"/>
    <cellStyle name="Normal 47 2 4 5" xfId="28341"/>
    <cellStyle name="Normal 47 2 5" xfId="28342"/>
    <cellStyle name="Normal 47 2 5 2" xfId="28343"/>
    <cellStyle name="Normal 47 2 5 2 2" xfId="28344"/>
    <cellStyle name="Normal 47 2 5 3" xfId="28345"/>
    <cellStyle name="Normal 47 2 5 4" xfId="28346"/>
    <cellStyle name="Normal 47 2 6" xfId="28347"/>
    <cellStyle name="Normal 47 2 6 2" xfId="28348"/>
    <cellStyle name="Normal 47 2 6 2 2" xfId="28349"/>
    <cellStyle name="Normal 47 2 6 3" xfId="28350"/>
    <cellStyle name="Normal 47 2 6 4" xfId="28351"/>
    <cellStyle name="Normal 47 2 7" xfId="28352"/>
    <cellStyle name="Normal 47 2 7 2" xfId="28353"/>
    <cellStyle name="Normal 47 2 7 2 2" xfId="28354"/>
    <cellStyle name="Normal 47 2 7 3" xfId="28355"/>
    <cellStyle name="Normal 47 2 7 4" xfId="28356"/>
    <cellStyle name="Normal 47 2 8" xfId="28357"/>
    <cellStyle name="Normal 47 2 8 2" xfId="28358"/>
    <cellStyle name="Normal 47 2 9" xfId="28359"/>
    <cellStyle name="Normal 47 3" xfId="28360"/>
    <cellStyle name="Normal 47 3 2" xfId="28361"/>
    <cellStyle name="Normal 47 3 2 2" xfId="28362"/>
    <cellStyle name="Normal 47 3 2 2 2" xfId="28363"/>
    <cellStyle name="Normal 47 3 2 2 2 2" xfId="28364"/>
    <cellStyle name="Normal 47 3 2 2 3" xfId="28365"/>
    <cellStyle name="Normal 47 3 2 2 4" xfId="28366"/>
    <cellStyle name="Normal 47 3 2 3" xfId="28367"/>
    <cellStyle name="Normal 47 3 2 3 2" xfId="28368"/>
    <cellStyle name="Normal 47 3 2 4" xfId="28369"/>
    <cellStyle name="Normal 47 3 2 5" xfId="28370"/>
    <cellStyle name="Normal 47 3 3" xfId="28371"/>
    <cellStyle name="Normal 47 3 3 2" xfId="28372"/>
    <cellStyle name="Normal 47 3 3 2 2" xfId="28373"/>
    <cellStyle name="Normal 47 3 3 2 2 2" xfId="28374"/>
    <cellStyle name="Normal 47 3 3 2 3" xfId="28375"/>
    <cellStyle name="Normal 47 3 3 2 4" xfId="28376"/>
    <cellStyle name="Normal 47 3 3 3" xfId="28377"/>
    <cellStyle name="Normal 47 3 3 3 2" xfId="28378"/>
    <cellStyle name="Normal 47 3 3 4" xfId="28379"/>
    <cellStyle name="Normal 47 3 3 5" xfId="28380"/>
    <cellStyle name="Normal 47 3 4" xfId="28381"/>
    <cellStyle name="Normal 47 3 4 2" xfId="28382"/>
    <cellStyle name="Normal 47 3 4 2 2" xfId="28383"/>
    <cellStyle name="Normal 47 3 4 3" xfId="28384"/>
    <cellStyle name="Normal 47 3 4 4" xfId="28385"/>
    <cellStyle name="Normal 47 3 5" xfId="28386"/>
    <cellStyle name="Normal 47 3 5 2" xfId="28387"/>
    <cellStyle name="Normal 47 3 5 2 2" xfId="28388"/>
    <cellStyle name="Normal 47 3 5 3" xfId="28389"/>
    <cellStyle name="Normal 47 3 5 4" xfId="28390"/>
    <cellStyle name="Normal 47 3 6" xfId="28391"/>
    <cellStyle name="Normal 47 3 6 2" xfId="28392"/>
    <cellStyle name="Normal 47 3 6 2 2" xfId="28393"/>
    <cellStyle name="Normal 47 3 6 3" xfId="28394"/>
    <cellStyle name="Normal 47 3 6 4" xfId="28395"/>
    <cellStyle name="Normal 47 3 7" xfId="28396"/>
    <cellStyle name="Normal 47 3 7 2" xfId="28397"/>
    <cellStyle name="Normal 47 3 8" xfId="28398"/>
    <cellStyle name="Normal 47 3 9" xfId="28399"/>
    <cellStyle name="Normal 47 4" xfId="28400"/>
    <cellStyle name="Normal 47 4 2" xfId="28401"/>
    <cellStyle name="Normal 47 4 2 2" xfId="28402"/>
    <cellStyle name="Normal 47 4 2 2 2" xfId="28403"/>
    <cellStyle name="Normal 47 4 2 3" xfId="28404"/>
    <cellStyle name="Normal 47 4 2 4" xfId="28405"/>
    <cellStyle name="Normal 47 4 3" xfId="28406"/>
    <cellStyle name="Normal 47 4 3 2" xfId="28407"/>
    <cellStyle name="Normal 47 4 4" xfId="28408"/>
    <cellStyle name="Normal 47 4 5" xfId="28409"/>
    <cellStyle name="Normal 47 5" xfId="28410"/>
    <cellStyle name="Normal 47 5 2" xfId="28411"/>
    <cellStyle name="Normal 47 5 2 2" xfId="28412"/>
    <cellStyle name="Normal 47 5 2 2 2" xfId="28413"/>
    <cellStyle name="Normal 47 5 2 3" xfId="28414"/>
    <cellStyle name="Normal 47 5 2 4" xfId="28415"/>
    <cellStyle name="Normal 47 5 3" xfId="28416"/>
    <cellStyle name="Normal 47 5 3 2" xfId="28417"/>
    <cellStyle name="Normal 47 5 4" xfId="28418"/>
    <cellStyle name="Normal 47 5 5" xfId="28419"/>
    <cellStyle name="Normal 47 6" xfId="28420"/>
    <cellStyle name="Normal 47 6 2" xfId="28421"/>
    <cellStyle name="Normal 47 6 2 2" xfId="28422"/>
    <cellStyle name="Normal 47 6 3" xfId="28423"/>
    <cellStyle name="Normal 47 6 4" xfId="28424"/>
    <cellStyle name="Normal 47 7" xfId="28425"/>
    <cellStyle name="Normal 47 7 2" xfId="28426"/>
    <cellStyle name="Normal 47 7 2 2" xfId="28427"/>
    <cellStyle name="Normal 47 7 3" xfId="28428"/>
    <cellStyle name="Normal 47 7 4" xfId="28429"/>
    <cellStyle name="Normal 47 8" xfId="28430"/>
    <cellStyle name="Normal 47 8 2" xfId="28431"/>
    <cellStyle name="Normal 47 8 2 2" xfId="28432"/>
    <cellStyle name="Normal 47 8 3" xfId="28433"/>
    <cellStyle name="Normal 47 8 4" xfId="28434"/>
    <cellStyle name="Normal 47 9" xfId="28435"/>
    <cellStyle name="Normal 47 9 2" xfId="28436"/>
    <cellStyle name="Normal 48" xfId="28437"/>
    <cellStyle name="Normal 48 10" xfId="28438"/>
    <cellStyle name="Normal 48 11" xfId="28439"/>
    <cellStyle name="Normal 48 2" xfId="28440"/>
    <cellStyle name="Normal 48 2 10" xfId="28441"/>
    <cellStyle name="Normal 48 2 2" xfId="28442"/>
    <cellStyle name="Normal 48 2 2 2" xfId="28443"/>
    <cellStyle name="Normal 48 2 2 2 2" xfId="28444"/>
    <cellStyle name="Normal 48 2 2 2 2 2" xfId="28445"/>
    <cellStyle name="Normal 48 2 2 2 2 2 2" xfId="28446"/>
    <cellStyle name="Normal 48 2 2 2 2 3" xfId="28447"/>
    <cellStyle name="Normal 48 2 2 2 2 4" xfId="28448"/>
    <cellStyle name="Normal 48 2 2 2 3" xfId="28449"/>
    <cellStyle name="Normal 48 2 2 2 3 2" xfId="28450"/>
    <cellStyle name="Normal 48 2 2 2 4" xfId="28451"/>
    <cellStyle name="Normal 48 2 2 2 5" xfId="28452"/>
    <cellStyle name="Normal 48 2 2 3" xfId="28453"/>
    <cellStyle name="Normal 48 2 2 3 2" xfId="28454"/>
    <cellStyle name="Normal 48 2 2 3 2 2" xfId="28455"/>
    <cellStyle name="Normal 48 2 2 3 2 2 2" xfId="28456"/>
    <cellStyle name="Normal 48 2 2 3 2 3" xfId="28457"/>
    <cellStyle name="Normal 48 2 2 3 2 4" xfId="28458"/>
    <cellStyle name="Normal 48 2 2 3 3" xfId="28459"/>
    <cellStyle name="Normal 48 2 2 3 3 2" xfId="28460"/>
    <cellStyle name="Normal 48 2 2 3 4" xfId="28461"/>
    <cellStyle name="Normal 48 2 2 3 5" xfId="28462"/>
    <cellStyle name="Normal 48 2 2 4" xfId="28463"/>
    <cellStyle name="Normal 48 2 2 4 2" xfId="28464"/>
    <cellStyle name="Normal 48 2 2 4 2 2" xfId="28465"/>
    <cellStyle name="Normal 48 2 2 4 3" xfId="28466"/>
    <cellStyle name="Normal 48 2 2 4 4" xfId="28467"/>
    <cellStyle name="Normal 48 2 2 5" xfId="28468"/>
    <cellStyle name="Normal 48 2 2 5 2" xfId="28469"/>
    <cellStyle name="Normal 48 2 2 5 2 2" xfId="28470"/>
    <cellStyle name="Normal 48 2 2 5 3" xfId="28471"/>
    <cellStyle name="Normal 48 2 2 5 4" xfId="28472"/>
    <cellStyle name="Normal 48 2 2 6" xfId="28473"/>
    <cellStyle name="Normal 48 2 2 6 2" xfId="28474"/>
    <cellStyle name="Normal 48 2 2 6 2 2" xfId="28475"/>
    <cellStyle name="Normal 48 2 2 6 3" xfId="28476"/>
    <cellStyle name="Normal 48 2 2 6 4" xfId="28477"/>
    <cellStyle name="Normal 48 2 2 7" xfId="28478"/>
    <cellStyle name="Normal 48 2 2 7 2" xfId="28479"/>
    <cellStyle name="Normal 48 2 2 8" xfId="28480"/>
    <cellStyle name="Normal 48 2 2 9" xfId="28481"/>
    <cellStyle name="Normal 48 2 3" xfId="28482"/>
    <cellStyle name="Normal 48 2 3 2" xfId="28483"/>
    <cellStyle name="Normal 48 2 3 2 2" xfId="28484"/>
    <cellStyle name="Normal 48 2 3 2 2 2" xfId="28485"/>
    <cellStyle name="Normal 48 2 3 2 3" xfId="28486"/>
    <cellStyle name="Normal 48 2 3 2 4" xfId="28487"/>
    <cellStyle name="Normal 48 2 3 3" xfId="28488"/>
    <cellStyle name="Normal 48 2 3 3 2" xfId="28489"/>
    <cellStyle name="Normal 48 2 3 4" xfId="28490"/>
    <cellStyle name="Normal 48 2 3 5" xfId="28491"/>
    <cellStyle name="Normal 48 2 4" xfId="28492"/>
    <cellStyle name="Normal 48 2 4 2" xfId="28493"/>
    <cellStyle name="Normal 48 2 4 2 2" xfId="28494"/>
    <cellStyle name="Normal 48 2 4 2 2 2" xfId="28495"/>
    <cellStyle name="Normal 48 2 4 2 3" xfId="28496"/>
    <cellStyle name="Normal 48 2 4 2 4" xfId="28497"/>
    <cellStyle name="Normal 48 2 4 3" xfId="28498"/>
    <cellStyle name="Normal 48 2 4 3 2" xfId="28499"/>
    <cellStyle name="Normal 48 2 4 4" xfId="28500"/>
    <cellStyle name="Normal 48 2 4 5" xfId="28501"/>
    <cellStyle name="Normal 48 2 5" xfId="28502"/>
    <cellStyle name="Normal 48 2 5 2" xfId="28503"/>
    <cellStyle name="Normal 48 2 5 2 2" xfId="28504"/>
    <cellStyle name="Normal 48 2 5 3" xfId="28505"/>
    <cellStyle name="Normal 48 2 5 4" xfId="28506"/>
    <cellStyle name="Normal 48 2 6" xfId="28507"/>
    <cellStyle name="Normal 48 2 6 2" xfId="28508"/>
    <cellStyle name="Normal 48 2 6 2 2" xfId="28509"/>
    <cellStyle name="Normal 48 2 6 3" xfId="28510"/>
    <cellStyle name="Normal 48 2 6 4" xfId="28511"/>
    <cellStyle name="Normal 48 2 7" xfId="28512"/>
    <cellStyle name="Normal 48 2 7 2" xfId="28513"/>
    <cellStyle name="Normal 48 2 7 2 2" xfId="28514"/>
    <cellStyle name="Normal 48 2 7 3" xfId="28515"/>
    <cellStyle name="Normal 48 2 7 4" xfId="28516"/>
    <cellStyle name="Normal 48 2 8" xfId="28517"/>
    <cellStyle name="Normal 48 2 8 2" xfId="28518"/>
    <cellStyle name="Normal 48 2 9" xfId="28519"/>
    <cellStyle name="Normal 48 3" xfId="28520"/>
    <cellStyle name="Normal 48 3 2" xfId="28521"/>
    <cellStyle name="Normal 48 3 2 2" xfId="28522"/>
    <cellStyle name="Normal 48 3 2 2 2" xfId="28523"/>
    <cellStyle name="Normal 48 3 2 2 2 2" xfId="28524"/>
    <cellStyle name="Normal 48 3 2 2 3" xfId="28525"/>
    <cellStyle name="Normal 48 3 2 2 4" xfId="28526"/>
    <cellStyle name="Normal 48 3 2 3" xfId="28527"/>
    <cellStyle name="Normal 48 3 2 3 2" xfId="28528"/>
    <cellStyle name="Normal 48 3 2 4" xfId="28529"/>
    <cellStyle name="Normal 48 3 2 5" xfId="28530"/>
    <cellStyle name="Normal 48 3 3" xfId="28531"/>
    <cellStyle name="Normal 48 3 3 2" xfId="28532"/>
    <cellStyle name="Normal 48 3 3 2 2" xfId="28533"/>
    <cellStyle name="Normal 48 3 3 2 2 2" xfId="28534"/>
    <cellStyle name="Normal 48 3 3 2 3" xfId="28535"/>
    <cellStyle name="Normal 48 3 3 2 4" xfId="28536"/>
    <cellStyle name="Normal 48 3 3 3" xfId="28537"/>
    <cellStyle name="Normal 48 3 3 3 2" xfId="28538"/>
    <cellStyle name="Normal 48 3 3 4" xfId="28539"/>
    <cellStyle name="Normal 48 3 3 5" xfId="28540"/>
    <cellStyle name="Normal 48 3 4" xfId="28541"/>
    <cellStyle name="Normal 48 3 4 2" xfId="28542"/>
    <cellStyle name="Normal 48 3 4 2 2" xfId="28543"/>
    <cellStyle name="Normal 48 3 4 3" xfId="28544"/>
    <cellStyle name="Normal 48 3 4 4" xfId="28545"/>
    <cellStyle name="Normal 48 3 5" xfId="28546"/>
    <cellStyle name="Normal 48 3 5 2" xfId="28547"/>
    <cellStyle name="Normal 48 3 5 2 2" xfId="28548"/>
    <cellStyle name="Normal 48 3 5 3" xfId="28549"/>
    <cellStyle name="Normal 48 3 5 4" xfId="28550"/>
    <cellStyle name="Normal 48 3 6" xfId="28551"/>
    <cellStyle name="Normal 48 3 6 2" xfId="28552"/>
    <cellStyle name="Normal 48 3 6 2 2" xfId="28553"/>
    <cellStyle name="Normal 48 3 6 3" xfId="28554"/>
    <cellStyle name="Normal 48 3 6 4" xfId="28555"/>
    <cellStyle name="Normal 48 3 7" xfId="28556"/>
    <cellStyle name="Normal 48 3 7 2" xfId="28557"/>
    <cellStyle name="Normal 48 3 8" xfId="28558"/>
    <cellStyle name="Normal 48 3 9" xfId="28559"/>
    <cellStyle name="Normal 48 4" xfId="28560"/>
    <cellStyle name="Normal 48 4 2" xfId="28561"/>
    <cellStyle name="Normal 48 4 2 2" xfId="28562"/>
    <cellStyle name="Normal 48 4 2 2 2" xfId="28563"/>
    <cellStyle name="Normal 48 4 2 3" xfId="28564"/>
    <cellStyle name="Normal 48 4 2 4" xfId="28565"/>
    <cellStyle name="Normal 48 4 3" xfId="28566"/>
    <cellStyle name="Normal 48 4 3 2" xfId="28567"/>
    <cellStyle name="Normal 48 4 4" xfId="28568"/>
    <cellStyle name="Normal 48 4 5" xfId="28569"/>
    <cellStyle name="Normal 48 5" xfId="28570"/>
    <cellStyle name="Normal 48 5 2" xfId="28571"/>
    <cellStyle name="Normal 48 5 2 2" xfId="28572"/>
    <cellStyle name="Normal 48 5 2 2 2" xfId="28573"/>
    <cellStyle name="Normal 48 5 2 3" xfId="28574"/>
    <cellStyle name="Normal 48 5 2 4" xfId="28575"/>
    <cellStyle name="Normal 48 5 3" xfId="28576"/>
    <cellStyle name="Normal 48 5 3 2" xfId="28577"/>
    <cellStyle name="Normal 48 5 4" xfId="28578"/>
    <cellStyle name="Normal 48 5 5" xfId="28579"/>
    <cellStyle name="Normal 48 6" xfId="28580"/>
    <cellStyle name="Normal 48 6 2" xfId="28581"/>
    <cellStyle name="Normal 48 6 2 2" xfId="28582"/>
    <cellStyle name="Normal 48 6 3" xfId="28583"/>
    <cellStyle name="Normal 48 6 4" xfId="28584"/>
    <cellStyle name="Normal 48 7" xfId="28585"/>
    <cellStyle name="Normal 48 7 2" xfId="28586"/>
    <cellStyle name="Normal 48 7 2 2" xfId="28587"/>
    <cellStyle name="Normal 48 7 3" xfId="28588"/>
    <cellStyle name="Normal 48 7 4" xfId="28589"/>
    <cellStyle name="Normal 48 8" xfId="28590"/>
    <cellStyle name="Normal 48 8 2" xfId="28591"/>
    <cellStyle name="Normal 48 8 2 2" xfId="28592"/>
    <cellStyle name="Normal 48 8 3" xfId="28593"/>
    <cellStyle name="Normal 48 8 4" xfId="28594"/>
    <cellStyle name="Normal 48 9" xfId="28595"/>
    <cellStyle name="Normal 48 9 2" xfId="28596"/>
    <cellStyle name="Normal 49" xfId="28597"/>
    <cellStyle name="Normal 49 10" xfId="28598"/>
    <cellStyle name="Normal 49 11" xfId="28599"/>
    <cellStyle name="Normal 49 2" xfId="28600"/>
    <cellStyle name="Normal 49 2 10" xfId="28601"/>
    <cellStyle name="Normal 49 2 2" xfId="28602"/>
    <cellStyle name="Normal 49 2 2 2" xfId="28603"/>
    <cellStyle name="Normal 49 2 2 2 2" xfId="28604"/>
    <cellStyle name="Normal 49 2 2 2 2 2" xfId="28605"/>
    <cellStyle name="Normal 49 2 2 2 2 2 2" xfId="28606"/>
    <cellStyle name="Normal 49 2 2 2 2 3" xfId="28607"/>
    <cellStyle name="Normal 49 2 2 2 2 4" xfId="28608"/>
    <cellStyle name="Normal 49 2 2 2 3" xfId="28609"/>
    <cellStyle name="Normal 49 2 2 2 3 2" xfId="28610"/>
    <cellStyle name="Normal 49 2 2 2 4" xfId="28611"/>
    <cellStyle name="Normal 49 2 2 2 5" xfId="28612"/>
    <cellStyle name="Normal 49 2 2 3" xfId="28613"/>
    <cellStyle name="Normal 49 2 2 3 2" xfId="28614"/>
    <cellStyle name="Normal 49 2 2 3 2 2" xfId="28615"/>
    <cellStyle name="Normal 49 2 2 3 2 2 2" xfId="28616"/>
    <cellStyle name="Normal 49 2 2 3 2 3" xfId="28617"/>
    <cellStyle name="Normal 49 2 2 3 2 4" xfId="28618"/>
    <cellStyle name="Normal 49 2 2 3 3" xfId="28619"/>
    <cellStyle name="Normal 49 2 2 3 3 2" xfId="28620"/>
    <cellStyle name="Normal 49 2 2 3 4" xfId="28621"/>
    <cellStyle name="Normal 49 2 2 3 5" xfId="28622"/>
    <cellStyle name="Normal 49 2 2 4" xfId="28623"/>
    <cellStyle name="Normal 49 2 2 4 2" xfId="28624"/>
    <cellStyle name="Normal 49 2 2 4 2 2" xfId="28625"/>
    <cellStyle name="Normal 49 2 2 4 3" xfId="28626"/>
    <cellStyle name="Normal 49 2 2 4 4" xfId="28627"/>
    <cellStyle name="Normal 49 2 2 5" xfId="28628"/>
    <cellStyle name="Normal 49 2 2 5 2" xfId="28629"/>
    <cellStyle name="Normal 49 2 2 5 2 2" xfId="28630"/>
    <cellStyle name="Normal 49 2 2 5 3" xfId="28631"/>
    <cellStyle name="Normal 49 2 2 5 4" xfId="28632"/>
    <cellStyle name="Normal 49 2 2 6" xfId="28633"/>
    <cellStyle name="Normal 49 2 2 6 2" xfId="28634"/>
    <cellStyle name="Normal 49 2 2 6 2 2" xfId="28635"/>
    <cellStyle name="Normal 49 2 2 6 3" xfId="28636"/>
    <cellStyle name="Normal 49 2 2 6 4" xfId="28637"/>
    <cellStyle name="Normal 49 2 2 7" xfId="28638"/>
    <cellStyle name="Normal 49 2 2 7 2" xfId="28639"/>
    <cellStyle name="Normal 49 2 2 8" xfId="28640"/>
    <cellStyle name="Normal 49 2 2 9" xfId="28641"/>
    <cellStyle name="Normal 49 2 3" xfId="28642"/>
    <cellStyle name="Normal 49 2 3 2" xfId="28643"/>
    <cellStyle name="Normal 49 2 3 2 2" xfId="28644"/>
    <cellStyle name="Normal 49 2 3 2 2 2" xfId="28645"/>
    <cellStyle name="Normal 49 2 3 2 3" xfId="28646"/>
    <cellStyle name="Normal 49 2 3 2 4" xfId="28647"/>
    <cellStyle name="Normal 49 2 3 3" xfId="28648"/>
    <cellStyle name="Normal 49 2 3 3 2" xfId="28649"/>
    <cellStyle name="Normal 49 2 3 4" xfId="28650"/>
    <cellStyle name="Normal 49 2 3 5" xfId="28651"/>
    <cellStyle name="Normal 49 2 4" xfId="28652"/>
    <cellStyle name="Normal 49 2 4 2" xfId="28653"/>
    <cellStyle name="Normal 49 2 4 2 2" xfId="28654"/>
    <cellStyle name="Normal 49 2 4 2 2 2" xfId="28655"/>
    <cellStyle name="Normal 49 2 4 2 3" xfId="28656"/>
    <cellStyle name="Normal 49 2 4 2 4" xfId="28657"/>
    <cellStyle name="Normal 49 2 4 3" xfId="28658"/>
    <cellStyle name="Normal 49 2 4 3 2" xfId="28659"/>
    <cellStyle name="Normal 49 2 4 4" xfId="28660"/>
    <cellStyle name="Normal 49 2 4 5" xfId="28661"/>
    <cellStyle name="Normal 49 2 5" xfId="28662"/>
    <cellStyle name="Normal 49 2 5 2" xfId="28663"/>
    <cellStyle name="Normal 49 2 5 2 2" xfId="28664"/>
    <cellStyle name="Normal 49 2 5 3" xfId="28665"/>
    <cellStyle name="Normal 49 2 5 4" xfId="28666"/>
    <cellStyle name="Normal 49 2 6" xfId="28667"/>
    <cellStyle name="Normal 49 2 6 2" xfId="28668"/>
    <cellStyle name="Normal 49 2 6 2 2" xfId="28669"/>
    <cellStyle name="Normal 49 2 6 3" xfId="28670"/>
    <cellStyle name="Normal 49 2 6 4" xfId="28671"/>
    <cellStyle name="Normal 49 2 7" xfId="28672"/>
    <cellStyle name="Normal 49 2 7 2" xfId="28673"/>
    <cellStyle name="Normal 49 2 7 2 2" xfId="28674"/>
    <cellStyle name="Normal 49 2 7 3" xfId="28675"/>
    <cellStyle name="Normal 49 2 7 4" xfId="28676"/>
    <cellStyle name="Normal 49 2 8" xfId="28677"/>
    <cellStyle name="Normal 49 2 8 2" xfId="28678"/>
    <cellStyle name="Normal 49 2 9" xfId="28679"/>
    <cellStyle name="Normal 49 3" xfId="28680"/>
    <cellStyle name="Normal 49 3 2" xfId="28681"/>
    <cellStyle name="Normal 49 3 2 2" xfId="28682"/>
    <cellStyle name="Normal 49 3 2 2 2" xfId="28683"/>
    <cellStyle name="Normal 49 3 2 2 2 2" xfId="28684"/>
    <cellStyle name="Normal 49 3 2 2 3" xfId="28685"/>
    <cellStyle name="Normal 49 3 2 2 4" xfId="28686"/>
    <cellStyle name="Normal 49 3 2 3" xfId="28687"/>
    <cellStyle name="Normal 49 3 2 3 2" xfId="28688"/>
    <cellStyle name="Normal 49 3 2 4" xfId="28689"/>
    <cellStyle name="Normal 49 3 2 5" xfId="28690"/>
    <cellStyle name="Normal 49 3 3" xfId="28691"/>
    <cellStyle name="Normal 49 3 3 2" xfId="28692"/>
    <cellStyle name="Normal 49 3 3 2 2" xfId="28693"/>
    <cellStyle name="Normal 49 3 3 2 2 2" xfId="28694"/>
    <cellStyle name="Normal 49 3 3 2 3" xfId="28695"/>
    <cellStyle name="Normal 49 3 3 2 4" xfId="28696"/>
    <cellStyle name="Normal 49 3 3 3" xfId="28697"/>
    <cellStyle name="Normal 49 3 3 3 2" xfId="28698"/>
    <cellStyle name="Normal 49 3 3 4" xfId="28699"/>
    <cellStyle name="Normal 49 3 3 5" xfId="28700"/>
    <cellStyle name="Normal 49 3 4" xfId="28701"/>
    <cellStyle name="Normal 49 3 4 2" xfId="28702"/>
    <cellStyle name="Normal 49 3 4 2 2" xfId="28703"/>
    <cellStyle name="Normal 49 3 4 3" xfId="28704"/>
    <cellStyle name="Normal 49 3 4 4" xfId="28705"/>
    <cellStyle name="Normal 49 3 5" xfId="28706"/>
    <cellStyle name="Normal 49 3 5 2" xfId="28707"/>
    <cellStyle name="Normal 49 3 5 2 2" xfId="28708"/>
    <cellStyle name="Normal 49 3 5 3" xfId="28709"/>
    <cellStyle name="Normal 49 3 5 4" xfId="28710"/>
    <cellStyle name="Normal 49 3 6" xfId="28711"/>
    <cellStyle name="Normal 49 3 6 2" xfId="28712"/>
    <cellStyle name="Normal 49 3 6 2 2" xfId="28713"/>
    <cellStyle name="Normal 49 3 6 3" xfId="28714"/>
    <cellStyle name="Normal 49 3 6 4" xfId="28715"/>
    <cellStyle name="Normal 49 3 7" xfId="28716"/>
    <cellStyle name="Normal 49 3 7 2" xfId="28717"/>
    <cellStyle name="Normal 49 3 8" xfId="28718"/>
    <cellStyle name="Normal 49 3 9" xfId="28719"/>
    <cellStyle name="Normal 49 4" xfId="28720"/>
    <cellStyle name="Normal 49 4 2" xfId="28721"/>
    <cellStyle name="Normal 49 4 2 2" xfId="28722"/>
    <cellStyle name="Normal 49 4 2 2 2" xfId="28723"/>
    <cellStyle name="Normal 49 4 2 3" xfId="28724"/>
    <cellStyle name="Normal 49 4 2 4" xfId="28725"/>
    <cellStyle name="Normal 49 4 3" xfId="28726"/>
    <cellStyle name="Normal 49 4 3 2" xfId="28727"/>
    <cellStyle name="Normal 49 4 4" xfId="28728"/>
    <cellStyle name="Normal 49 4 5" xfId="28729"/>
    <cellStyle name="Normal 49 5" xfId="28730"/>
    <cellStyle name="Normal 49 5 2" xfId="28731"/>
    <cellStyle name="Normal 49 5 2 2" xfId="28732"/>
    <cellStyle name="Normal 49 5 2 2 2" xfId="28733"/>
    <cellStyle name="Normal 49 5 2 3" xfId="28734"/>
    <cellStyle name="Normal 49 5 2 4" xfId="28735"/>
    <cellStyle name="Normal 49 5 3" xfId="28736"/>
    <cellStyle name="Normal 49 5 3 2" xfId="28737"/>
    <cellStyle name="Normal 49 5 4" xfId="28738"/>
    <cellStyle name="Normal 49 5 5" xfId="28739"/>
    <cellStyle name="Normal 49 6" xfId="28740"/>
    <cellStyle name="Normal 49 6 2" xfId="28741"/>
    <cellStyle name="Normal 49 6 2 2" xfId="28742"/>
    <cellStyle name="Normal 49 6 3" xfId="28743"/>
    <cellStyle name="Normal 49 6 4" xfId="28744"/>
    <cellStyle name="Normal 49 7" xfId="28745"/>
    <cellStyle name="Normal 49 7 2" xfId="28746"/>
    <cellStyle name="Normal 49 7 2 2" xfId="28747"/>
    <cellStyle name="Normal 49 7 3" xfId="28748"/>
    <cellStyle name="Normal 49 7 4" xfId="28749"/>
    <cellStyle name="Normal 49 8" xfId="28750"/>
    <cellStyle name="Normal 49 8 2" xfId="28751"/>
    <cellStyle name="Normal 49 8 2 2" xfId="28752"/>
    <cellStyle name="Normal 49 8 3" xfId="28753"/>
    <cellStyle name="Normal 49 8 4" xfId="28754"/>
    <cellStyle name="Normal 49 9" xfId="28755"/>
    <cellStyle name="Normal 49 9 2" xfId="28756"/>
    <cellStyle name="Normal 5" xfId="89"/>
    <cellStyle name="Normal 5 10" xfId="35847"/>
    <cellStyle name="Normal 5 2" xfId="95"/>
    <cellStyle name="Normal 5 2 2" xfId="207"/>
    <cellStyle name="Normal 5 2 2 2" xfId="28758"/>
    <cellStyle name="Normal 5 2 2 3" xfId="28759"/>
    <cellStyle name="Normal 5 2 2 3 2" xfId="28760"/>
    <cellStyle name="Normal 5 2 2 3 2 2" xfId="182"/>
    <cellStyle name="Normal 5 2 2 3 2 2 2" xfId="331"/>
    <cellStyle name="Normal 5 2 2 3 2 2 2 2" xfId="412"/>
    <cellStyle name="Normal 5 2 2 3 2 2 3" xfId="352"/>
    <cellStyle name="Normal 5 2 2 3 2 2 3 2" xfId="433"/>
    <cellStyle name="Normal 5 2 2 3 2 2 4" xfId="375"/>
    <cellStyle name="Normal 5 2 2 3 3" xfId="28761"/>
    <cellStyle name="Normal 5 2 2 3 4" xfId="28762"/>
    <cellStyle name="Normal 5 2 2 4" xfId="35645"/>
    <cellStyle name="Normal 5 2 3" xfId="330"/>
    <cellStyle name="Normal 5 2 3 2" xfId="411"/>
    <cellStyle name="Normal 5 2 3 2 2" xfId="28763"/>
    <cellStyle name="Normal 5 2 3 2 2 2" xfId="28764"/>
    <cellStyle name="Normal 5 2 3 2 3" xfId="28765"/>
    <cellStyle name="Normal 5 2 3 2 4" xfId="28766"/>
    <cellStyle name="Normal 5 2 4" xfId="351"/>
    <cellStyle name="Normal 5 2 4 2" xfId="432"/>
    <cellStyle name="Normal 5 2 5" xfId="374"/>
    <cellStyle name="Normal 5 2 6" xfId="35488"/>
    <cellStyle name="Normal 5 2 7" xfId="28757"/>
    <cellStyle name="Normal 5 3" xfId="301"/>
    <cellStyle name="Normal 5 3 2" xfId="394"/>
    <cellStyle name="Normal 5 3 2 2" xfId="28768"/>
    <cellStyle name="Normal 5 3 2 2 2" xfId="28769"/>
    <cellStyle name="Normal 5 3 2 2 2 2" xfId="28770"/>
    <cellStyle name="Normal 5 3 2 2 3" xfId="28771"/>
    <cellStyle name="Normal 5 3 2 2 4" xfId="28772"/>
    <cellStyle name="Normal 5 3 3" xfId="28773"/>
    <cellStyle name="Normal 5 3 3 2" xfId="28774"/>
    <cellStyle name="Normal 5 3 3 2 2" xfId="28775"/>
    <cellStyle name="Normal 5 3 3 3" xfId="28776"/>
    <cellStyle name="Normal 5 3 3 4" xfId="28777"/>
    <cellStyle name="Normal 5 3 4" xfId="28767"/>
    <cellStyle name="Normal 5 3 5" xfId="35914"/>
    <cellStyle name="Normal 5 4" xfId="181"/>
    <cellStyle name="Normal 5 4 10" xfId="28778"/>
    <cellStyle name="Normal 5 4 2" xfId="28779"/>
    <cellStyle name="Normal 5 4 2 2" xfId="28780"/>
    <cellStyle name="Normal 5 4 2 2 2" xfId="28781"/>
    <cellStyle name="Normal 5 4 2 2 2 2" xfId="28782"/>
    <cellStyle name="Normal 5 4 2 2 3" xfId="28783"/>
    <cellStyle name="Normal 5 4 2 2 4" xfId="28784"/>
    <cellStyle name="Normal 5 4 2 3" xfId="28785"/>
    <cellStyle name="Normal 5 4 2 3 2" xfId="28786"/>
    <cellStyle name="Normal 5 4 2 3 2 2" xfId="28787"/>
    <cellStyle name="Normal 5 4 2 3 3" xfId="28788"/>
    <cellStyle name="Normal 5 4 2 3 4" xfId="28789"/>
    <cellStyle name="Normal 5 4 2 4" xfId="28790"/>
    <cellStyle name="Normal 5 4 2 4 2" xfId="28791"/>
    <cellStyle name="Normal 5 4 2 5" xfId="28792"/>
    <cellStyle name="Normal 5 4 2 6" xfId="28793"/>
    <cellStyle name="Normal 5 4 3" xfId="28794"/>
    <cellStyle name="Normal 5 4 3 2" xfId="28795"/>
    <cellStyle name="Normal 5 4 3 2 2" xfId="28796"/>
    <cellStyle name="Normal 5 4 3 2 2 2" xfId="28797"/>
    <cellStyle name="Normal 5 4 3 2 3" xfId="28798"/>
    <cellStyle name="Normal 5 4 3 2 4" xfId="28799"/>
    <cellStyle name="Normal 5 4 3 3" xfId="28800"/>
    <cellStyle name="Normal 5 4 3 3 2" xfId="28801"/>
    <cellStyle name="Normal 5 4 3 3 2 2" xfId="28802"/>
    <cellStyle name="Normal 5 4 3 3 3" xfId="28803"/>
    <cellStyle name="Normal 5 4 3 3 4" xfId="28804"/>
    <cellStyle name="Normal 5 4 3 4" xfId="28805"/>
    <cellStyle name="Normal 5 4 3 4 2" xfId="28806"/>
    <cellStyle name="Normal 5 4 3 5" xfId="28807"/>
    <cellStyle name="Normal 5 4 3 6" xfId="28808"/>
    <cellStyle name="Normal 5 4 4" xfId="28809"/>
    <cellStyle name="Normal 5 4 4 2" xfId="28810"/>
    <cellStyle name="Normal 5 4 4 2 2" xfId="28811"/>
    <cellStyle name="Normal 5 4 4 3" xfId="28812"/>
    <cellStyle name="Normal 5 4 4 4" xfId="28813"/>
    <cellStyle name="Normal 5 4 5" xfId="28814"/>
    <cellStyle name="Normal 5 4 5 2" xfId="28815"/>
    <cellStyle name="Normal 5 4 5 2 2" xfId="28816"/>
    <cellStyle name="Normal 5 4 5 3" xfId="28817"/>
    <cellStyle name="Normal 5 4 5 4" xfId="28818"/>
    <cellStyle name="Normal 5 4 6" xfId="28819"/>
    <cellStyle name="Normal 5 4 6 2" xfId="28820"/>
    <cellStyle name="Normal 5 4 7" xfId="28821"/>
    <cellStyle name="Normal 5 4 8" xfId="28822"/>
    <cellStyle name="Normal 5 4 9" xfId="35658"/>
    <cellStyle name="Normal 5 5" xfId="28823"/>
    <cellStyle name="Normal 5 5 2" xfId="28824"/>
    <cellStyle name="Normal 5 5 2 2" xfId="28825"/>
    <cellStyle name="Normal 5 5 2 2 2" xfId="28826"/>
    <cellStyle name="Normal 5 5 2 3" xfId="28827"/>
    <cellStyle name="Normal 5 5 2 4" xfId="28828"/>
    <cellStyle name="Normal 5 6" xfId="28829"/>
    <cellStyle name="Normal 5 6 2" xfId="28830"/>
    <cellStyle name="Normal 5 6 2 2" xfId="28831"/>
    <cellStyle name="Normal 5 6 3" xfId="28832"/>
    <cellStyle name="Normal 5 6 4" xfId="28833"/>
    <cellStyle name="Normal 5 7" xfId="28834"/>
    <cellStyle name="Normal 5 7 2" xfId="28835"/>
    <cellStyle name="Normal 5 7 2 2" xfId="28836"/>
    <cellStyle name="Normal 5 7 3" xfId="28837"/>
    <cellStyle name="Normal 5 7 4" xfId="28838"/>
    <cellStyle name="Normal 5 8" xfId="28839"/>
    <cellStyle name="Normal 5 8 2" xfId="28840"/>
    <cellStyle name="Normal 5 8 2 2" xfId="28841"/>
    <cellStyle name="Normal 5 8 3" xfId="28842"/>
    <cellStyle name="Normal 5 8 4" xfId="28843"/>
    <cellStyle name="Normal 5 9" xfId="35710"/>
    <cellStyle name="Normal 50" xfId="28844"/>
    <cellStyle name="Normal 50 10" xfId="28845"/>
    <cellStyle name="Normal 50 11" xfId="28846"/>
    <cellStyle name="Normal 50 2" xfId="28847"/>
    <cellStyle name="Normal 50 2 10" xfId="28848"/>
    <cellStyle name="Normal 50 2 2" xfId="28849"/>
    <cellStyle name="Normal 50 2 2 2" xfId="28850"/>
    <cellStyle name="Normal 50 2 2 2 2" xfId="28851"/>
    <cellStyle name="Normal 50 2 2 2 2 2" xfId="28852"/>
    <cellStyle name="Normal 50 2 2 2 2 2 2" xfId="28853"/>
    <cellStyle name="Normal 50 2 2 2 2 3" xfId="28854"/>
    <cellStyle name="Normal 50 2 2 2 2 4" xfId="28855"/>
    <cellStyle name="Normal 50 2 2 2 3" xfId="28856"/>
    <cellStyle name="Normal 50 2 2 2 3 2" xfId="28857"/>
    <cellStyle name="Normal 50 2 2 2 4" xfId="28858"/>
    <cellStyle name="Normal 50 2 2 2 5" xfId="28859"/>
    <cellStyle name="Normal 50 2 2 3" xfId="28860"/>
    <cellStyle name="Normal 50 2 2 3 2" xfId="28861"/>
    <cellStyle name="Normal 50 2 2 3 2 2" xfId="28862"/>
    <cellStyle name="Normal 50 2 2 3 2 2 2" xfId="28863"/>
    <cellStyle name="Normal 50 2 2 3 2 3" xfId="28864"/>
    <cellStyle name="Normal 50 2 2 3 2 4" xfId="28865"/>
    <cellStyle name="Normal 50 2 2 3 3" xfId="28866"/>
    <cellStyle name="Normal 50 2 2 3 3 2" xfId="28867"/>
    <cellStyle name="Normal 50 2 2 3 4" xfId="28868"/>
    <cellStyle name="Normal 50 2 2 3 5" xfId="28869"/>
    <cellStyle name="Normal 50 2 2 4" xfId="28870"/>
    <cellStyle name="Normal 50 2 2 4 2" xfId="28871"/>
    <cellStyle name="Normal 50 2 2 4 2 2" xfId="28872"/>
    <cellStyle name="Normal 50 2 2 4 3" xfId="28873"/>
    <cellStyle name="Normal 50 2 2 4 4" xfId="28874"/>
    <cellStyle name="Normal 50 2 2 5" xfId="28875"/>
    <cellStyle name="Normal 50 2 2 5 2" xfId="28876"/>
    <cellStyle name="Normal 50 2 2 5 2 2" xfId="28877"/>
    <cellStyle name="Normal 50 2 2 5 3" xfId="28878"/>
    <cellStyle name="Normal 50 2 2 5 4" xfId="28879"/>
    <cellStyle name="Normal 50 2 2 6" xfId="28880"/>
    <cellStyle name="Normal 50 2 2 6 2" xfId="28881"/>
    <cellStyle name="Normal 50 2 2 6 2 2" xfId="28882"/>
    <cellStyle name="Normal 50 2 2 6 3" xfId="28883"/>
    <cellStyle name="Normal 50 2 2 6 4" xfId="28884"/>
    <cellStyle name="Normal 50 2 2 7" xfId="28885"/>
    <cellStyle name="Normal 50 2 2 7 2" xfId="28886"/>
    <cellStyle name="Normal 50 2 2 8" xfId="28887"/>
    <cellStyle name="Normal 50 2 2 9" xfId="28888"/>
    <cellStyle name="Normal 50 2 3" xfId="28889"/>
    <cellStyle name="Normal 50 2 3 2" xfId="28890"/>
    <cellStyle name="Normal 50 2 3 2 2" xfId="28891"/>
    <cellStyle name="Normal 50 2 3 2 2 2" xfId="28892"/>
    <cellStyle name="Normal 50 2 3 2 3" xfId="28893"/>
    <cellStyle name="Normal 50 2 3 2 4" xfId="28894"/>
    <cellStyle name="Normal 50 2 3 3" xfId="28895"/>
    <cellStyle name="Normal 50 2 3 3 2" xfId="28896"/>
    <cellStyle name="Normal 50 2 3 4" xfId="28897"/>
    <cellStyle name="Normal 50 2 3 5" xfId="28898"/>
    <cellStyle name="Normal 50 2 4" xfId="28899"/>
    <cellStyle name="Normal 50 2 4 2" xfId="28900"/>
    <cellStyle name="Normal 50 2 4 2 2" xfId="28901"/>
    <cellStyle name="Normal 50 2 4 2 2 2" xfId="28902"/>
    <cellStyle name="Normal 50 2 4 2 3" xfId="28903"/>
    <cellStyle name="Normal 50 2 4 2 4" xfId="28904"/>
    <cellStyle name="Normal 50 2 4 3" xfId="28905"/>
    <cellStyle name="Normal 50 2 4 3 2" xfId="28906"/>
    <cellStyle name="Normal 50 2 4 4" xfId="28907"/>
    <cellStyle name="Normal 50 2 4 5" xfId="28908"/>
    <cellStyle name="Normal 50 2 5" xfId="28909"/>
    <cellStyle name="Normal 50 2 5 2" xfId="28910"/>
    <cellStyle name="Normal 50 2 5 2 2" xfId="28911"/>
    <cellStyle name="Normal 50 2 5 3" xfId="28912"/>
    <cellStyle name="Normal 50 2 5 4" xfId="28913"/>
    <cellStyle name="Normal 50 2 6" xfId="28914"/>
    <cellStyle name="Normal 50 2 6 2" xfId="28915"/>
    <cellStyle name="Normal 50 2 6 2 2" xfId="28916"/>
    <cellStyle name="Normal 50 2 6 3" xfId="28917"/>
    <cellStyle name="Normal 50 2 6 4" xfId="28918"/>
    <cellStyle name="Normal 50 2 7" xfId="28919"/>
    <cellStyle name="Normal 50 2 7 2" xfId="28920"/>
    <cellStyle name="Normal 50 2 7 2 2" xfId="28921"/>
    <cellStyle name="Normal 50 2 7 3" xfId="28922"/>
    <cellStyle name="Normal 50 2 7 4" xfId="28923"/>
    <cellStyle name="Normal 50 2 8" xfId="28924"/>
    <cellStyle name="Normal 50 2 8 2" xfId="28925"/>
    <cellStyle name="Normal 50 2 9" xfId="28926"/>
    <cellStyle name="Normal 50 3" xfId="28927"/>
    <cellStyle name="Normal 50 3 2" xfId="28928"/>
    <cellStyle name="Normal 50 3 2 2" xfId="28929"/>
    <cellStyle name="Normal 50 3 2 2 2" xfId="28930"/>
    <cellStyle name="Normal 50 3 2 2 2 2" xfId="28931"/>
    <cellStyle name="Normal 50 3 2 2 3" xfId="28932"/>
    <cellStyle name="Normal 50 3 2 2 4" xfId="28933"/>
    <cellStyle name="Normal 50 3 2 3" xfId="28934"/>
    <cellStyle name="Normal 50 3 2 3 2" xfId="28935"/>
    <cellStyle name="Normal 50 3 2 4" xfId="28936"/>
    <cellStyle name="Normal 50 3 2 5" xfId="28937"/>
    <cellStyle name="Normal 50 3 3" xfId="28938"/>
    <cellStyle name="Normal 50 3 3 2" xfId="28939"/>
    <cellStyle name="Normal 50 3 3 2 2" xfId="28940"/>
    <cellStyle name="Normal 50 3 3 2 2 2" xfId="28941"/>
    <cellStyle name="Normal 50 3 3 2 3" xfId="28942"/>
    <cellStyle name="Normal 50 3 3 2 4" xfId="28943"/>
    <cellStyle name="Normal 50 3 3 3" xfId="28944"/>
    <cellStyle name="Normal 50 3 3 3 2" xfId="28945"/>
    <cellStyle name="Normal 50 3 3 4" xfId="28946"/>
    <cellStyle name="Normal 50 3 3 5" xfId="28947"/>
    <cellStyle name="Normal 50 3 4" xfId="28948"/>
    <cellStyle name="Normal 50 3 4 2" xfId="28949"/>
    <cellStyle name="Normal 50 3 4 2 2" xfId="28950"/>
    <cellStyle name="Normal 50 3 4 3" xfId="28951"/>
    <cellStyle name="Normal 50 3 4 4" xfId="28952"/>
    <cellStyle name="Normal 50 3 5" xfId="28953"/>
    <cellStyle name="Normal 50 3 5 2" xfId="28954"/>
    <cellStyle name="Normal 50 3 5 2 2" xfId="28955"/>
    <cellStyle name="Normal 50 3 5 3" xfId="28956"/>
    <cellStyle name="Normal 50 3 5 4" xfId="28957"/>
    <cellStyle name="Normal 50 3 6" xfId="28958"/>
    <cellStyle name="Normal 50 3 6 2" xfId="28959"/>
    <cellStyle name="Normal 50 3 6 2 2" xfId="28960"/>
    <cellStyle name="Normal 50 3 6 3" xfId="28961"/>
    <cellStyle name="Normal 50 3 6 4" xfId="28962"/>
    <cellStyle name="Normal 50 3 7" xfId="28963"/>
    <cellStyle name="Normal 50 3 7 2" xfId="28964"/>
    <cellStyle name="Normal 50 3 8" xfId="28965"/>
    <cellStyle name="Normal 50 3 9" xfId="28966"/>
    <cellStyle name="Normal 50 4" xfId="28967"/>
    <cellStyle name="Normal 50 4 2" xfId="28968"/>
    <cellStyle name="Normal 50 4 2 2" xfId="28969"/>
    <cellStyle name="Normal 50 4 2 2 2" xfId="28970"/>
    <cellStyle name="Normal 50 4 2 3" xfId="28971"/>
    <cellStyle name="Normal 50 4 2 4" xfId="28972"/>
    <cellStyle name="Normal 50 4 3" xfId="28973"/>
    <cellStyle name="Normal 50 4 3 2" xfId="28974"/>
    <cellStyle name="Normal 50 4 4" xfId="28975"/>
    <cellStyle name="Normal 50 4 5" xfId="28976"/>
    <cellStyle name="Normal 50 5" xfId="28977"/>
    <cellStyle name="Normal 50 5 2" xfId="28978"/>
    <cellStyle name="Normal 50 5 2 2" xfId="28979"/>
    <cellStyle name="Normal 50 5 2 2 2" xfId="28980"/>
    <cellStyle name="Normal 50 5 2 3" xfId="28981"/>
    <cellStyle name="Normal 50 5 2 4" xfId="28982"/>
    <cellStyle name="Normal 50 5 3" xfId="28983"/>
    <cellStyle name="Normal 50 5 3 2" xfId="28984"/>
    <cellStyle name="Normal 50 5 4" xfId="28985"/>
    <cellStyle name="Normal 50 5 5" xfId="28986"/>
    <cellStyle name="Normal 50 6" xfId="28987"/>
    <cellStyle name="Normal 50 6 2" xfId="28988"/>
    <cellStyle name="Normal 50 6 2 2" xfId="28989"/>
    <cellStyle name="Normal 50 6 3" xfId="28990"/>
    <cellStyle name="Normal 50 6 4" xfId="28991"/>
    <cellStyle name="Normal 50 7" xfId="28992"/>
    <cellStyle name="Normal 50 7 2" xfId="28993"/>
    <cellStyle name="Normal 50 7 2 2" xfId="28994"/>
    <cellStyle name="Normal 50 7 3" xfId="28995"/>
    <cellStyle name="Normal 50 7 4" xfId="28996"/>
    <cellStyle name="Normal 50 8" xfId="28997"/>
    <cellStyle name="Normal 50 8 2" xfId="28998"/>
    <cellStyle name="Normal 50 8 2 2" xfId="28999"/>
    <cellStyle name="Normal 50 8 3" xfId="29000"/>
    <cellStyle name="Normal 50 8 4" xfId="29001"/>
    <cellStyle name="Normal 50 9" xfId="29002"/>
    <cellStyle name="Normal 50 9 2" xfId="29003"/>
    <cellStyle name="Normal 51" xfId="29004"/>
    <cellStyle name="Normal 51 10" xfId="29005"/>
    <cellStyle name="Normal 51 11" xfId="29006"/>
    <cellStyle name="Normal 51 2" xfId="29007"/>
    <cellStyle name="Normal 51 2 10" xfId="29008"/>
    <cellStyle name="Normal 51 2 2" xfId="29009"/>
    <cellStyle name="Normal 51 2 2 2" xfId="29010"/>
    <cellStyle name="Normal 51 2 2 2 2" xfId="29011"/>
    <cellStyle name="Normal 51 2 2 2 2 2" xfId="29012"/>
    <cellStyle name="Normal 51 2 2 2 2 2 2" xfId="29013"/>
    <cellStyle name="Normal 51 2 2 2 2 3" xfId="29014"/>
    <cellStyle name="Normal 51 2 2 2 2 4" xfId="29015"/>
    <cellStyle name="Normal 51 2 2 2 3" xfId="29016"/>
    <cellStyle name="Normal 51 2 2 2 3 2" xfId="29017"/>
    <cellStyle name="Normal 51 2 2 2 4" xfId="29018"/>
    <cellStyle name="Normal 51 2 2 2 5" xfId="29019"/>
    <cellStyle name="Normal 51 2 2 3" xfId="29020"/>
    <cellStyle name="Normal 51 2 2 3 2" xfId="29021"/>
    <cellStyle name="Normal 51 2 2 3 2 2" xfId="29022"/>
    <cellStyle name="Normal 51 2 2 3 2 2 2" xfId="29023"/>
    <cellStyle name="Normal 51 2 2 3 2 3" xfId="29024"/>
    <cellStyle name="Normal 51 2 2 3 2 4" xfId="29025"/>
    <cellStyle name="Normal 51 2 2 3 3" xfId="29026"/>
    <cellStyle name="Normal 51 2 2 3 3 2" xfId="29027"/>
    <cellStyle name="Normal 51 2 2 3 4" xfId="29028"/>
    <cellStyle name="Normal 51 2 2 3 5" xfId="29029"/>
    <cellStyle name="Normal 51 2 2 4" xfId="29030"/>
    <cellStyle name="Normal 51 2 2 4 2" xfId="29031"/>
    <cellStyle name="Normal 51 2 2 4 2 2" xfId="29032"/>
    <cellStyle name="Normal 51 2 2 4 3" xfId="29033"/>
    <cellStyle name="Normal 51 2 2 4 4" xfId="29034"/>
    <cellStyle name="Normal 51 2 2 5" xfId="29035"/>
    <cellStyle name="Normal 51 2 2 5 2" xfId="29036"/>
    <cellStyle name="Normal 51 2 2 5 2 2" xfId="29037"/>
    <cellStyle name="Normal 51 2 2 5 3" xfId="29038"/>
    <cellStyle name="Normal 51 2 2 5 4" xfId="29039"/>
    <cellStyle name="Normal 51 2 2 6" xfId="29040"/>
    <cellStyle name="Normal 51 2 2 6 2" xfId="29041"/>
    <cellStyle name="Normal 51 2 2 6 2 2" xfId="29042"/>
    <cellStyle name="Normal 51 2 2 6 3" xfId="29043"/>
    <cellStyle name="Normal 51 2 2 6 4" xfId="29044"/>
    <cellStyle name="Normal 51 2 2 7" xfId="29045"/>
    <cellStyle name="Normal 51 2 2 7 2" xfId="29046"/>
    <cellStyle name="Normal 51 2 2 8" xfId="29047"/>
    <cellStyle name="Normal 51 2 2 9" xfId="29048"/>
    <cellStyle name="Normal 51 2 3" xfId="29049"/>
    <cellStyle name="Normal 51 2 3 2" xfId="29050"/>
    <cellStyle name="Normal 51 2 3 2 2" xfId="29051"/>
    <cellStyle name="Normal 51 2 3 2 2 2" xfId="29052"/>
    <cellStyle name="Normal 51 2 3 2 3" xfId="29053"/>
    <cellStyle name="Normal 51 2 3 2 4" xfId="29054"/>
    <cellStyle name="Normal 51 2 3 3" xfId="29055"/>
    <cellStyle name="Normal 51 2 3 3 2" xfId="29056"/>
    <cellStyle name="Normal 51 2 3 4" xfId="29057"/>
    <cellStyle name="Normal 51 2 3 5" xfId="29058"/>
    <cellStyle name="Normal 51 2 4" xfId="29059"/>
    <cellStyle name="Normal 51 2 4 2" xfId="29060"/>
    <cellStyle name="Normal 51 2 4 2 2" xfId="29061"/>
    <cellStyle name="Normal 51 2 4 2 2 2" xfId="29062"/>
    <cellStyle name="Normal 51 2 4 2 3" xfId="29063"/>
    <cellStyle name="Normal 51 2 4 2 4" xfId="29064"/>
    <cellStyle name="Normal 51 2 4 3" xfId="29065"/>
    <cellStyle name="Normal 51 2 4 3 2" xfId="29066"/>
    <cellStyle name="Normal 51 2 4 4" xfId="29067"/>
    <cellStyle name="Normal 51 2 4 5" xfId="29068"/>
    <cellStyle name="Normal 51 2 5" xfId="29069"/>
    <cellStyle name="Normal 51 2 5 2" xfId="29070"/>
    <cellStyle name="Normal 51 2 5 2 2" xfId="29071"/>
    <cellStyle name="Normal 51 2 5 3" xfId="29072"/>
    <cellStyle name="Normal 51 2 5 4" xfId="29073"/>
    <cellStyle name="Normal 51 2 6" xfId="29074"/>
    <cellStyle name="Normal 51 2 6 2" xfId="29075"/>
    <cellStyle name="Normal 51 2 6 2 2" xfId="29076"/>
    <cellStyle name="Normal 51 2 6 3" xfId="29077"/>
    <cellStyle name="Normal 51 2 6 4" xfId="29078"/>
    <cellStyle name="Normal 51 2 7" xfId="29079"/>
    <cellStyle name="Normal 51 2 7 2" xfId="29080"/>
    <cellStyle name="Normal 51 2 7 2 2" xfId="29081"/>
    <cellStyle name="Normal 51 2 7 3" xfId="29082"/>
    <cellStyle name="Normal 51 2 7 4" xfId="29083"/>
    <cellStyle name="Normal 51 2 8" xfId="29084"/>
    <cellStyle name="Normal 51 2 8 2" xfId="29085"/>
    <cellStyle name="Normal 51 2 9" xfId="29086"/>
    <cellStyle name="Normal 51 3" xfId="29087"/>
    <cellStyle name="Normal 51 3 2" xfId="29088"/>
    <cellStyle name="Normal 51 3 2 2" xfId="29089"/>
    <cellStyle name="Normal 51 3 2 2 2" xfId="29090"/>
    <cellStyle name="Normal 51 3 2 2 2 2" xfId="29091"/>
    <cellStyle name="Normal 51 3 2 2 3" xfId="29092"/>
    <cellStyle name="Normal 51 3 2 2 4" xfId="29093"/>
    <cellStyle name="Normal 51 3 2 3" xfId="29094"/>
    <cellStyle name="Normal 51 3 2 3 2" xfId="29095"/>
    <cellStyle name="Normal 51 3 2 4" xfId="29096"/>
    <cellStyle name="Normal 51 3 2 5" xfId="29097"/>
    <cellStyle name="Normal 51 3 3" xfId="29098"/>
    <cellStyle name="Normal 51 3 3 2" xfId="29099"/>
    <cellStyle name="Normal 51 3 3 2 2" xfId="29100"/>
    <cellStyle name="Normal 51 3 3 2 2 2" xfId="29101"/>
    <cellStyle name="Normal 51 3 3 2 3" xfId="29102"/>
    <cellStyle name="Normal 51 3 3 2 4" xfId="29103"/>
    <cellStyle name="Normal 51 3 3 3" xfId="29104"/>
    <cellStyle name="Normal 51 3 3 3 2" xfId="29105"/>
    <cellStyle name="Normal 51 3 3 4" xfId="29106"/>
    <cellStyle name="Normal 51 3 3 5" xfId="29107"/>
    <cellStyle name="Normal 51 3 4" xfId="29108"/>
    <cellStyle name="Normal 51 3 4 2" xfId="29109"/>
    <cellStyle name="Normal 51 3 4 2 2" xfId="29110"/>
    <cellStyle name="Normal 51 3 4 3" xfId="29111"/>
    <cellStyle name="Normal 51 3 4 4" xfId="29112"/>
    <cellStyle name="Normal 51 3 5" xfId="29113"/>
    <cellStyle name="Normal 51 3 5 2" xfId="29114"/>
    <cellStyle name="Normal 51 3 5 2 2" xfId="29115"/>
    <cellStyle name="Normal 51 3 5 3" xfId="29116"/>
    <cellStyle name="Normal 51 3 5 4" xfId="29117"/>
    <cellStyle name="Normal 51 3 6" xfId="29118"/>
    <cellStyle name="Normal 51 3 6 2" xfId="29119"/>
    <cellStyle name="Normal 51 3 6 2 2" xfId="29120"/>
    <cellStyle name="Normal 51 3 6 3" xfId="29121"/>
    <cellStyle name="Normal 51 3 6 4" xfId="29122"/>
    <cellStyle name="Normal 51 3 7" xfId="29123"/>
    <cellStyle name="Normal 51 3 7 2" xfId="29124"/>
    <cellStyle name="Normal 51 3 8" xfId="29125"/>
    <cellStyle name="Normal 51 3 9" xfId="29126"/>
    <cellStyle name="Normal 51 4" xfId="29127"/>
    <cellStyle name="Normal 51 4 2" xfId="29128"/>
    <cellStyle name="Normal 51 4 2 2" xfId="29129"/>
    <cellStyle name="Normal 51 4 2 2 2" xfId="29130"/>
    <cellStyle name="Normal 51 4 2 3" xfId="29131"/>
    <cellStyle name="Normal 51 4 2 4" xfId="29132"/>
    <cellStyle name="Normal 51 4 3" xfId="29133"/>
    <cellStyle name="Normal 51 4 3 2" xfId="29134"/>
    <cellStyle name="Normal 51 4 4" xfId="29135"/>
    <cellStyle name="Normal 51 4 5" xfId="29136"/>
    <cellStyle name="Normal 51 5" xfId="29137"/>
    <cellStyle name="Normal 51 5 2" xfId="29138"/>
    <cellStyle name="Normal 51 5 2 2" xfId="29139"/>
    <cellStyle name="Normal 51 5 2 2 2" xfId="29140"/>
    <cellStyle name="Normal 51 5 2 3" xfId="29141"/>
    <cellStyle name="Normal 51 5 2 4" xfId="29142"/>
    <cellStyle name="Normal 51 5 3" xfId="29143"/>
    <cellStyle name="Normal 51 5 3 2" xfId="29144"/>
    <cellStyle name="Normal 51 5 4" xfId="29145"/>
    <cellStyle name="Normal 51 5 5" xfId="29146"/>
    <cellStyle name="Normal 51 6" xfId="29147"/>
    <cellStyle name="Normal 51 6 2" xfId="29148"/>
    <cellStyle name="Normal 51 6 2 2" xfId="29149"/>
    <cellStyle name="Normal 51 6 3" xfId="29150"/>
    <cellStyle name="Normal 51 6 4" xfId="29151"/>
    <cellStyle name="Normal 51 7" xfId="29152"/>
    <cellStyle name="Normal 51 7 2" xfId="29153"/>
    <cellStyle name="Normal 51 7 2 2" xfId="29154"/>
    <cellStyle name="Normal 51 7 3" xfId="29155"/>
    <cellStyle name="Normal 51 7 4" xfId="29156"/>
    <cellStyle name="Normal 51 8" xfId="29157"/>
    <cellStyle name="Normal 51 8 2" xfId="29158"/>
    <cellStyle name="Normal 51 8 2 2" xfId="29159"/>
    <cellStyle name="Normal 51 8 3" xfId="29160"/>
    <cellStyle name="Normal 51 8 4" xfId="29161"/>
    <cellStyle name="Normal 51 9" xfId="29162"/>
    <cellStyle name="Normal 51 9 2" xfId="29163"/>
    <cellStyle name="Normal 52" xfId="29164"/>
    <cellStyle name="Normal 52 2" xfId="29165"/>
    <cellStyle name="Normal 53" xfId="29166"/>
    <cellStyle name="Normal 53 10" xfId="29167"/>
    <cellStyle name="Normal 53 11" xfId="29168"/>
    <cellStyle name="Normal 53 2" xfId="29169"/>
    <cellStyle name="Normal 53 2 10" xfId="29170"/>
    <cellStyle name="Normal 53 2 2" xfId="29171"/>
    <cellStyle name="Normal 53 2 2 2" xfId="29172"/>
    <cellStyle name="Normal 53 2 2 2 2" xfId="29173"/>
    <cellStyle name="Normal 53 2 2 2 2 2" xfId="29174"/>
    <cellStyle name="Normal 53 2 2 2 2 2 2" xfId="29175"/>
    <cellStyle name="Normal 53 2 2 2 2 3" xfId="29176"/>
    <cellStyle name="Normal 53 2 2 2 2 4" xfId="29177"/>
    <cellStyle name="Normal 53 2 2 2 3" xfId="29178"/>
    <cellStyle name="Normal 53 2 2 2 3 2" xfId="29179"/>
    <cellStyle name="Normal 53 2 2 2 4" xfId="29180"/>
    <cellStyle name="Normal 53 2 2 2 5" xfId="29181"/>
    <cellStyle name="Normal 53 2 2 3" xfId="29182"/>
    <cellStyle name="Normal 53 2 2 3 2" xfId="29183"/>
    <cellStyle name="Normal 53 2 2 3 2 2" xfId="29184"/>
    <cellStyle name="Normal 53 2 2 3 2 2 2" xfId="29185"/>
    <cellStyle name="Normal 53 2 2 3 2 3" xfId="29186"/>
    <cellStyle name="Normal 53 2 2 3 2 4" xfId="29187"/>
    <cellStyle name="Normal 53 2 2 3 3" xfId="29188"/>
    <cellStyle name="Normal 53 2 2 3 3 2" xfId="29189"/>
    <cellStyle name="Normal 53 2 2 3 4" xfId="29190"/>
    <cellStyle name="Normal 53 2 2 3 5" xfId="29191"/>
    <cellStyle name="Normal 53 2 2 4" xfId="29192"/>
    <cellStyle name="Normal 53 2 2 4 2" xfId="29193"/>
    <cellStyle name="Normal 53 2 2 4 2 2" xfId="29194"/>
    <cellStyle name="Normal 53 2 2 4 3" xfId="29195"/>
    <cellStyle name="Normal 53 2 2 4 4" xfId="29196"/>
    <cellStyle name="Normal 53 2 2 5" xfId="29197"/>
    <cellStyle name="Normal 53 2 2 5 2" xfId="29198"/>
    <cellStyle name="Normal 53 2 2 5 2 2" xfId="29199"/>
    <cellStyle name="Normal 53 2 2 5 3" xfId="29200"/>
    <cellStyle name="Normal 53 2 2 5 4" xfId="29201"/>
    <cellStyle name="Normal 53 2 2 6" xfId="29202"/>
    <cellStyle name="Normal 53 2 2 6 2" xfId="29203"/>
    <cellStyle name="Normal 53 2 2 6 2 2" xfId="29204"/>
    <cellStyle name="Normal 53 2 2 6 3" xfId="29205"/>
    <cellStyle name="Normal 53 2 2 6 4" xfId="29206"/>
    <cellStyle name="Normal 53 2 2 7" xfId="29207"/>
    <cellStyle name="Normal 53 2 2 7 2" xfId="29208"/>
    <cellStyle name="Normal 53 2 2 8" xfId="29209"/>
    <cellStyle name="Normal 53 2 2 9" xfId="29210"/>
    <cellStyle name="Normal 53 2 3" xfId="29211"/>
    <cellStyle name="Normal 53 2 3 2" xfId="29212"/>
    <cellStyle name="Normal 53 2 3 2 2" xfId="29213"/>
    <cellStyle name="Normal 53 2 3 2 2 2" xfId="29214"/>
    <cellStyle name="Normal 53 2 3 2 3" xfId="29215"/>
    <cellStyle name="Normal 53 2 3 2 4" xfId="29216"/>
    <cellStyle name="Normal 53 2 3 3" xfId="29217"/>
    <cellStyle name="Normal 53 2 3 3 2" xfId="29218"/>
    <cellStyle name="Normal 53 2 3 4" xfId="29219"/>
    <cellStyle name="Normal 53 2 3 5" xfId="29220"/>
    <cellStyle name="Normal 53 2 4" xfId="29221"/>
    <cellStyle name="Normal 53 2 4 2" xfId="29222"/>
    <cellStyle name="Normal 53 2 4 2 2" xfId="29223"/>
    <cellStyle name="Normal 53 2 4 2 2 2" xfId="29224"/>
    <cellStyle name="Normal 53 2 4 2 3" xfId="29225"/>
    <cellStyle name="Normal 53 2 4 2 4" xfId="29226"/>
    <cellStyle name="Normal 53 2 4 3" xfId="29227"/>
    <cellStyle name="Normal 53 2 4 3 2" xfId="29228"/>
    <cellStyle name="Normal 53 2 4 4" xfId="29229"/>
    <cellStyle name="Normal 53 2 4 5" xfId="29230"/>
    <cellStyle name="Normal 53 2 5" xfId="29231"/>
    <cellStyle name="Normal 53 2 5 2" xfId="29232"/>
    <cellStyle name="Normal 53 2 5 2 2" xfId="29233"/>
    <cellStyle name="Normal 53 2 5 3" xfId="29234"/>
    <cellStyle name="Normal 53 2 5 4" xfId="29235"/>
    <cellStyle name="Normal 53 2 6" xfId="29236"/>
    <cellStyle name="Normal 53 2 6 2" xfId="29237"/>
    <cellStyle name="Normal 53 2 6 2 2" xfId="29238"/>
    <cellStyle name="Normal 53 2 6 3" xfId="29239"/>
    <cellStyle name="Normal 53 2 6 4" xfId="29240"/>
    <cellStyle name="Normal 53 2 7" xfId="29241"/>
    <cellStyle name="Normal 53 2 7 2" xfId="29242"/>
    <cellStyle name="Normal 53 2 7 2 2" xfId="29243"/>
    <cellStyle name="Normal 53 2 7 3" xfId="29244"/>
    <cellStyle name="Normal 53 2 7 4" xfId="29245"/>
    <cellStyle name="Normal 53 2 8" xfId="29246"/>
    <cellStyle name="Normal 53 2 8 2" xfId="29247"/>
    <cellStyle name="Normal 53 2 9" xfId="29248"/>
    <cellStyle name="Normal 53 3" xfId="29249"/>
    <cellStyle name="Normal 53 3 2" xfId="29250"/>
    <cellStyle name="Normal 53 3 2 2" xfId="29251"/>
    <cellStyle name="Normal 53 3 2 2 2" xfId="29252"/>
    <cellStyle name="Normal 53 3 2 2 2 2" xfId="29253"/>
    <cellStyle name="Normal 53 3 2 2 3" xfId="29254"/>
    <cellStyle name="Normal 53 3 2 2 4" xfId="29255"/>
    <cellStyle name="Normal 53 3 2 3" xfId="29256"/>
    <cellStyle name="Normal 53 3 2 3 2" xfId="29257"/>
    <cellStyle name="Normal 53 3 2 4" xfId="29258"/>
    <cellStyle name="Normal 53 3 2 5" xfId="29259"/>
    <cellStyle name="Normal 53 3 3" xfId="29260"/>
    <cellStyle name="Normal 53 3 3 2" xfId="29261"/>
    <cellStyle name="Normal 53 3 3 2 2" xfId="29262"/>
    <cellStyle name="Normal 53 3 3 2 2 2" xfId="29263"/>
    <cellStyle name="Normal 53 3 3 2 3" xfId="29264"/>
    <cellStyle name="Normal 53 3 3 2 4" xfId="29265"/>
    <cellStyle name="Normal 53 3 3 3" xfId="29266"/>
    <cellStyle name="Normal 53 3 3 3 2" xfId="29267"/>
    <cellStyle name="Normal 53 3 3 4" xfId="29268"/>
    <cellStyle name="Normal 53 3 3 5" xfId="29269"/>
    <cellStyle name="Normal 53 3 4" xfId="29270"/>
    <cellStyle name="Normal 53 3 4 2" xfId="29271"/>
    <cellStyle name="Normal 53 3 4 2 2" xfId="29272"/>
    <cellStyle name="Normal 53 3 4 3" xfId="29273"/>
    <cellStyle name="Normal 53 3 4 4" xfId="29274"/>
    <cellStyle name="Normal 53 3 5" xfId="29275"/>
    <cellStyle name="Normal 53 3 5 2" xfId="29276"/>
    <cellStyle name="Normal 53 3 5 2 2" xfId="29277"/>
    <cellStyle name="Normal 53 3 5 3" xfId="29278"/>
    <cellStyle name="Normal 53 3 5 4" xfId="29279"/>
    <cellStyle name="Normal 53 3 6" xfId="29280"/>
    <cellStyle name="Normal 53 3 6 2" xfId="29281"/>
    <cellStyle name="Normal 53 3 6 2 2" xfId="29282"/>
    <cellStyle name="Normal 53 3 6 3" xfId="29283"/>
    <cellStyle name="Normal 53 3 6 4" xfId="29284"/>
    <cellStyle name="Normal 53 3 7" xfId="29285"/>
    <cellStyle name="Normal 53 3 7 2" xfId="29286"/>
    <cellStyle name="Normal 53 3 8" xfId="29287"/>
    <cellStyle name="Normal 53 3 9" xfId="29288"/>
    <cellStyle name="Normal 53 4" xfId="29289"/>
    <cellStyle name="Normal 53 4 2" xfId="29290"/>
    <cellStyle name="Normal 53 4 2 2" xfId="29291"/>
    <cellStyle name="Normal 53 4 2 2 2" xfId="29292"/>
    <cellStyle name="Normal 53 4 2 3" xfId="29293"/>
    <cellStyle name="Normal 53 4 2 4" xfId="29294"/>
    <cellStyle name="Normal 53 4 3" xfId="29295"/>
    <cellStyle name="Normal 53 4 3 2" xfId="29296"/>
    <cellStyle name="Normal 53 4 4" xfId="29297"/>
    <cellStyle name="Normal 53 4 5" xfId="29298"/>
    <cellStyle name="Normal 53 5" xfId="29299"/>
    <cellStyle name="Normal 53 5 2" xfId="29300"/>
    <cellStyle name="Normal 53 5 2 2" xfId="29301"/>
    <cellStyle name="Normal 53 5 2 2 2" xfId="29302"/>
    <cellStyle name="Normal 53 5 2 3" xfId="29303"/>
    <cellStyle name="Normal 53 5 2 4" xfId="29304"/>
    <cellStyle name="Normal 53 5 3" xfId="29305"/>
    <cellStyle name="Normal 53 5 3 2" xfId="29306"/>
    <cellStyle name="Normal 53 5 4" xfId="29307"/>
    <cellStyle name="Normal 53 5 5" xfId="29308"/>
    <cellStyle name="Normal 53 6" xfId="29309"/>
    <cellStyle name="Normal 53 6 2" xfId="29310"/>
    <cellStyle name="Normal 53 6 2 2" xfId="29311"/>
    <cellStyle name="Normal 53 6 3" xfId="29312"/>
    <cellStyle name="Normal 53 6 4" xfId="29313"/>
    <cellStyle name="Normal 53 7" xfId="29314"/>
    <cellStyle name="Normal 53 7 2" xfId="29315"/>
    <cellStyle name="Normal 53 7 2 2" xfId="29316"/>
    <cellStyle name="Normal 53 7 3" xfId="29317"/>
    <cellStyle name="Normal 53 7 4" xfId="29318"/>
    <cellStyle name="Normal 53 8" xfId="29319"/>
    <cellStyle name="Normal 53 8 2" xfId="29320"/>
    <cellStyle name="Normal 53 8 2 2" xfId="29321"/>
    <cellStyle name="Normal 53 8 3" xfId="29322"/>
    <cellStyle name="Normal 53 8 4" xfId="29323"/>
    <cellStyle name="Normal 53 9" xfId="29324"/>
    <cellStyle name="Normal 53 9 2" xfId="29325"/>
    <cellStyle name="Normal 54" xfId="29326"/>
    <cellStyle name="Normal 54 2" xfId="29327"/>
    <cellStyle name="Normal 54 2 2" xfId="29328"/>
    <cellStyle name="Normal 54 3" xfId="29329"/>
    <cellStyle name="Normal 55" xfId="29330"/>
    <cellStyle name="Normal 55 2" xfId="29331"/>
    <cellStyle name="Normal 55 2 2" xfId="29332"/>
    <cellStyle name="Normal 55 3" xfId="29333"/>
    <cellStyle name="Normal 56" xfId="29334"/>
    <cellStyle name="Normal 56 10" xfId="29335"/>
    <cellStyle name="Normal 56 11" xfId="29336"/>
    <cellStyle name="Normal 56 2" xfId="29337"/>
    <cellStyle name="Normal 56 2 10" xfId="29338"/>
    <cellStyle name="Normal 56 2 2" xfId="29339"/>
    <cellStyle name="Normal 56 2 2 2" xfId="29340"/>
    <cellStyle name="Normal 56 2 2 2 2" xfId="29341"/>
    <cellStyle name="Normal 56 2 2 2 2 2" xfId="29342"/>
    <cellStyle name="Normal 56 2 2 2 2 2 2" xfId="29343"/>
    <cellStyle name="Normal 56 2 2 2 2 3" xfId="29344"/>
    <cellStyle name="Normal 56 2 2 2 2 4" xfId="29345"/>
    <cellStyle name="Normal 56 2 2 2 3" xfId="29346"/>
    <cellStyle name="Normal 56 2 2 2 3 2" xfId="29347"/>
    <cellStyle name="Normal 56 2 2 2 4" xfId="29348"/>
    <cellStyle name="Normal 56 2 2 2 5" xfId="29349"/>
    <cellStyle name="Normal 56 2 2 3" xfId="29350"/>
    <cellStyle name="Normal 56 2 2 3 2" xfId="29351"/>
    <cellStyle name="Normal 56 2 2 3 2 2" xfId="29352"/>
    <cellStyle name="Normal 56 2 2 3 2 2 2" xfId="29353"/>
    <cellStyle name="Normal 56 2 2 3 2 3" xfId="29354"/>
    <cellStyle name="Normal 56 2 2 3 2 4" xfId="29355"/>
    <cellStyle name="Normal 56 2 2 3 3" xfId="29356"/>
    <cellStyle name="Normal 56 2 2 3 3 2" xfId="29357"/>
    <cellStyle name="Normal 56 2 2 3 4" xfId="29358"/>
    <cellStyle name="Normal 56 2 2 3 5" xfId="29359"/>
    <cellStyle name="Normal 56 2 2 4" xfId="29360"/>
    <cellStyle name="Normal 56 2 2 4 2" xfId="29361"/>
    <cellStyle name="Normal 56 2 2 4 2 2" xfId="29362"/>
    <cellStyle name="Normal 56 2 2 4 3" xfId="29363"/>
    <cellStyle name="Normal 56 2 2 4 4" xfId="29364"/>
    <cellStyle name="Normal 56 2 2 5" xfId="29365"/>
    <cellStyle name="Normal 56 2 2 5 2" xfId="29366"/>
    <cellStyle name="Normal 56 2 2 5 2 2" xfId="29367"/>
    <cellStyle name="Normal 56 2 2 5 3" xfId="29368"/>
    <cellStyle name="Normal 56 2 2 5 4" xfId="29369"/>
    <cellStyle name="Normal 56 2 2 6" xfId="29370"/>
    <cellStyle name="Normal 56 2 2 6 2" xfId="29371"/>
    <cellStyle name="Normal 56 2 2 6 2 2" xfId="29372"/>
    <cellStyle name="Normal 56 2 2 6 3" xfId="29373"/>
    <cellStyle name="Normal 56 2 2 6 4" xfId="29374"/>
    <cellStyle name="Normal 56 2 2 7" xfId="29375"/>
    <cellStyle name="Normal 56 2 2 7 2" xfId="29376"/>
    <cellStyle name="Normal 56 2 2 8" xfId="29377"/>
    <cellStyle name="Normal 56 2 2 9" xfId="29378"/>
    <cellStyle name="Normal 56 2 3" xfId="29379"/>
    <cellStyle name="Normal 56 2 3 2" xfId="29380"/>
    <cellStyle name="Normal 56 2 3 2 2" xfId="29381"/>
    <cellStyle name="Normal 56 2 3 2 2 2" xfId="29382"/>
    <cellStyle name="Normal 56 2 3 2 3" xfId="29383"/>
    <cellStyle name="Normal 56 2 3 2 4" xfId="29384"/>
    <cellStyle name="Normal 56 2 3 3" xfId="29385"/>
    <cellStyle name="Normal 56 2 3 3 2" xfId="29386"/>
    <cellStyle name="Normal 56 2 3 4" xfId="29387"/>
    <cellStyle name="Normal 56 2 3 5" xfId="29388"/>
    <cellStyle name="Normal 56 2 4" xfId="29389"/>
    <cellStyle name="Normal 56 2 4 2" xfId="29390"/>
    <cellStyle name="Normal 56 2 4 2 2" xfId="29391"/>
    <cellStyle name="Normal 56 2 4 2 2 2" xfId="29392"/>
    <cellStyle name="Normal 56 2 4 2 3" xfId="29393"/>
    <cellStyle name="Normal 56 2 4 2 4" xfId="29394"/>
    <cellStyle name="Normal 56 2 4 3" xfId="29395"/>
    <cellStyle name="Normal 56 2 4 3 2" xfId="29396"/>
    <cellStyle name="Normal 56 2 4 4" xfId="29397"/>
    <cellStyle name="Normal 56 2 4 5" xfId="29398"/>
    <cellStyle name="Normal 56 2 5" xfId="29399"/>
    <cellStyle name="Normal 56 2 5 2" xfId="29400"/>
    <cellStyle name="Normal 56 2 5 2 2" xfId="29401"/>
    <cellStyle name="Normal 56 2 5 3" xfId="29402"/>
    <cellStyle name="Normal 56 2 5 4" xfId="29403"/>
    <cellStyle name="Normal 56 2 6" xfId="29404"/>
    <cellStyle name="Normal 56 2 6 2" xfId="29405"/>
    <cellStyle name="Normal 56 2 6 2 2" xfId="29406"/>
    <cellStyle name="Normal 56 2 6 3" xfId="29407"/>
    <cellStyle name="Normal 56 2 6 4" xfId="29408"/>
    <cellStyle name="Normal 56 2 7" xfId="29409"/>
    <cellStyle name="Normal 56 2 7 2" xfId="29410"/>
    <cellStyle name="Normal 56 2 7 2 2" xfId="29411"/>
    <cellStyle name="Normal 56 2 7 3" xfId="29412"/>
    <cellStyle name="Normal 56 2 7 4" xfId="29413"/>
    <cellStyle name="Normal 56 2 8" xfId="29414"/>
    <cellStyle name="Normal 56 2 8 2" xfId="29415"/>
    <cellStyle name="Normal 56 2 9" xfId="29416"/>
    <cellStyle name="Normal 56 3" xfId="29417"/>
    <cellStyle name="Normal 56 3 2" xfId="29418"/>
    <cellStyle name="Normal 56 3 2 2" xfId="29419"/>
    <cellStyle name="Normal 56 3 2 2 2" xfId="29420"/>
    <cellStyle name="Normal 56 3 2 2 2 2" xfId="29421"/>
    <cellStyle name="Normal 56 3 2 2 3" xfId="29422"/>
    <cellStyle name="Normal 56 3 2 2 4" xfId="29423"/>
    <cellStyle name="Normal 56 3 2 3" xfId="29424"/>
    <cellStyle name="Normal 56 3 2 3 2" xfId="29425"/>
    <cellStyle name="Normal 56 3 2 4" xfId="29426"/>
    <cellStyle name="Normal 56 3 2 5" xfId="29427"/>
    <cellStyle name="Normal 56 3 3" xfId="29428"/>
    <cellStyle name="Normal 56 3 3 2" xfId="29429"/>
    <cellStyle name="Normal 56 3 3 2 2" xfId="29430"/>
    <cellStyle name="Normal 56 3 3 2 2 2" xfId="29431"/>
    <cellStyle name="Normal 56 3 3 2 3" xfId="29432"/>
    <cellStyle name="Normal 56 3 3 2 4" xfId="29433"/>
    <cellStyle name="Normal 56 3 3 3" xfId="29434"/>
    <cellStyle name="Normal 56 3 3 3 2" xfId="29435"/>
    <cellStyle name="Normal 56 3 3 4" xfId="29436"/>
    <cellStyle name="Normal 56 3 3 5" xfId="29437"/>
    <cellStyle name="Normal 56 3 4" xfId="29438"/>
    <cellStyle name="Normal 56 3 4 2" xfId="29439"/>
    <cellStyle name="Normal 56 3 4 2 2" xfId="29440"/>
    <cellStyle name="Normal 56 3 4 3" xfId="29441"/>
    <cellStyle name="Normal 56 3 4 4" xfId="29442"/>
    <cellStyle name="Normal 56 3 5" xfId="29443"/>
    <cellStyle name="Normal 56 3 5 2" xfId="29444"/>
    <cellStyle name="Normal 56 3 5 2 2" xfId="29445"/>
    <cellStyle name="Normal 56 3 5 3" xfId="29446"/>
    <cellStyle name="Normal 56 3 5 4" xfId="29447"/>
    <cellStyle name="Normal 56 3 6" xfId="29448"/>
    <cellStyle name="Normal 56 3 6 2" xfId="29449"/>
    <cellStyle name="Normal 56 3 6 2 2" xfId="29450"/>
    <cellStyle name="Normal 56 3 6 3" xfId="29451"/>
    <cellStyle name="Normal 56 3 6 4" xfId="29452"/>
    <cellStyle name="Normal 56 3 7" xfId="29453"/>
    <cellStyle name="Normal 56 3 7 2" xfId="29454"/>
    <cellStyle name="Normal 56 3 8" xfId="29455"/>
    <cellStyle name="Normal 56 3 9" xfId="29456"/>
    <cellStyle name="Normal 56 4" xfId="29457"/>
    <cellStyle name="Normal 56 4 2" xfId="29458"/>
    <cellStyle name="Normal 56 4 2 2" xfId="29459"/>
    <cellStyle name="Normal 56 4 2 2 2" xfId="29460"/>
    <cellStyle name="Normal 56 4 2 3" xfId="29461"/>
    <cellStyle name="Normal 56 4 2 4" xfId="29462"/>
    <cellStyle name="Normal 56 4 3" xfId="29463"/>
    <cellStyle name="Normal 56 4 3 2" xfId="29464"/>
    <cellStyle name="Normal 56 4 4" xfId="29465"/>
    <cellStyle name="Normal 56 4 5" xfId="29466"/>
    <cellStyle name="Normal 56 5" xfId="29467"/>
    <cellStyle name="Normal 56 5 2" xfId="29468"/>
    <cellStyle name="Normal 56 5 2 2" xfId="29469"/>
    <cellStyle name="Normal 56 5 2 2 2" xfId="29470"/>
    <cellStyle name="Normal 56 5 2 3" xfId="29471"/>
    <cellStyle name="Normal 56 5 2 4" xfId="29472"/>
    <cellStyle name="Normal 56 5 3" xfId="29473"/>
    <cellStyle name="Normal 56 5 3 2" xfId="29474"/>
    <cellStyle name="Normal 56 5 4" xfId="29475"/>
    <cellStyle name="Normal 56 5 5" xfId="29476"/>
    <cellStyle name="Normal 56 6" xfId="29477"/>
    <cellStyle name="Normal 56 6 2" xfId="29478"/>
    <cellStyle name="Normal 56 6 2 2" xfId="29479"/>
    <cellStyle name="Normal 56 6 3" xfId="29480"/>
    <cellStyle name="Normal 56 6 4" xfId="29481"/>
    <cellStyle name="Normal 56 7" xfId="29482"/>
    <cellStyle name="Normal 56 7 2" xfId="29483"/>
    <cellStyle name="Normal 56 7 2 2" xfId="29484"/>
    <cellStyle name="Normal 56 7 3" xfId="29485"/>
    <cellStyle name="Normal 56 7 4" xfId="29486"/>
    <cellStyle name="Normal 56 8" xfId="29487"/>
    <cellStyle name="Normal 56 8 2" xfId="29488"/>
    <cellStyle name="Normal 56 8 2 2" xfId="29489"/>
    <cellStyle name="Normal 56 8 3" xfId="29490"/>
    <cellStyle name="Normal 56 8 4" xfId="29491"/>
    <cellStyle name="Normal 56 9" xfId="29492"/>
    <cellStyle name="Normal 56 9 2" xfId="29493"/>
    <cellStyle name="Normal 57" xfId="29494"/>
    <cellStyle name="Normal 57 10" xfId="29495"/>
    <cellStyle name="Normal 57 11" xfId="29496"/>
    <cellStyle name="Normal 57 2" xfId="29497"/>
    <cellStyle name="Normal 57 2 10" xfId="29498"/>
    <cellStyle name="Normal 57 2 2" xfId="29499"/>
    <cellStyle name="Normal 57 2 2 2" xfId="29500"/>
    <cellStyle name="Normal 57 2 2 2 2" xfId="29501"/>
    <cellStyle name="Normal 57 2 2 2 2 2" xfId="29502"/>
    <cellStyle name="Normal 57 2 2 2 2 2 2" xfId="29503"/>
    <cellStyle name="Normal 57 2 2 2 2 3" xfId="29504"/>
    <cellStyle name="Normal 57 2 2 2 2 4" xfId="29505"/>
    <cellStyle name="Normal 57 2 2 2 3" xfId="29506"/>
    <cellStyle name="Normal 57 2 2 2 3 2" xfId="29507"/>
    <cellStyle name="Normal 57 2 2 2 4" xfId="29508"/>
    <cellStyle name="Normal 57 2 2 2 5" xfId="29509"/>
    <cellStyle name="Normal 57 2 2 3" xfId="29510"/>
    <cellStyle name="Normal 57 2 2 3 2" xfId="29511"/>
    <cellStyle name="Normal 57 2 2 3 2 2" xfId="29512"/>
    <cellStyle name="Normal 57 2 2 3 2 2 2" xfId="29513"/>
    <cellStyle name="Normal 57 2 2 3 2 3" xfId="29514"/>
    <cellStyle name="Normal 57 2 2 3 2 4" xfId="29515"/>
    <cellStyle name="Normal 57 2 2 3 3" xfId="29516"/>
    <cellStyle name="Normal 57 2 2 3 3 2" xfId="29517"/>
    <cellStyle name="Normal 57 2 2 3 4" xfId="29518"/>
    <cellStyle name="Normal 57 2 2 3 5" xfId="29519"/>
    <cellStyle name="Normal 57 2 2 4" xfId="29520"/>
    <cellStyle name="Normal 57 2 2 4 2" xfId="29521"/>
    <cellStyle name="Normal 57 2 2 4 2 2" xfId="29522"/>
    <cellStyle name="Normal 57 2 2 4 3" xfId="29523"/>
    <cellStyle name="Normal 57 2 2 4 4" xfId="29524"/>
    <cellStyle name="Normal 57 2 2 5" xfId="29525"/>
    <cellStyle name="Normal 57 2 2 5 2" xfId="29526"/>
    <cellStyle name="Normal 57 2 2 5 2 2" xfId="29527"/>
    <cellStyle name="Normal 57 2 2 5 3" xfId="29528"/>
    <cellStyle name="Normal 57 2 2 5 4" xfId="29529"/>
    <cellStyle name="Normal 57 2 2 6" xfId="29530"/>
    <cellStyle name="Normal 57 2 2 6 2" xfId="29531"/>
    <cellStyle name="Normal 57 2 2 6 2 2" xfId="29532"/>
    <cellStyle name="Normal 57 2 2 6 3" xfId="29533"/>
    <cellStyle name="Normal 57 2 2 6 4" xfId="29534"/>
    <cellStyle name="Normal 57 2 2 7" xfId="29535"/>
    <cellStyle name="Normal 57 2 2 7 2" xfId="29536"/>
    <cellStyle name="Normal 57 2 2 8" xfId="29537"/>
    <cellStyle name="Normal 57 2 2 9" xfId="29538"/>
    <cellStyle name="Normal 57 2 3" xfId="29539"/>
    <cellStyle name="Normal 57 2 3 2" xfId="29540"/>
    <cellStyle name="Normal 57 2 3 2 2" xfId="29541"/>
    <cellStyle name="Normal 57 2 3 2 2 2" xfId="29542"/>
    <cellStyle name="Normal 57 2 3 2 3" xfId="29543"/>
    <cellStyle name="Normal 57 2 3 2 4" xfId="29544"/>
    <cellStyle name="Normal 57 2 3 3" xfId="29545"/>
    <cellStyle name="Normal 57 2 3 3 2" xfId="29546"/>
    <cellStyle name="Normal 57 2 3 4" xfId="29547"/>
    <cellStyle name="Normal 57 2 3 5" xfId="29548"/>
    <cellStyle name="Normal 57 2 4" xfId="29549"/>
    <cellStyle name="Normal 57 2 4 2" xfId="29550"/>
    <cellStyle name="Normal 57 2 4 2 2" xfId="29551"/>
    <cellStyle name="Normal 57 2 4 2 2 2" xfId="29552"/>
    <cellStyle name="Normal 57 2 4 2 3" xfId="29553"/>
    <cellStyle name="Normal 57 2 4 2 4" xfId="29554"/>
    <cellStyle name="Normal 57 2 4 3" xfId="29555"/>
    <cellStyle name="Normal 57 2 4 3 2" xfId="29556"/>
    <cellStyle name="Normal 57 2 4 4" xfId="29557"/>
    <cellStyle name="Normal 57 2 4 5" xfId="29558"/>
    <cellStyle name="Normal 57 2 5" xfId="29559"/>
    <cellStyle name="Normal 57 2 5 2" xfId="29560"/>
    <cellStyle name="Normal 57 2 5 2 2" xfId="29561"/>
    <cellStyle name="Normal 57 2 5 3" xfId="29562"/>
    <cellStyle name="Normal 57 2 5 4" xfId="29563"/>
    <cellStyle name="Normal 57 2 6" xfId="29564"/>
    <cellStyle name="Normal 57 2 6 2" xfId="29565"/>
    <cellStyle name="Normal 57 2 6 2 2" xfId="29566"/>
    <cellStyle name="Normal 57 2 6 3" xfId="29567"/>
    <cellStyle name="Normal 57 2 6 4" xfId="29568"/>
    <cellStyle name="Normal 57 2 7" xfId="29569"/>
    <cellStyle name="Normal 57 2 7 2" xfId="29570"/>
    <cellStyle name="Normal 57 2 7 2 2" xfId="29571"/>
    <cellStyle name="Normal 57 2 7 3" xfId="29572"/>
    <cellStyle name="Normal 57 2 7 4" xfId="29573"/>
    <cellStyle name="Normal 57 2 8" xfId="29574"/>
    <cellStyle name="Normal 57 2 8 2" xfId="29575"/>
    <cellStyle name="Normal 57 2 9" xfId="29576"/>
    <cellStyle name="Normal 57 3" xfId="29577"/>
    <cellStyle name="Normal 57 3 2" xfId="29578"/>
    <cellStyle name="Normal 57 3 2 2" xfId="29579"/>
    <cellStyle name="Normal 57 3 2 2 2" xfId="29580"/>
    <cellStyle name="Normal 57 3 2 2 2 2" xfId="29581"/>
    <cellStyle name="Normal 57 3 2 2 3" xfId="29582"/>
    <cellStyle name="Normal 57 3 2 2 4" xfId="29583"/>
    <cellStyle name="Normal 57 3 2 3" xfId="29584"/>
    <cellStyle name="Normal 57 3 2 3 2" xfId="29585"/>
    <cellStyle name="Normal 57 3 2 4" xfId="29586"/>
    <cellStyle name="Normal 57 3 2 5" xfId="29587"/>
    <cellStyle name="Normal 57 3 3" xfId="29588"/>
    <cellStyle name="Normal 57 3 3 2" xfId="29589"/>
    <cellStyle name="Normal 57 3 3 2 2" xfId="29590"/>
    <cellStyle name="Normal 57 3 3 2 2 2" xfId="29591"/>
    <cellStyle name="Normal 57 3 3 2 3" xfId="29592"/>
    <cellStyle name="Normal 57 3 3 2 4" xfId="29593"/>
    <cellStyle name="Normal 57 3 3 3" xfId="29594"/>
    <cellStyle name="Normal 57 3 3 3 2" xfId="29595"/>
    <cellStyle name="Normal 57 3 3 4" xfId="29596"/>
    <cellStyle name="Normal 57 3 3 5" xfId="29597"/>
    <cellStyle name="Normal 57 3 4" xfId="29598"/>
    <cellStyle name="Normal 57 3 4 2" xfId="29599"/>
    <cellStyle name="Normal 57 3 4 2 2" xfId="29600"/>
    <cellStyle name="Normal 57 3 4 3" xfId="29601"/>
    <cellStyle name="Normal 57 3 4 4" xfId="29602"/>
    <cellStyle name="Normal 57 3 5" xfId="29603"/>
    <cellStyle name="Normal 57 3 5 2" xfId="29604"/>
    <cellStyle name="Normal 57 3 5 2 2" xfId="29605"/>
    <cellStyle name="Normal 57 3 5 3" xfId="29606"/>
    <cellStyle name="Normal 57 3 5 4" xfId="29607"/>
    <cellStyle name="Normal 57 3 6" xfId="29608"/>
    <cellStyle name="Normal 57 3 6 2" xfId="29609"/>
    <cellStyle name="Normal 57 3 6 2 2" xfId="29610"/>
    <cellStyle name="Normal 57 3 6 3" xfId="29611"/>
    <cellStyle name="Normal 57 3 6 4" xfId="29612"/>
    <cellStyle name="Normal 57 3 7" xfId="29613"/>
    <cellStyle name="Normal 57 3 7 2" xfId="29614"/>
    <cellStyle name="Normal 57 3 8" xfId="29615"/>
    <cellStyle name="Normal 57 3 9" xfId="29616"/>
    <cellStyle name="Normal 57 4" xfId="29617"/>
    <cellStyle name="Normal 57 4 2" xfId="29618"/>
    <cellStyle name="Normal 57 4 2 2" xfId="29619"/>
    <cellStyle name="Normal 57 4 2 2 2" xfId="29620"/>
    <cellStyle name="Normal 57 4 2 3" xfId="29621"/>
    <cellStyle name="Normal 57 4 2 4" xfId="29622"/>
    <cellStyle name="Normal 57 4 3" xfId="29623"/>
    <cellStyle name="Normal 57 4 3 2" xfId="29624"/>
    <cellStyle name="Normal 57 4 4" xfId="29625"/>
    <cellStyle name="Normal 57 4 5" xfId="29626"/>
    <cellStyle name="Normal 57 5" xfId="29627"/>
    <cellStyle name="Normal 57 5 2" xfId="29628"/>
    <cellStyle name="Normal 57 5 2 2" xfId="29629"/>
    <cellStyle name="Normal 57 5 2 2 2" xfId="29630"/>
    <cellStyle name="Normal 57 5 2 3" xfId="29631"/>
    <cellStyle name="Normal 57 5 2 4" xfId="29632"/>
    <cellStyle name="Normal 57 5 3" xfId="29633"/>
    <cellStyle name="Normal 57 5 3 2" xfId="29634"/>
    <cellStyle name="Normal 57 5 4" xfId="29635"/>
    <cellStyle name="Normal 57 5 5" xfId="29636"/>
    <cellStyle name="Normal 57 6" xfId="29637"/>
    <cellStyle name="Normal 57 6 2" xfId="29638"/>
    <cellStyle name="Normal 57 6 2 2" xfId="29639"/>
    <cellStyle name="Normal 57 6 3" xfId="29640"/>
    <cellStyle name="Normal 57 6 4" xfId="29641"/>
    <cellStyle name="Normal 57 7" xfId="29642"/>
    <cellStyle name="Normal 57 7 2" xfId="29643"/>
    <cellStyle name="Normal 57 7 2 2" xfId="29644"/>
    <cellStyle name="Normal 57 7 3" xfId="29645"/>
    <cellStyle name="Normal 57 7 4" xfId="29646"/>
    <cellStyle name="Normal 57 8" xfId="29647"/>
    <cellStyle name="Normal 57 8 2" xfId="29648"/>
    <cellStyle name="Normal 57 8 2 2" xfId="29649"/>
    <cellStyle name="Normal 57 8 3" xfId="29650"/>
    <cellStyle name="Normal 57 8 4" xfId="29651"/>
    <cellStyle name="Normal 57 9" xfId="29652"/>
    <cellStyle name="Normal 57 9 2" xfId="29653"/>
    <cellStyle name="Normal 58" xfId="29654"/>
    <cellStyle name="Normal 58 10" xfId="29655"/>
    <cellStyle name="Normal 58 11" xfId="29656"/>
    <cellStyle name="Normal 58 2" xfId="29657"/>
    <cellStyle name="Normal 58 2 10" xfId="29658"/>
    <cellStyle name="Normal 58 2 2" xfId="29659"/>
    <cellStyle name="Normal 58 2 2 2" xfId="29660"/>
    <cellStyle name="Normal 58 2 2 2 2" xfId="29661"/>
    <cellStyle name="Normal 58 2 2 2 2 2" xfId="29662"/>
    <cellStyle name="Normal 58 2 2 2 2 2 2" xfId="29663"/>
    <cellStyle name="Normal 58 2 2 2 2 3" xfId="29664"/>
    <cellStyle name="Normal 58 2 2 2 2 4" xfId="29665"/>
    <cellStyle name="Normal 58 2 2 2 3" xfId="29666"/>
    <cellStyle name="Normal 58 2 2 2 3 2" xfId="29667"/>
    <cellStyle name="Normal 58 2 2 2 4" xfId="29668"/>
    <cellStyle name="Normal 58 2 2 2 5" xfId="29669"/>
    <cellStyle name="Normal 58 2 2 3" xfId="29670"/>
    <cellStyle name="Normal 58 2 2 3 2" xfId="29671"/>
    <cellStyle name="Normal 58 2 2 3 2 2" xfId="29672"/>
    <cellStyle name="Normal 58 2 2 3 2 2 2" xfId="29673"/>
    <cellStyle name="Normal 58 2 2 3 2 3" xfId="29674"/>
    <cellStyle name="Normal 58 2 2 3 2 4" xfId="29675"/>
    <cellStyle name="Normal 58 2 2 3 3" xfId="29676"/>
    <cellStyle name="Normal 58 2 2 3 3 2" xfId="29677"/>
    <cellStyle name="Normal 58 2 2 3 4" xfId="29678"/>
    <cellStyle name="Normal 58 2 2 3 5" xfId="29679"/>
    <cellStyle name="Normal 58 2 2 4" xfId="29680"/>
    <cellStyle name="Normal 58 2 2 4 2" xfId="29681"/>
    <cellStyle name="Normal 58 2 2 4 2 2" xfId="29682"/>
    <cellStyle name="Normal 58 2 2 4 3" xfId="29683"/>
    <cellStyle name="Normal 58 2 2 4 4" xfId="29684"/>
    <cellStyle name="Normal 58 2 2 5" xfId="29685"/>
    <cellStyle name="Normal 58 2 2 5 2" xfId="29686"/>
    <cellStyle name="Normal 58 2 2 5 2 2" xfId="29687"/>
    <cellStyle name="Normal 58 2 2 5 3" xfId="29688"/>
    <cellStyle name="Normal 58 2 2 5 4" xfId="29689"/>
    <cellStyle name="Normal 58 2 2 6" xfId="29690"/>
    <cellStyle name="Normal 58 2 2 6 2" xfId="29691"/>
    <cellStyle name="Normal 58 2 2 6 2 2" xfId="29692"/>
    <cellStyle name="Normal 58 2 2 6 3" xfId="29693"/>
    <cellStyle name="Normal 58 2 2 6 4" xfId="29694"/>
    <cellStyle name="Normal 58 2 2 7" xfId="29695"/>
    <cellStyle name="Normal 58 2 2 7 2" xfId="29696"/>
    <cellStyle name="Normal 58 2 2 8" xfId="29697"/>
    <cellStyle name="Normal 58 2 2 9" xfId="29698"/>
    <cellStyle name="Normal 58 2 3" xfId="29699"/>
    <cellStyle name="Normal 58 2 3 2" xfId="29700"/>
    <cellStyle name="Normal 58 2 3 2 2" xfId="29701"/>
    <cellStyle name="Normal 58 2 3 2 2 2" xfId="29702"/>
    <cellStyle name="Normal 58 2 3 2 3" xfId="29703"/>
    <cellStyle name="Normal 58 2 3 2 4" xfId="29704"/>
    <cellStyle name="Normal 58 2 3 3" xfId="29705"/>
    <cellStyle name="Normal 58 2 3 3 2" xfId="29706"/>
    <cellStyle name="Normal 58 2 3 4" xfId="29707"/>
    <cellStyle name="Normal 58 2 3 5" xfId="29708"/>
    <cellStyle name="Normal 58 2 4" xfId="29709"/>
    <cellStyle name="Normal 58 2 4 2" xfId="29710"/>
    <cellStyle name="Normal 58 2 4 2 2" xfId="29711"/>
    <cellStyle name="Normal 58 2 4 2 2 2" xfId="29712"/>
    <cellStyle name="Normal 58 2 4 2 3" xfId="29713"/>
    <cellStyle name="Normal 58 2 4 2 4" xfId="29714"/>
    <cellStyle name="Normal 58 2 4 3" xfId="29715"/>
    <cellStyle name="Normal 58 2 4 3 2" xfId="29716"/>
    <cellStyle name="Normal 58 2 4 4" xfId="29717"/>
    <cellStyle name="Normal 58 2 4 5" xfId="29718"/>
    <cellStyle name="Normal 58 2 5" xfId="29719"/>
    <cellStyle name="Normal 58 2 5 2" xfId="29720"/>
    <cellStyle name="Normal 58 2 5 2 2" xfId="29721"/>
    <cellStyle name="Normal 58 2 5 3" xfId="29722"/>
    <cellStyle name="Normal 58 2 5 4" xfId="29723"/>
    <cellStyle name="Normal 58 2 6" xfId="29724"/>
    <cellStyle name="Normal 58 2 6 2" xfId="29725"/>
    <cellStyle name="Normal 58 2 6 2 2" xfId="29726"/>
    <cellStyle name="Normal 58 2 6 3" xfId="29727"/>
    <cellStyle name="Normal 58 2 6 4" xfId="29728"/>
    <cellStyle name="Normal 58 2 7" xfId="29729"/>
    <cellStyle name="Normal 58 2 7 2" xfId="29730"/>
    <cellStyle name="Normal 58 2 7 2 2" xfId="29731"/>
    <cellStyle name="Normal 58 2 7 3" xfId="29732"/>
    <cellStyle name="Normal 58 2 7 4" xfId="29733"/>
    <cellStyle name="Normal 58 2 8" xfId="29734"/>
    <cellStyle name="Normal 58 2 8 2" xfId="29735"/>
    <cellStyle name="Normal 58 2 9" xfId="29736"/>
    <cellStyle name="Normal 58 3" xfId="29737"/>
    <cellStyle name="Normal 58 3 2" xfId="29738"/>
    <cellStyle name="Normal 58 3 2 2" xfId="29739"/>
    <cellStyle name="Normal 58 3 2 2 2" xfId="29740"/>
    <cellStyle name="Normal 58 3 2 2 2 2" xfId="29741"/>
    <cellStyle name="Normal 58 3 2 2 3" xfId="29742"/>
    <cellStyle name="Normal 58 3 2 2 4" xfId="29743"/>
    <cellStyle name="Normal 58 3 2 3" xfId="29744"/>
    <cellStyle name="Normal 58 3 2 3 2" xfId="29745"/>
    <cellStyle name="Normal 58 3 2 4" xfId="29746"/>
    <cellStyle name="Normal 58 3 2 5" xfId="29747"/>
    <cellStyle name="Normal 58 3 3" xfId="29748"/>
    <cellStyle name="Normal 58 3 3 2" xfId="29749"/>
    <cellStyle name="Normal 58 3 3 2 2" xfId="29750"/>
    <cellStyle name="Normal 58 3 3 2 2 2" xfId="29751"/>
    <cellStyle name="Normal 58 3 3 2 3" xfId="29752"/>
    <cellStyle name="Normal 58 3 3 2 4" xfId="29753"/>
    <cellStyle name="Normal 58 3 3 3" xfId="29754"/>
    <cellStyle name="Normal 58 3 3 3 2" xfId="29755"/>
    <cellStyle name="Normal 58 3 3 4" xfId="29756"/>
    <cellStyle name="Normal 58 3 3 5" xfId="29757"/>
    <cellStyle name="Normal 58 3 4" xfId="29758"/>
    <cellStyle name="Normal 58 3 4 2" xfId="29759"/>
    <cellStyle name="Normal 58 3 4 2 2" xfId="29760"/>
    <cellStyle name="Normal 58 3 4 3" xfId="29761"/>
    <cellStyle name="Normal 58 3 4 4" xfId="29762"/>
    <cellStyle name="Normal 58 3 5" xfId="29763"/>
    <cellStyle name="Normal 58 3 5 2" xfId="29764"/>
    <cellStyle name="Normal 58 3 5 2 2" xfId="29765"/>
    <cellStyle name="Normal 58 3 5 3" xfId="29766"/>
    <cellStyle name="Normal 58 3 5 4" xfId="29767"/>
    <cellStyle name="Normal 58 3 6" xfId="29768"/>
    <cellStyle name="Normal 58 3 6 2" xfId="29769"/>
    <cellStyle name="Normal 58 3 6 2 2" xfId="29770"/>
    <cellStyle name="Normal 58 3 6 3" xfId="29771"/>
    <cellStyle name="Normal 58 3 6 4" xfId="29772"/>
    <cellStyle name="Normal 58 3 7" xfId="29773"/>
    <cellStyle name="Normal 58 3 7 2" xfId="29774"/>
    <cellStyle name="Normal 58 3 8" xfId="29775"/>
    <cellStyle name="Normal 58 3 9" xfId="29776"/>
    <cellStyle name="Normal 58 4" xfId="29777"/>
    <cellStyle name="Normal 58 4 2" xfId="29778"/>
    <cellStyle name="Normal 58 4 2 2" xfId="29779"/>
    <cellStyle name="Normal 58 4 2 2 2" xfId="29780"/>
    <cellStyle name="Normal 58 4 2 3" xfId="29781"/>
    <cellStyle name="Normal 58 4 2 4" xfId="29782"/>
    <cellStyle name="Normal 58 4 3" xfId="29783"/>
    <cellStyle name="Normal 58 4 3 2" xfId="29784"/>
    <cellStyle name="Normal 58 4 4" xfId="29785"/>
    <cellStyle name="Normal 58 4 5" xfId="29786"/>
    <cellStyle name="Normal 58 5" xfId="29787"/>
    <cellStyle name="Normal 58 5 2" xfId="29788"/>
    <cellStyle name="Normal 58 5 2 2" xfId="29789"/>
    <cellStyle name="Normal 58 5 2 2 2" xfId="29790"/>
    <cellStyle name="Normal 58 5 2 3" xfId="29791"/>
    <cellStyle name="Normal 58 5 2 4" xfId="29792"/>
    <cellStyle name="Normal 58 5 3" xfId="29793"/>
    <cellStyle name="Normal 58 5 3 2" xfId="29794"/>
    <cellStyle name="Normal 58 5 4" xfId="29795"/>
    <cellStyle name="Normal 58 5 5" xfId="29796"/>
    <cellStyle name="Normal 58 6" xfId="29797"/>
    <cellStyle name="Normal 58 6 2" xfId="29798"/>
    <cellStyle name="Normal 58 6 2 2" xfId="29799"/>
    <cellStyle name="Normal 58 6 3" xfId="29800"/>
    <cellStyle name="Normal 58 6 4" xfId="29801"/>
    <cellStyle name="Normal 58 7" xfId="29802"/>
    <cellStyle name="Normal 58 7 2" xfId="29803"/>
    <cellStyle name="Normal 58 7 2 2" xfId="29804"/>
    <cellStyle name="Normal 58 7 3" xfId="29805"/>
    <cellStyle name="Normal 58 7 4" xfId="29806"/>
    <cellStyle name="Normal 58 8" xfId="29807"/>
    <cellStyle name="Normal 58 8 2" xfId="29808"/>
    <cellStyle name="Normal 58 8 2 2" xfId="29809"/>
    <cellStyle name="Normal 58 8 3" xfId="29810"/>
    <cellStyle name="Normal 58 8 4" xfId="29811"/>
    <cellStyle name="Normal 58 9" xfId="29812"/>
    <cellStyle name="Normal 58 9 2" xfId="29813"/>
    <cellStyle name="Normal 59" xfId="29814"/>
    <cellStyle name="Normal 59 2" xfId="29815"/>
    <cellStyle name="Normal 59 2 2" xfId="29816"/>
    <cellStyle name="Normal 59 3" xfId="29817"/>
    <cellStyle name="Normal 6" xfId="93"/>
    <cellStyle name="Normal 6 10" xfId="29818"/>
    <cellStyle name="Normal 6 11" xfId="29819"/>
    <cellStyle name="Normal 6 12" xfId="35848"/>
    <cellStyle name="Normal 6 2" xfId="97"/>
    <cellStyle name="Normal 6 2 2" xfId="29821"/>
    <cellStyle name="Normal 6 2 2 2" xfId="29822"/>
    <cellStyle name="Normal 6 2 2 2 2" xfId="29823"/>
    <cellStyle name="Normal 6 2 2 2 2 2" xfId="29824"/>
    <cellStyle name="Normal 6 2 2 2 3" xfId="29825"/>
    <cellStyle name="Normal 6 2 2 2 4" xfId="29826"/>
    <cellStyle name="Normal 6 2 2 3" xfId="36062"/>
    <cellStyle name="Normal 6 2 3" xfId="29827"/>
    <cellStyle name="Normal 6 2 3 2" xfId="29828"/>
    <cellStyle name="Normal 6 2 3 2 2" xfId="29829"/>
    <cellStyle name="Normal 6 2 3 3" xfId="29830"/>
    <cellStyle name="Normal 6 2 3 4" xfId="29831"/>
    <cellStyle name="Normal 6 2 4" xfId="29832"/>
    <cellStyle name="Normal 6 2 5" xfId="29833"/>
    <cellStyle name="Normal 6 2 6" xfId="29820"/>
    <cellStyle name="Normal 6 2 7" xfId="35849"/>
    <cellStyle name="Normal 6 3" xfId="183"/>
    <cellStyle name="Normal 6 3 10" xfId="29834"/>
    <cellStyle name="Normal 6 3 2" xfId="29835"/>
    <cellStyle name="Normal 6 3 2 2" xfId="29836"/>
    <cellStyle name="Normal 6 3 2 2 2" xfId="29837"/>
    <cellStyle name="Normal 6 3 2 2 2 2" xfId="29838"/>
    <cellStyle name="Normal 6 3 2 2 3" xfId="29839"/>
    <cellStyle name="Normal 6 3 2 2 4" xfId="29840"/>
    <cellStyle name="Normal 6 3 2 3" xfId="29841"/>
    <cellStyle name="Normal 6 3 2 3 2" xfId="29842"/>
    <cellStyle name="Normal 6 3 2 3 2 2" xfId="29843"/>
    <cellStyle name="Normal 6 3 2 3 3" xfId="29844"/>
    <cellStyle name="Normal 6 3 2 3 4" xfId="29845"/>
    <cellStyle name="Normal 6 3 2 4" xfId="29846"/>
    <cellStyle name="Normal 6 3 2 4 2" xfId="29847"/>
    <cellStyle name="Normal 6 3 2 5" xfId="29848"/>
    <cellStyle name="Normal 6 3 2 6" xfId="29849"/>
    <cellStyle name="Normal 6 3 3" xfId="29850"/>
    <cellStyle name="Normal 6 3 3 2" xfId="29851"/>
    <cellStyle name="Normal 6 3 3 2 2" xfId="29852"/>
    <cellStyle name="Normal 6 3 3 2 2 2" xfId="29853"/>
    <cellStyle name="Normal 6 3 3 2 3" xfId="29854"/>
    <cellStyle name="Normal 6 3 3 2 4" xfId="29855"/>
    <cellStyle name="Normal 6 3 3 3" xfId="29856"/>
    <cellStyle name="Normal 6 3 3 3 2" xfId="29857"/>
    <cellStyle name="Normal 6 3 3 3 2 2" xfId="29858"/>
    <cellStyle name="Normal 6 3 3 3 3" xfId="29859"/>
    <cellStyle name="Normal 6 3 3 3 4" xfId="29860"/>
    <cellStyle name="Normal 6 3 3 4" xfId="29861"/>
    <cellStyle name="Normal 6 3 3 4 2" xfId="29862"/>
    <cellStyle name="Normal 6 3 3 5" xfId="29863"/>
    <cellStyle name="Normal 6 3 3 6" xfId="29864"/>
    <cellStyle name="Normal 6 3 4" xfId="29865"/>
    <cellStyle name="Normal 6 3 4 2" xfId="29866"/>
    <cellStyle name="Normal 6 3 4 2 2" xfId="29867"/>
    <cellStyle name="Normal 6 3 4 3" xfId="29868"/>
    <cellStyle name="Normal 6 3 4 4" xfId="29869"/>
    <cellStyle name="Normal 6 3 5" xfId="29870"/>
    <cellStyle name="Normal 6 3 5 2" xfId="29871"/>
    <cellStyle name="Normal 6 3 5 2 2" xfId="29872"/>
    <cellStyle name="Normal 6 3 5 3" xfId="29873"/>
    <cellStyle name="Normal 6 3 5 4" xfId="29874"/>
    <cellStyle name="Normal 6 3 6" xfId="29875"/>
    <cellStyle name="Normal 6 3 6 2" xfId="29876"/>
    <cellStyle name="Normal 6 3 7" xfId="29877"/>
    <cellStyle name="Normal 6 3 8" xfId="29878"/>
    <cellStyle name="Normal 6 3 9" xfId="35659"/>
    <cellStyle name="Normal 6 4" xfId="29879"/>
    <cellStyle name="Normal 6 4 2" xfId="29880"/>
    <cellStyle name="Normal 6 4 2 2" xfId="29881"/>
    <cellStyle name="Normal 6 4 2 2 2" xfId="29882"/>
    <cellStyle name="Normal 6 4 2 3" xfId="29883"/>
    <cellStyle name="Normal 6 4 2 4" xfId="29884"/>
    <cellStyle name="Normal 6 4 3" xfId="29885"/>
    <cellStyle name="Normal 6 4 3 2" xfId="29886"/>
    <cellStyle name="Normal 6 4 3 2 2" xfId="29887"/>
    <cellStyle name="Normal 6 4 3 3" xfId="29888"/>
    <cellStyle name="Normal 6 4 3 4" xfId="29889"/>
    <cellStyle name="Normal 6 5" xfId="29890"/>
    <cellStyle name="Normal 6 5 2" xfId="29891"/>
    <cellStyle name="Normal 6 5 2 2" xfId="29892"/>
    <cellStyle name="Normal 6 5 2 2 2" xfId="29893"/>
    <cellStyle name="Normal 6 5 2 2 2 2" xfId="29894"/>
    <cellStyle name="Normal 6 5 2 2 3" xfId="29895"/>
    <cellStyle name="Normal 6 5 2 2 4" xfId="29896"/>
    <cellStyle name="Normal 6 5 2 3" xfId="29897"/>
    <cellStyle name="Normal 6 5 2 3 2" xfId="29898"/>
    <cellStyle name="Normal 6 5 2 4" xfId="29899"/>
    <cellStyle name="Normal 6 5 2 5" xfId="29900"/>
    <cellStyle name="Normal 6 5 3" xfId="29901"/>
    <cellStyle name="Normal 6 5 4" xfId="29902"/>
    <cellStyle name="Normal 6 5 4 2" xfId="29903"/>
    <cellStyle name="Normal 6 5 5" xfId="29904"/>
    <cellStyle name="Normal 6 5 6" xfId="29905"/>
    <cellStyle name="Normal 6 6" xfId="29906"/>
    <cellStyle name="Normal 6 6 2" xfId="29907"/>
    <cellStyle name="Normal 6 6 2 2" xfId="29908"/>
    <cellStyle name="Normal 6 6 2 2 2" xfId="29909"/>
    <cellStyle name="Normal 6 6 2 3" xfId="29910"/>
    <cellStyle name="Normal 6 6 2 4" xfId="29911"/>
    <cellStyle name="Normal 6 6 3" xfId="29912"/>
    <cellStyle name="Normal 6 6 3 2" xfId="29913"/>
    <cellStyle name="Normal 6 6 4" xfId="29914"/>
    <cellStyle name="Normal 6 6 5" xfId="29915"/>
    <cellStyle name="Normal 6 7" xfId="29916"/>
    <cellStyle name="Normal 6 8" xfId="29917"/>
    <cellStyle name="Normal 6 9" xfId="29918"/>
    <cellStyle name="Normal 6 9 2" xfId="29919"/>
    <cellStyle name="Normal 60" xfId="29920"/>
    <cellStyle name="Normal 60 2" xfId="29921"/>
    <cellStyle name="Normal 60 2 2" xfId="29922"/>
    <cellStyle name="Normal 60 3" xfId="29923"/>
    <cellStyle name="Normal 61" xfId="29924"/>
    <cellStyle name="Normal 61 2" xfId="29925"/>
    <cellStyle name="Normal 61 2 2" xfId="29926"/>
    <cellStyle name="Normal 61 3" xfId="29927"/>
    <cellStyle name="Normal 62" xfId="29928"/>
    <cellStyle name="Normal 62 2" xfId="29929"/>
    <cellStyle name="Normal 62 2 2" xfId="29930"/>
    <cellStyle name="Normal 62 3" xfId="29931"/>
    <cellStyle name="Normal 63" xfId="29932"/>
    <cellStyle name="Normal 63 2" xfId="29933"/>
    <cellStyle name="Normal 63 3" xfId="29934"/>
    <cellStyle name="Normal 63 3 2" xfId="29935"/>
    <cellStyle name="Normal 63 4" xfId="29936"/>
    <cellStyle name="Normal 64" xfId="29937"/>
    <cellStyle name="Normal 64 2" xfId="29938"/>
    <cellStyle name="Normal 64 2 2" xfId="29939"/>
    <cellStyle name="Normal 64 3" xfId="29940"/>
    <cellStyle name="Normal 65" xfId="29941"/>
    <cellStyle name="Normal 65 2" xfId="29942"/>
    <cellStyle name="Normal 65 2 2" xfId="29943"/>
    <cellStyle name="Normal 65 3" xfId="29944"/>
    <cellStyle name="Normal 66" xfId="29945"/>
    <cellStyle name="Normal 66 2" xfId="29946"/>
    <cellStyle name="Normal 66 2 2" xfId="29947"/>
    <cellStyle name="Normal 66 3" xfId="29948"/>
    <cellStyle name="Normal 67" xfId="29949"/>
    <cellStyle name="Normal 67 2" xfId="29950"/>
    <cellStyle name="Normal 68" xfId="29951"/>
    <cellStyle name="Normal 68 2" xfId="29952"/>
    <cellStyle name="Normal 69" xfId="29953"/>
    <cellStyle name="Normal 69 2" xfId="29954"/>
    <cellStyle name="Normal 7" xfId="99"/>
    <cellStyle name="Normal 7 10" xfId="29955"/>
    <cellStyle name="Normal 7 2" xfId="29956"/>
    <cellStyle name="Normal 7 2 2" xfId="29957"/>
    <cellStyle name="Normal 7 2 2 2" xfId="29958"/>
    <cellStyle name="Normal 7 2 2 2 2" xfId="29959"/>
    <cellStyle name="Normal 7 2 2 2 2 2" xfId="29960"/>
    <cellStyle name="Normal 7 2 2 2 3" xfId="29961"/>
    <cellStyle name="Normal 7 2 2 2 4" xfId="29962"/>
    <cellStyle name="Normal 7 2 2 3" xfId="36063"/>
    <cellStyle name="Normal 7 2 3" xfId="29963"/>
    <cellStyle name="Normal 7 2 3 2" xfId="29964"/>
    <cellStyle name="Normal 7 2 3 2 2" xfId="29965"/>
    <cellStyle name="Normal 7 2 3 2 2 2" xfId="29966"/>
    <cellStyle name="Normal 7 2 3 2 3" xfId="29967"/>
    <cellStyle name="Normal 7 2 3 2 4" xfId="29968"/>
    <cellStyle name="Normal 7 2 4" xfId="29969"/>
    <cellStyle name="Normal 7 2 4 2" xfId="36064"/>
    <cellStyle name="Normal 7 3" xfId="29970"/>
    <cellStyle name="Normal 7 3 2" xfId="29971"/>
    <cellStyle name="Normal 7 3 2 2" xfId="29972"/>
    <cellStyle name="Normal 7 3 2 2 2" xfId="29973"/>
    <cellStyle name="Normal 7 3 2 3" xfId="29974"/>
    <cellStyle name="Normal 7 3 2 4" xfId="29975"/>
    <cellStyle name="Normal 7 3 3" xfId="29976"/>
    <cellStyle name="Normal 7 3 3 2" xfId="29977"/>
    <cellStyle name="Normal 7 3 3 2 2" xfId="29978"/>
    <cellStyle name="Normal 7 3 3 3" xfId="29979"/>
    <cellStyle name="Normal 7 3 3 4" xfId="29980"/>
    <cellStyle name="Normal 7 3 4" xfId="29981"/>
    <cellStyle name="Normal 7 4" xfId="29982"/>
    <cellStyle name="Normal 7 4 2" xfId="29983"/>
    <cellStyle name="Normal 7 4 2 2" xfId="29984"/>
    <cellStyle name="Normal 7 4 2 2 2" xfId="29985"/>
    <cellStyle name="Normal 7 4 2 3" xfId="29986"/>
    <cellStyle name="Normal 7 4 2 4" xfId="29987"/>
    <cellStyle name="Normal 7 4 3" xfId="29988"/>
    <cellStyle name="Normal 7 4 3 2" xfId="29989"/>
    <cellStyle name="Normal 7 4 3 2 2" xfId="29990"/>
    <cellStyle name="Normal 7 4 3 3" xfId="29991"/>
    <cellStyle name="Normal 7 4 3 4" xfId="29992"/>
    <cellStyle name="Normal 7 4 4" xfId="29993"/>
    <cellStyle name="Normal 7 4 4 2" xfId="29994"/>
    <cellStyle name="Normal 7 4 4 2 2" xfId="29995"/>
    <cellStyle name="Normal 7 4 4 3" xfId="29996"/>
    <cellStyle name="Normal 7 4 4 4" xfId="29997"/>
    <cellStyle name="Normal 7 5" xfId="29998"/>
    <cellStyle name="Normal 7 5 2" xfId="29999"/>
    <cellStyle name="Normal 7 5 2 2" xfId="30000"/>
    <cellStyle name="Normal 7 5 2 2 2" xfId="30001"/>
    <cellStyle name="Normal 7 5 2 3" xfId="30002"/>
    <cellStyle name="Normal 7 5 2 4" xfId="30003"/>
    <cellStyle name="Normal 7 6" xfId="30004"/>
    <cellStyle name="Normal 7 6 2" xfId="30005"/>
    <cellStyle name="Normal 7 6 2 2" xfId="30006"/>
    <cellStyle name="Normal 7 6 3" xfId="30007"/>
    <cellStyle name="Normal 7 6 4" xfId="30008"/>
    <cellStyle name="Normal 7 7" xfId="30009"/>
    <cellStyle name="Normal 7 8" xfId="30010"/>
    <cellStyle name="Normal 7 9" xfId="35601"/>
    <cellStyle name="Normal 70" xfId="30011"/>
    <cellStyle name="Normal 70 2" xfId="30012"/>
    <cellStyle name="Normal 71" xfId="30013"/>
    <cellStyle name="Normal 71 2" xfId="30014"/>
    <cellStyle name="Normal 72" xfId="30015"/>
    <cellStyle name="Normal 72 2" xfId="30016"/>
    <cellStyle name="Normal 73" xfId="30017"/>
    <cellStyle name="Normal 73 2" xfId="30018"/>
    <cellStyle name="Normal 74" xfId="30019"/>
    <cellStyle name="Normal 74 2" xfId="30020"/>
    <cellStyle name="Normal 75" xfId="30021"/>
    <cellStyle name="Normal 75 2" xfId="30022"/>
    <cellStyle name="Normal 76" xfId="30023"/>
    <cellStyle name="Normal 76 2" xfId="30024"/>
    <cellStyle name="Normal 77" xfId="30025"/>
    <cellStyle name="Normal 77 2" xfId="30026"/>
    <cellStyle name="Normal 78" xfId="30027"/>
    <cellStyle name="Normal 78 2" xfId="30028"/>
    <cellStyle name="Normal 79" xfId="30029"/>
    <cellStyle name="Normal 79 2" xfId="30030"/>
    <cellStyle name="Normal 8" xfId="184"/>
    <cellStyle name="Normal 8 2" xfId="30032"/>
    <cellStyle name="Normal 8 2 2" xfId="30033"/>
    <cellStyle name="Normal 8 2 2 2" xfId="30034"/>
    <cellStyle name="Normal 8 2 2 2 2" xfId="30035"/>
    <cellStyle name="Normal 8 2 2 3" xfId="30036"/>
    <cellStyle name="Normal 8 2 2 4" xfId="30037"/>
    <cellStyle name="Normal 8 2 2 5" xfId="36065"/>
    <cellStyle name="Normal 8 2 3" xfId="30038"/>
    <cellStyle name="Normal 8 2 3 2" xfId="30039"/>
    <cellStyle name="Normal 8 2 3 2 2" xfId="30040"/>
    <cellStyle name="Normal 8 2 3 3" xfId="30041"/>
    <cellStyle name="Normal 8 2 3 4" xfId="30042"/>
    <cellStyle name="Normal 8 2 4" xfId="30043"/>
    <cellStyle name="Normal 8 2 4 2" xfId="30044"/>
    <cellStyle name="Normal 8 2 4 2 2" xfId="30045"/>
    <cellStyle name="Normal 8 2 4 3" xfId="30046"/>
    <cellStyle name="Normal 8 2 4 4" xfId="30047"/>
    <cellStyle name="Normal 8 3" xfId="30048"/>
    <cellStyle name="Normal 8 3 2" xfId="30049"/>
    <cellStyle name="Normal 8 3 2 2" xfId="30050"/>
    <cellStyle name="Normal 8 3 2 2 2" xfId="30051"/>
    <cellStyle name="Normal 8 3 2 3" xfId="30052"/>
    <cellStyle name="Normal 8 3 2 4" xfId="30053"/>
    <cellStyle name="Normal 8 3 3" xfId="30054"/>
    <cellStyle name="Normal 8 3 3 2" xfId="30055"/>
    <cellStyle name="Normal 8 3 3 2 2" xfId="30056"/>
    <cellStyle name="Normal 8 3 3 3" xfId="30057"/>
    <cellStyle name="Normal 8 3 3 4" xfId="30058"/>
    <cellStyle name="Normal 8 3 4" xfId="30059"/>
    <cellStyle name="Normal 8 3 4 2" xfId="30060"/>
    <cellStyle name="Normal 8 3 5" xfId="30061"/>
    <cellStyle name="Normal 8 3 6" xfId="30062"/>
    <cellStyle name="Normal 8 4" xfId="30063"/>
    <cellStyle name="Normal 8 4 2" xfId="30064"/>
    <cellStyle name="Normal 8 4 2 2" xfId="30065"/>
    <cellStyle name="Normal 8 4 2 2 2" xfId="30066"/>
    <cellStyle name="Normal 8 4 2 3" xfId="30067"/>
    <cellStyle name="Normal 8 4 2 4" xfId="30068"/>
    <cellStyle name="Normal 8 4 3" xfId="30069"/>
    <cellStyle name="Normal 8 4 3 2" xfId="30070"/>
    <cellStyle name="Normal 8 4 3 2 2" xfId="30071"/>
    <cellStyle name="Normal 8 4 3 3" xfId="30072"/>
    <cellStyle name="Normal 8 4 3 4" xfId="30073"/>
    <cellStyle name="Normal 8 4 4" xfId="30074"/>
    <cellStyle name="Normal 8 4 4 2" xfId="30075"/>
    <cellStyle name="Normal 8 4 5" xfId="30076"/>
    <cellStyle name="Normal 8 4 6" xfId="30077"/>
    <cellStyle name="Normal 8 5" xfId="30078"/>
    <cellStyle name="Normal 8 5 2" xfId="30079"/>
    <cellStyle name="Normal 8 5 2 2" xfId="30080"/>
    <cellStyle name="Normal 8 5 3" xfId="30081"/>
    <cellStyle name="Normal 8 5 4" xfId="30082"/>
    <cellStyle name="Normal 8 6" xfId="30083"/>
    <cellStyle name="Normal 8 6 2" xfId="30084"/>
    <cellStyle name="Normal 8 6 2 2" xfId="30085"/>
    <cellStyle name="Normal 8 6 3" xfId="30086"/>
    <cellStyle name="Normal 8 6 4" xfId="30087"/>
    <cellStyle name="Normal 8 7" xfId="30088"/>
    <cellStyle name="Normal 8 7 2" xfId="30089"/>
    <cellStyle name="Normal 8 7 2 2" xfId="30090"/>
    <cellStyle name="Normal 8 7 3" xfId="30091"/>
    <cellStyle name="Normal 8 7 4" xfId="30092"/>
    <cellStyle name="Normal 8 8" xfId="35602"/>
    <cellStyle name="Normal 8 9" xfId="30031"/>
    <cellStyle name="Normal 80" xfId="30093"/>
    <cellStyle name="Normal 80 2" xfId="30094"/>
    <cellStyle name="Normal 81" xfId="30095"/>
    <cellStyle name="Normal 81 2" xfId="30096"/>
    <cellStyle name="Normal 82" xfId="30097"/>
    <cellStyle name="Normal 82 2" xfId="30098"/>
    <cellStyle name="Normal 83" xfId="30099"/>
    <cellStyle name="Normal 83 2" xfId="30100"/>
    <cellStyle name="Normal 84" xfId="30101"/>
    <cellStyle name="Normal 84 2" xfId="30102"/>
    <cellStyle name="Normal 85" xfId="30103"/>
    <cellStyle name="Normal 85 2" xfId="30104"/>
    <cellStyle name="Normal 86" xfId="30105"/>
    <cellStyle name="Normal 86 2" xfId="30106"/>
    <cellStyle name="Normal 87" xfId="30107"/>
    <cellStyle name="Normal 87 2" xfId="30108"/>
    <cellStyle name="Normal 88" xfId="30109"/>
    <cellStyle name="Normal 88 2" xfId="30110"/>
    <cellStyle name="Normal 89" xfId="30111"/>
    <cellStyle name="Normal 89 2" xfId="30112"/>
    <cellStyle name="Normal 9" xfId="90"/>
    <cellStyle name="Normal 9 2" xfId="302"/>
    <cellStyle name="Normal 9 2 2" xfId="395"/>
    <cellStyle name="Normal 9 2 2 2" xfId="30114"/>
    <cellStyle name="Normal 9 2 2 2 2" xfId="30115"/>
    <cellStyle name="Normal 9 2 2 3" xfId="30116"/>
    <cellStyle name="Normal 9 2 2 4" xfId="30117"/>
    <cellStyle name="Normal 9 2 3" xfId="30118"/>
    <cellStyle name="Normal 9 2 3 2" xfId="30119"/>
    <cellStyle name="Normal 9 2 3 2 2" xfId="30120"/>
    <cellStyle name="Normal 9 2 3 3" xfId="30121"/>
    <cellStyle name="Normal 9 2 3 4" xfId="30122"/>
    <cellStyle name="Normal 9 2 4" xfId="30123"/>
    <cellStyle name="Normal 9 2 4 2" xfId="30124"/>
    <cellStyle name="Normal 9 2 4 2 2" xfId="30125"/>
    <cellStyle name="Normal 9 2 4 3" xfId="30126"/>
    <cellStyle name="Normal 9 2 4 4" xfId="30127"/>
    <cellStyle name="Normal 9 2 5" xfId="36066"/>
    <cellStyle name="Normal 9 3" xfId="30128"/>
    <cellStyle name="Normal 9 3 2" xfId="30129"/>
    <cellStyle name="Normal 9 3 2 2" xfId="30130"/>
    <cellStyle name="Normal 9 3 2 2 2" xfId="30131"/>
    <cellStyle name="Normal 9 3 2 3" xfId="30132"/>
    <cellStyle name="Normal 9 3 2 4" xfId="30133"/>
    <cellStyle name="Normal 9 3 3" xfId="30134"/>
    <cellStyle name="Normal 9 3 3 2" xfId="30135"/>
    <cellStyle name="Normal 9 3 3 2 2" xfId="30136"/>
    <cellStyle name="Normal 9 3 3 3" xfId="30137"/>
    <cellStyle name="Normal 9 3 3 4" xfId="30138"/>
    <cellStyle name="Normal 9 3 4" xfId="30139"/>
    <cellStyle name="Normal 9 3 4 2" xfId="30140"/>
    <cellStyle name="Normal 9 3 4 2 2" xfId="30141"/>
    <cellStyle name="Normal 9 3 4 3" xfId="30142"/>
    <cellStyle name="Normal 9 3 4 4" xfId="30143"/>
    <cellStyle name="Normal 9 3 5" xfId="35646"/>
    <cellStyle name="Normal 9 4" xfId="30144"/>
    <cellStyle name="Normal 9 4 2" xfId="30145"/>
    <cellStyle name="Normal 9 4 2 2" xfId="30146"/>
    <cellStyle name="Normal 9 4 2 2 2" xfId="30147"/>
    <cellStyle name="Normal 9 4 2 3" xfId="30148"/>
    <cellStyle name="Normal 9 4 2 4" xfId="30149"/>
    <cellStyle name="Normal 9 4 3" xfId="30150"/>
    <cellStyle name="Normal 9 4 3 2" xfId="30151"/>
    <cellStyle name="Normal 9 4 3 2 2" xfId="30152"/>
    <cellStyle name="Normal 9 4 3 3" xfId="30153"/>
    <cellStyle name="Normal 9 4 3 4" xfId="30154"/>
    <cellStyle name="Normal 9 4 4" xfId="30155"/>
    <cellStyle name="Normal 9 4 4 2" xfId="30156"/>
    <cellStyle name="Normal 9 4 5" xfId="30157"/>
    <cellStyle name="Normal 9 4 6" xfId="30158"/>
    <cellStyle name="Normal 9 5" xfId="30159"/>
    <cellStyle name="Normal 9 5 2" xfId="30160"/>
    <cellStyle name="Normal 9 5 2 2" xfId="30161"/>
    <cellStyle name="Normal 9 5 3" xfId="30162"/>
    <cellStyle name="Normal 9 5 4" xfId="30163"/>
    <cellStyle name="Normal 9 6" xfId="30164"/>
    <cellStyle name="Normal 9 6 2" xfId="30165"/>
    <cellStyle name="Normal 9 6 2 2" xfId="30166"/>
    <cellStyle name="Normal 9 6 3" xfId="30167"/>
    <cellStyle name="Normal 9 6 4" xfId="30168"/>
    <cellStyle name="Normal 9 7" xfId="30169"/>
    <cellStyle name="Normal 9 7 2" xfId="30170"/>
    <cellStyle name="Normal 9 7 2 2" xfId="30171"/>
    <cellStyle name="Normal 9 7 3" xfId="30172"/>
    <cellStyle name="Normal 9 7 4" xfId="30173"/>
    <cellStyle name="Normal 9 8" xfId="30113"/>
    <cellStyle name="Normal 9 9" xfId="35850"/>
    <cellStyle name="Normal 90" xfId="30174"/>
    <cellStyle name="Normal 90 2" xfId="30175"/>
    <cellStyle name="Normal 91" xfId="30176"/>
    <cellStyle name="Normal 91 2" xfId="30177"/>
    <cellStyle name="Normal 92" xfId="30178"/>
    <cellStyle name="Normal 92 2" xfId="30179"/>
    <cellStyle name="Normal 93" xfId="30180"/>
    <cellStyle name="Normal 93 2" xfId="30181"/>
    <cellStyle name="Normal 94" xfId="30182"/>
    <cellStyle name="Normal 94 2" xfId="30183"/>
    <cellStyle name="Normal 95" xfId="30184"/>
    <cellStyle name="Normal 95 2" xfId="30185"/>
    <cellStyle name="Normal 96" xfId="30186"/>
    <cellStyle name="Normal 96 2" xfId="30187"/>
    <cellStyle name="Normal 97" xfId="30188"/>
    <cellStyle name="Normal 97 2" xfId="30189"/>
    <cellStyle name="Normal 98" xfId="30190"/>
    <cellStyle name="Normal 98 2" xfId="30191"/>
    <cellStyle name="Normal 99" xfId="30192"/>
    <cellStyle name="Normal 99 2" xfId="30193"/>
    <cellStyle name="Not Applicable" xfId="35745"/>
    <cellStyle name="Note" xfId="35680" builtinId="10" customBuiltin="1"/>
    <cellStyle name="Note 10" xfId="30194"/>
    <cellStyle name="Note 10 2" xfId="30195"/>
    <cellStyle name="Note 10 2 2" xfId="30196"/>
    <cellStyle name="Note 10 3" xfId="30197"/>
    <cellStyle name="Note 10 4" xfId="30198"/>
    <cellStyle name="Note 2" xfId="72"/>
    <cellStyle name="Note 2 10" xfId="30200"/>
    <cellStyle name="Note 2 10 2" xfId="30201"/>
    <cellStyle name="Note 2 10 3" xfId="30202"/>
    <cellStyle name="Note 2 11" xfId="30203"/>
    <cellStyle name="Note 2 11 2" xfId="30204"/>
    <cellStyle name="Note 2 12" xfId="30205"/>
    <cellStyle name="Note 2 12 2" xfId="30206"/>
    <cellStyle name="Note 2 12 3" xfId="30207"/>
    <cellStyle name="Note 2 13" xfId="30208"/>
    <cellStyle name="Note 2 13 2" xfId="30209"/>
    <cellStyle name="Note 2 13 3" xfId="30210"/>
    <cellStyle name="Note 2 14" xfId="30211"/>
    <cellStyle name="Note 2 14 2" xfId="30212"/>
    <cellStyle name="Note 2 14 2 2" xfId="30213"/>
    <cellStyle name="Note 2 14 2 2 2" xfId="30214"/>
    <cellStyle name="Note 2 14 2 3" xfId="30215"/>
    <cellStyle name="Note 2 14 2 4" xfId="30216"/>
    <cellStyle name="Note 2 14 3" xfId="30217"/>
    <cellStyle name="Note 2 14 4" xfId="30218"/>
    <cellStyle name="Note 2 14 4 2" xfId="30219"/>
    <cellStyle name="Note 2 14 5" xfId="30220"/>
    <cellStyle name="Note 2 14 6" xfId="30221"/>
    <cellStyle name="Note 2 15" xfId="30222"/>
    <cellStyle name="Note 2 15 2" xfId="30223"/>
    <cellStyle name="Note 2 15 3" xfId="30224"/>
    <cellStyle name="Note 2 15 3 2" xfId="30225"/>
    <cellStyle name="Note 2 15 4" xfId="30226"/>
    <cellStyle name="Note 2 15 5" xfId="30227"/>
    <cellStyle name="Note 2 16" xfId="30228"/>
    <cellStyle name="Note 2 17" xfId="30229"/>
    <cellStyle name="Note 2 17 2" xfId="30230"/>
    <cellStyle name="Note 2 18" xfId="30231"/>
    <cellStyle name="Note 2 19" xfId="30199"/>
    <cellStyle name="Note 2 2" xfId="83"/>
    <cellStyle name="Note 2 2 10" xfId="30233"/>
    <cellStyle name="Note 2 2 10 2" xfId="30234"/>
    <cellStyle name="Note 2 2 11" xfId="30235"/>
    <cellStyle name="Note 2 2 11 2" xfId="30236"/>
    <cellStyle name="Note 2 2 12" xfId="30237"/>
    <cellStyle name="Note 2 2 13" xfId="30238"/>
    <cellStyle name="Note 2 2 13 2" xfId="30239"/>
    <cellStyle name="Note 2 2 14" xfId="30240"/>
    <cellStyle name="Note 2 2 15" xfId="30241"/>
    <cellStyle name="Note 2 2 16" xfId="35654"/>
    <cellStyle name="Note 2 2 17" xfId="30232"/>
    <cellStyle name="Note 2 2 2" xfId="30242"/>
    <cellStyle name="Note 2 2 2 2" xfId="30243"/>
    <cellStyle name="Note 2 2 2 2 2" xfId="30244"/>
    <cellStyle name="Note 2 2 2 2 2 2" xfId="30245"/>
    <cellStyle name="Note 2 2 2 3" xfId="30246"/>
    <cellStyle name="Note 2 2 2 3 2" xfId="30247"/>
    <cellStyle name="Note 2 2 2 4" xfId="30248"/>
    <cellStyle name="Note 2 2 2 5" xfId="30249"/>
    <cellStyle name="Note 2 2 2 5 2" xfId="30250"/>
    <cellStyle name="Note 2 2 2 6" xfId="30251"/>
    <cellStyle name="Note 2 2 2 6 2" xfId="30252"/>
    <cellStyle name="Note 2 2 2 7" xfId="30253"/>
    <cellStyle name="Note 2 2 2 7 2" xfId="30254"/>
    <cellStyle name="Note 2 2 2 8" xfId="30255"/>
    <cellStyle name="Note 2 2 3" xfId="30256"/>
    <cellStyle name="Note 2 2 3 10" xfId="30257"/>
    <cellStyle name="Note 2 2 3 11" xfId="30258"/>
    <cellStyle name="Note 2 2 3 2" xfId="30259"/>
    <cellStyle name="Note 2 2 3 2 10" xfId="30260"/>
    <cellStyle name="Note 2 2 3 2 2" xfId="30261"/>
    <cellStyle name="Note 2 2 3 2 2 2" xfId="30262"/>
    <cellStyle name="Note 2 2 3 2 2 2 2" xfId="30263"/>
    <cellStyle name="Note 2 2 3 2 2 2 2 2" xfId="30264"/>
    <cellStyle name="Note 2 2 3 2 2 2 2 2 2" xfId="30265"/>
    <cellStyle name="Note 2 2 3 2 2 2 2 3" xfId="30266"/>
    <cellStyle name="Note 2 2 3 2 2 2 2 4" xfId="30267"/>
    <cellStyle name="Note 2 2 3 2 2 2 3" xfId="30268"/>
    <cellStyle name="Note 2 2 3 2 2 2 3 2" xfId="30269"/>
    <cellStyle name="Note 2 2 3 2 2 2 4" xfId="30270"/>
    <cellStyle name="Note 2 2 3 2 2 2 5" xfId="30271"/>
    <cellStyle name="Note 2 2 3 2 2 3" xfId="30272"/>
    <cellStyle name="Note 2 2 3 2 2 3 2" xfId="30273"/>
    <cellStyle name="Note 2 2 3 2 2 3 2 2" xfId="30274"/>
    <cellStyle name="Note 2 2 3 2 2 3 2 2 2" xfId="30275"/>
    <cellStyle name="Note 2 2 3 2 2 3 2 3" xfId="30276"/>
    <cellStyle name="Note 2 2 3 2 2 3 2 4" xfId="30277"/>
    <cellStyle name="Note 2 2 3 2 2 3 3" xfId="30278"/>
    <cellStyle name="Note 2 2 3 2 2 3 3 2" xfId="30279"/>
    <cellStyle name="Note 2 2 3 2 2 3 4" xfId="30280"/>
    <cellStyle name="Note 2 2 3 2 2 3 5" xfId="30281"/>
    <cellStyle name="Note 2 2 3 2 2 4" xfId="30282"/>
    <cellStyle name="Note 2 2 3 2 2 4 2" xfId="30283"/>
    <cellStyle name="Note 2 2 3 2 2 4 2 2" xfId="30284"/>
    <cellStyle name="Note 2 2 3 2 2 4 3" xfId="30285"/>
    <cellStyle name="Note 2 2 3 2 2 4 4" xfId="30286"/>
    <cellStyle name="Note 2 2 3 2 2 5" xfId="30287"/>
    <cellStyle name="Note 2 2 3 2 2 5 2" xfId="30288"/>
    <cellStyle name="Note 2 2 3 2 2 5 2 2" xfId="30289"/>
    <cellStyle name="Note 2 2 3 2 2 5 3" xfId="30290"/>
    <cellStyle name="Note 2 2 3 2 2 5 4" xfId="30291"/>
    <cellStyle name="Note 2 2 3 2 2 6" xfId="30292"/>
    <cellStyle name="Note 2 2 3 2 2 6 2" xfId="30293"/>
    <cellStyle name="Note 2 2 3 2 2 6 2 2" xfId="30294"/>
    <cellStyle name="Note 2 2 3 2 2 6 3" xfId="30295"/>
    <cellStyle name="Note 2 2 3 2 2 6 4" xfId="30296"/>
    <cellStyle name="Note 2 2 3 2 2 7" xfId="30297"/>
    <cellStyle name="Note 2 2 3 2 2 7 2" xfId="30298"/>
    <cellStyle name="Note 2 2 3 2 2 8" xfId="30299"/>
    <cellStyle name="Note 2 2 3 2 2 9" xfId="30300"/>
    <cellStyle name="Note 2 2 3 2 3" xfId="30301"/>
    <cellStyle name="Note 2 2 3 2 3 2" xfId="30302"/>
    <cellStyle name="Note 2 2 3 2 3 2 2" xfId="30303"/>
    <cellStyle name="Note 2 2 3 2 3 2 2 2" xfId="30304"/>
    <cellStyle name="Note 2 2 3 2 3 2 3" xfId="30305"/>
    <cellStyle name="Note 2 2 3 2 3 2 4" xfId="30306"/>
    <cellStyle name="Note 2 2 3 2 3 3" xfId="30307"/>
    <cellStyle name="Note 2 2 3 2 3 3 2" xfId="30308"/>
    <cellStyle name="Note 2 2 3 2 3 3 2 2" xfId="30309"/>
    <cellStyle name="Note 2 2 3 2 3 3 3" xfId="30310"/>
    <cellStyle name="Note 2 2 3 2 3 3 4" xfId="30311"/>
    <cellStyle name="Note 2 2 3 2 3 4" xfId="30312"/>
    <cellStyle name="Note 2 2 3 2 3 4 2" xfId="30313"/>
    <cellStyle name="Note 2 2 3 2 3 5" xfId="30314"/>
    <cellStyle name="Note 2 2 3 2 3 6" xfId="30315"/>
    <cellStyle name="Note 2 2 3 2 4" xfId="30316"/>
    <cellStyle name="Note 2 2 3 2 4 2" xfId="30317"/>
    <cellStyle name="Note 2 2 3 2 4 2 2" xfId="30318"/>
    <cellStyle name="Note 2 2 3 2 4 2 2 2" xfId="30319"/>
    <cellStyle name="Note 2 2 3 2 4 2 3" xfId="30320"/>
    <cellStyle name="Note 2 2 3 2 4 2 4" xfId="30321"/>
    <cellStyle name="Note 2 2 3 2 4 3" xfId="30322"/>
    <cellStyle name="Note 2 2 3 2 4 4" xfId="30323"/>
    <cellStyle name="Note 2 2 3 2 4 5" xfId="30324"/>
    <cellStyle name="Note 2 2 3 2 4 5 2" xfId="30325"/>
    <cellStyle name="Note 2 2 3 2 4 6" xfId="30326"/>
    <cellStyle name="Note 2 2 3 2 4 7" xfId="30327"/>
    <cellStyle name="Note 2 2 3 2 5" xfId="30328"/>
    <cellStyle name="Note 2 2 3 2 5 2" xfId="30329"/>
    <cellStyle name="Note 2 2 3 2 5 2 2" xfId="30330"/>
    <cellStyle name="Note 2 2 3 2 5 3" xfId="30331"/>
    <cellStyle name="Note 2 2 3 2 5 4" xfId="30332"/>
    <cellStyle name="Note 2 2 3 2 6" xfId="30333"/>
    <cellStyle name="Note 2 2 3 2 6 2" xfId="30334"/>
    <cellStyle name="Note 2 2 3 2 6 2 2" xfId="30335"/>
    <cellStyle name="Note 2 2 3 2 6 3" xfId="30336"/>
    <cellStyle name="Note 2 2 3 2 6 4" xfId="30337"/>
    <cellStyle name="Note 2 2 3 2 7" xfId="30338"/>
    <cellStyle name="Note 2 2 3 2 8" xfId="30339"/>
    <cellStyle name="Note 2 2 3 2 8 2" xfId="30340"/>
    <cellStyle name="Note 2 2 3 2 9" xfId="30341"/>
    <cellStyle name="Note 2 2 3 3" xfId="30342"/>
    <cellStyle name="Note 2 2 3 3 2" xfId="30343"/>
    <cellStyle name="Note 2 2 3 3 2 2" xfId="30344"/>
    <cellStyle name="Note 2 2 3 3 2 2 2" xfId="30345"/>
    <cellStyle name="Note 2 2 3 3 2 2 2 2" xfId="30346"/>
    <cellStyle name="Note 2 2 3 3 2 2 3" xfId="30347"/>
    <cellStyle name="Note 2 2 3 3 2 2 4" xfId="30348"/>
    <cellStyle name="Note 2 2 3 3 2 3" xfId="30349"/>
    <cellStyle name="Note 2 2 3 3 2 3 2" xfId="30350"/>
    <cellStyle name="Note 2 2 3 3 2 3 2 2" xfId="30351"/>
    <cellStyle name="Note 2 2 3 3 2 3 3" xfId="30352"/>
    <cellStyle name="Note 2 2 3 3 2 3 4" xfId="30353"/>
    <cellStyle name="Note 2 2 3 3 2 4" xfId="30354"/>
    <cellStyle name="Note 2 2 3 3 2 4 2" xfId="30355"/>
    <cellStyle name="Note 2 2 3 3 2 5" xfId="30356"/>
    <cellStyle name="Note 2 2 3 3 2 6" xfId="30357"/>
    <cellStyle name="Note 2 2 3 3 3" xfId="30358"/>
    <cellStyle name="Note 2 2 3 3 3 2" xfId="30359"/>
    <cellStyle name="Note 2 2 3 3 3 2 2" xfId="30360"/>
    <cellStyle name="Note 2 2 3 3 3 2 2 2" xfId="30361"/>
    <cellStyle name="Note 2 2 3 3 3 2 3" xfId="30362"/>
    <cellStyle name="Note 2 2 3 3 3 2 4" xfId="30363"/>
    <cellStyle name="Note 2 2 3 3 3 3" xfId="30364"/>
    <cellStyle name="Note 2 2 3 3 3 3 2" xfId="30365"/>
    <cellStyle name="Note 2 2 3 3 3 4" xfId="30366"/>
    <cellStyle name="Note 2 2 3 3 3 5" xfId="30367"/>
    <cellStyle name="Note 2 2 3 3 4" xfId="30368"/>
    <cellStyle name="Note 2 2 3 3 4 2" xfId="30369"/>
    <cellStyle name="Note 2 2 3 3 4 2 2" xfId="30370"/>
    <cellStyle name="Note 2 2 3 3 4 3" xfId="30371"/>
    <cellStyle name="Note 2 2 3 3 4 4" xfId="30372"/>
    <cellStyle name="Note 2 2 3 3 5" xfId="30373"/>
    <cellStyle name="Note 2 2 3 3 5 2" xfId="30374"/>
    <cellStyle name="Note 2 2 3 3 5 2 2" xfId="30375"/>
    <cellStyle name="Note 2 2 3 3 5 3" xfId="30376"/>
    <cellStyle name="Note 2 2 3 3 5 4" xfId="30377"/>
    <cellStyle name="Note 2 2 3 3 6" xfId="30378"/>
    <cellStyle name="Note 2 2 3 3 7" xfId="30379"/>
    <cellStyle name="Note 2 2 3 3 7 2" xfId="30380"/>
    <cellStyle name="Note 2 2 3 3 8" xfId="30381"/>
    <cellStyle name="Note 2 2 3 3 9" xfId="30382"/>
    <cellStyle name="Note 2 2 3 4" xfId="30383"/>
    <cellStyle name="Note 2 2 3 4 2" xfId="30384"/>
    <cellStyle name="Note 2 2 3 4 2 2" xfId="30385"/>
    <cellStyle name="Note 2 2 3 4 2 2 2" xfId="30386"/>
    <cellStyle name="Note 2 2 3 4 2 3" xfId="30387"/>
    <cellStyle name="Note 2 2 3 4 2 4" xfId="30388"/>
    <cellStyle name="Note 2 2 3 4 3" xfId="30389"/>
    <cellStyle name="Note 2 2 3 4 3 2" xfId="30390"/>
    <cellStyle name="Note 2 2 3 4 3 2 2" xfId="30391"/>
    <cellStyle name="Note 2 2 3 4 3 3" xfId="30392"/>
    <cellStyle name="Note 2 2 3 4 3 4" xfId="30393"/>
    <cellStyle name="Note 2 2 3 4 4" xfId="30394"/>
    <cellStyle name="Note 2 2 3 4 4 2" xfId="30395"/>
    <cellStyle name="Note 2 2 3 4 5" xfId="30396"/>
    <cellStyle name="Note 2 2 3 4 6" xfId="30397"/>
    <cellStyle name="Note 2 2 3 5" xfId="30398"/>
    <cellStyle name="Note 2 2 3 5 2" xfId="30399"/>
    <cellStyle name="Note 2 2 3 5 2 2" xfId="30400"/>
    <cellStyle name="Note 2 2 3 5 2 2 2" xfId="30401"/>
    <cellStyle name="Note 2 2 3 5 2 3" xfId="30402"/>
    <cellStyle name="Note 2 2 3 5 2 4" xfId="30403"/>
    <cellStyle name="Note 2 2 3 5 3" xfId="30404"/>
    <cellStyle name="Note 2 2 3 5 4" xfId="30405"/>
    <cellStyle name="Note 2 2 3 5 4 2" xfId="30406"/>
    <cellStyle name="Note 2 2 3 5 5" xfId="30407"/>
    <cellStyle name="Note 2 2 3 5 6" xfId="30408"/>
    <cellStyle name="Note 2 2 3 6" xfId="30409"/>
    <cellStyle name="Note 2 2 3 6 2" xfId="30410"/>
    <cellStyle name="Note 2 2 3 6 3" xfId="30411"/>
    <cellStyle name="Note 2 2 3 6 4" xfId="30412"/>
    <cellStyle name="Note 2 2 3 6 4 2" xfId="30413"/>
    <cellStyle name="Note 2 2 3 6 5" xfId="30414"/>
    <cellStyle name="Note 2 2 3 6 6" xfId="30415"/>
    <cellStyle name="Note 2 2 3 7" xfId="30416"/>
    <cellStyle name="Note 2 2 3 7 2" xfId="30417"/>
    <cellStyle name="Note 2 2 3 7 2 2" xfId="30418"/>
    <cellStyle name="Note 2 2 3 7 3" xfId="30419"/>
    <cellStyle name="Note 2 2 3 7 4" xfId="30420"/>
    <cellStyle name="Note 2 2 3 8" xfId="30421"/>
    <cellStyle name="Note 2 2 3 9" xfId="30422"/>
    <cellStyle name="Note 2 2 3 9 2" xfId="30423"/>
    <cellStyle name="Note 2 2 4" xfId="30424"/>
    <cellStyle name="Note 2 2 4 10" xfId="30425"/>
    <cellStyle name="Note 2 2 4 2" xfId="30426"/>
    <cellStyle name="Note 2 2 4 2 2" xfId="30427"/>
    <cellStyle name="Note 2 2 4 2 2 2" xfId="30428"/>
    <cellStyle name="Note 2 2 4 2 2 2 2" xfId="30429"/>
    <cellStyle name="Note 2 2 4 2 2 2 2 2" xfId="30430"/>
    <cellStyle name="Note 2 2 4 2 2 2 3" xfId="30431"/>
    <cellStyle name="Note 2 2 4 2 2 2 4" xfId="30432"/>
    <cellStyle name="Note 2 2 4 2 2 3" xfId="30433"/>
    <cellStyle name="Note 2 2 4 2 2 3 2" xfId="30434"/>
    <cellStyle name="Note 2 2 4 2 2 3 2 2" xfId="30435"/>
    <cellStyle name="Note 2 2 4 2 2 3 3" xfId="30436"/>
    <cellStyle name="Note 2 2 4 2 2 3 4" xfId="30437"/>
    <cellStyle name="Note 2 2 4 2 2 4" xfId="30438"/>
    <cellStyle name="Note 2 2 4 2 2 4 2" xfId="30439"/>
    <cellStyle name="Note 2 2 4 2 2 5" xfId="30440"/>
    <cellStyle name="Note 2 2 4 2 2 6" xfId="30441"/>
    <cellStyle name="Note 2 2 4 2 3" xfId="30442"/>
    <cellStyle name="Note 2 2 4 2 3 2" xfId="30443"/>
    <cellStyle name="Note 2 2 4 2 3 2 2" xfId="30444"/>
    <cellStyle name="Note 2 2 4 2 3 2 2 2" xfId="30445"/>
    <cellStyle name="Note 2 2 4 2 3 2 3" xfId="30446"/>
    <cellStyle name="Note 2 2 4 2 3 2 4" xfId="30447"/>
    <cellStyle name="Note 2 2 4 2 3 3" xfId="30448"/>
    <cellStyle name="Note 2 2 4 2 3 3 2" xfId="30449"/>
    <cellStyle name="Note 2 2 4 2 3 4" xfId="30450"/>
    <cellStyle name="Note 2 2 4 2 3 5" xfId="30451"/>
    <cellStyle name="Note 2 2 4 2 4" xfId="30452"/>
    <cellStyle name="Note 2 2 4 2 4 2" xfId="30453"/>
    <cellStyle name="Note 2 2 4 2 4 2 2" xfId="30454"/>
    <cellStyle name="Note 2 2 4 2 4 3" xfId="30455"/>
    <cellStyle name="Note 2 2 4 2 4 4" xfId="30456"/>
    <cellStyle name="Note 2 2 4 2 5" xfId="30457"/>
    <cellStyle name="Note 2 2 4 2 5 2" xfId="30458"/>
    <cellStyle name="Note 2 2 4 2 5 2 2" xfId="30459"/>
    <cellStyle name="Note 2 2 4 2 5 3" xfId="30460"/>
    <cellStyle name="Note 2 2 4 2 5 4" xfId="30461"/>
    <cellStyle name="Note 2 2 4 2 6" xfId="30462"/>
    <cellStyle name="Note 2 2 4 2 7" xfId="30463"/>
    <cellStyle name="Note 2 2 4 2 7 2" xfId="30464"/>
    <cellStyle name="Note 2 2 4 2 8" xfId="30465"/>
    <cellStyle name="Note 2 2 4 2 9" xfId="30466"/>
    <cellStyle name="Note 2 2 4 3" xfId="30467"/>
    <cellStyle name="Note 2 2 4 3 2" xfId="30468"/>
    <cellStyle name="Note 2 2 4 3 2 2" xfId="30469"/>
    <cellStyle name="Note 2 2 4 3 2 2 2" xfId="30470"/>
    <cellStyle name="Note 2 2 4 3 2 3" xfId="30471"/>
    <cellStyle name="Note 2 2 4 3 2 4" xfId="30472"/>
    <cellStyle name="Note 2 2 4 3 3" xfId="30473"/>
    <cellStyle name="Note 2 2 4 3 4" xfId="30474"/>
    <cellStyle name="Note 2 2 4 3 4 2" xfId="30475"/>
    <cellStyle name="Note 2 2 4 3 5" xfId="30476"/>
    <cellStyle name="Note 2 2 4 3 6" xfId="30477"/>
    <cellStyle name="Note 2 2 4 4" xfId="30478"/>
    <cellStyle name="Note 2 2 4 4 2" xfId="30479"/>
    <cellStyle name="Note 2 2 4 4 2 2" xfId="30480"/>
    <cellStyle name="Note 2 2 4 4 2 2 2" xfId="30481"/>
    <cellStyle name="Note 2 2 4 4 2 3" xfId="30482"/>
    <cellStyle name="Note 2 2 4 4 2 4" xfId="30483"/>
    <cellStyle name="Note 2 2 4 4 3" xfId="30484"/>
    <cellStyle name="Note 2 2 4 4 3 2" xfId="30485"/>
    <cellStyle name="Note 2 2 4 4 3 2 2" xfId="30486"/>
    <cellStyle name="Note 2 2 4 4 3 3" xfId="30487"/>
    <cellStyle name="Note 2 2 4 4 3 4" xfId="30488"/>
    <cellStyle name="Note 2 2 4 4 4" xfId="30489"/>
    <cellStyle name="Note 2 2 4 4 4 2" xfId="30490"/>
    <cellStyle name="Note 2 2 4 4 5" xfId="30491"/>
    <cellStyle name="Note 2 2 4 4 6" xfId="30492"/>
    <cellStyle name="Note 2 2 4 5" xfId="30493"/>
    <cellStyle name="Note 2 2 4 5 2" xfId="30494"/>
    <cellStyle name="Note 2 2 4 5 3" xfId="30495"/>
    <cellStyle name="Note 2 2 4 5 4" xfId="30496"/>
    <cellStyle name="Note 2 2 4 5 4 2" xfId="30497"/>
    <cellStyle name="Note 2 2 4 5 5" xfId="30498"/>
    <cellStyle name="Note 2 2 4 5 6" xfId="30499"/>
    <cellStyle name="Note 2 2 4 6" xfId="30500"/>
    <cellStyle name="Note 2 2 4 6 2" xfId="30501"/>
    <cellStyle name="Note 2 2 4 6 2 2" xfId="30502"/>
    <cellStyle name="Note 2 2 4 6 3" xfId="30503"/>
    <cellStyle name="Note 2 2 4 6 4" xfId="30504"/>
    <cellStyle name="Note 2 2 4 7" xfId="30505"/>
    <cellStyle name="Note 2 2 4 8" xfId="30506"/>
    <cellStyle name="Note 2 2 4 8 2" xfId="30507"/>
    <cellStyle name="Note 2 2 4 9" xfId="30508"/>
    <cellStyle name="Note 2 2 5" xfId="30509"/>
    <cellStyle name="Note 2 2 5 2" xfId="30510"/>
    <cellStyle name="Note 2 2 5 2 2" xfId="30511"/>
    <cellStyle name="Note 2 2 5 2 2 2" xfId="30512"/>
    <cellStyle name="Note 2 2 5 2 2 2 2" xfId="30513"/>
    <cellStyle name="Note 2 2 5 2 2 3" xfId="30514"/>
    <cellStyle name="Note 2 2 5 2 2 4" xfId="30515"/>
    <cellStyle name="Note 2 2 5 2 3" xfId="30516"/>
    <cellStyle name="Note 2 2 5 2 4" xfId="30517"/>
    <cellStyle name="Note 2 2 5 2 4 2" xfId="30518"/>
    <cellStyle name="Note 2 2 5 2 5" xfId="30519"/>
    <cellStyle name="Note 2 2 5 2 6" xfId="30520"/>
    <cellStyle name="Note 2 2 5 3" xfId="30521"/>
    <cellStyle name="Note 2 2 5 3 2" xfId="30522"/>
    <cellStyle name="Note 2 2 5 3 2 2" xfId="30523"/>
    <cellStyle name="Note 2 2 5 3 2 2 2" xfId="30524"/>
    <cellStyle name="Note 2 2 5 3 2 3" xfId="30525"/>
    <cellStyle name="Note 2 2 5 3 2 4" xfId="30526"/>
    <cellStyle name="Note 2 2 5 3 3" xfId="30527"/>
    <cellStyle name="Note 2 2 5 3 4" xfId="30528"/>
    <cellStyle name="Note 2 2 5 3 4 2" xfId="30529"/>
    <cellStyle name="Note 2 2 5 3 5" xfId="30530"/>
    <cellStyle name="Note 2 2 5 3 6" xfId="30531"/>
    <cellStyle name="Note 2 2 5 4" xfId="30532"/>
    <cellStyle name="Note 2 2 5 4 2" xfId="30533"/>
    <cellStyle name="Note 2 2 5 4 2 2" xfId="30534"/>
    <cellStyle name="Note 2 2 5 4 2 2 2" xfId="30535"/>
    <cellStyle name="Note 2 2 5 4 2 3" xfId="30536"/>
    <cellStyle name="Note 2 2 5 4 2 4" xfId="30537"/>
    <cellStyle name="Note 2 2 5 4 3" xfId="30538"/>
    <cellStyle name="Note 2 2 5 4 3 2" xfId="30539"/>
    <cellStyle name="Note 2 2 5 4 4" xfId="30540"/>
    <cellStyle name="Note 2 2 5 4 5" xfId="30541"/>
    <cellStyle name="Note 2 2 5 5" xfId="30542"/>
    <cellStyle name="Note 2 2 5 5 2" xfId="30543"/>
    <cellStyle name="Note 2 2 5 5 2 2" xfId="30544"/>
    <cellStyle name="Note 2 2 5 5 3" xfId="30545"/>
    <cellStyle name="Note 2 2 5 5 4" xfId="30546"/>
    <cellStyle name="Note 2 2 5 6" xfId="30547"/>
    <cellStyle name="Note 2 2 5 7" xfId="30548"/>
    <cellStyle name="Note 2 2 5 7 2" xfId="30549"/>
    <cellStyle name="Note 2 2 5 8" xfId="30550"/>
    <cellStyle name="Note 2 2 5 9" xfId="30551"/>
    <cellStyle name="Note 2 2 6" xfId="30552"/>
    <cellStyle name="Note 2 2 6 2" xfId="30553"/>
    <cellStyle name="Note 2 2 6 2 2" xfId="30554"/>
    <cellStyle name="Note 2 2 6 2 2 2" xfId="30555"/>
    <cellStyle name="Note 2 2 6 2 3" xfId="30556"/>
    <cellStyle name="Note 2 2 6 2 4" xfId="30557"/>
    <cellStyle name="Note 2 2 6 3" xfId="30558"/>
    <cellStyle name="Note 2 2 6 4" xfId="30559"/>
    <cellStyle name="Note 2 2 6 4 2" xfId="30560"/>
    <cellStyle name="Note 2 2 6 5" xfId="30561"/>
    <cellStyle name="Note 2 2 6 6" xfId="30562"/>
    <cellStyle name="Note 2 2 7" xfId="30563"/>
    <cellStyle name="Note 2 2 7 2" xfId="30564"/>
    <cellStyle name="Note 2 2 7 2 2" xfId="30565"/>
    <cellStyle name="Note 2 2 7 2 2 2" xfId="30566"/>
    <cellStyle name="Note 2 2 7 2 3" xfId="30567"/>
    <cellStyle name="Note 2 2 7 2 4" xfId="30568"/>
    <cellStyle name="Note 2 2 7 3" xfId="30569"/>
    <cellStyle name="Note 2 2 7 4" xfId="30570"/>
    <cellStyle name="Note 2 2 7 4 2" xfId="30571"/>
    <cellStyle name="Note 2 2 7 5" xfId="30572"/>
    <cellStyle name="Note 2 2 7 6" xfId="30573"/>
    <cellStyle name="Note 2 2 8" xfId="30574"/>
    <cellStyle name="Note 2 2 8 2" xfId="30575"/>
    <cellStyle name="Note 2 2 8 2 2" xfId="30576"/>
    <cellStyle name="Note 2 2 8 2 2 2" xfId="30577"/>
    <cellStyle name="Note 2 2 8 2 3" xfId="30578"/>
    <cellStyle name="Note 2 2 8 2 4" xfId="30579"/>
    <cellStyle name="Note 2 2 8 3" xfId="30580"/>
    <cellStyle name="Note 2 2 8 3 2" xfId="30581"/>
    <cellStyle name="Note 2 2 8 4" xfId="30582"/>
    <cellStyle name="Note 2 2 8 5" xfId="30583"/>
    <cellStyle name="Note 2 2 9" xfId="30584"/>
    <cellStyle name="Note 2 2 9 2" xfId="30585"/>
    <cellStyle name="Note 2 2 9 3" xfId="30586"/>
    <cellStyle name="Note 2 2 9 3 2" xfId="30587"/>
    <cellStyle name="Note 2 2 9 4" xfId="30588"/>
    <cellStyle name="Note 2 2 9 5" xfId="30589"/>
    <cellStyle name="Note 2 3" xfId="438"/>
    <cellStyle name="Note 2 3 10" xfId="30591"/>
    <cellStyle name="Note 2 3 10 2" xfId="30592"/>
    <cellStyle name="Note 2 3 11" xfId="30593"/>
    <cellStyle name="Note 2 3 11 2" xfId="30594"/>
    <cellStyle name="Note 2 3 12" xfId="30595"/>
    <cellStyle name="Note 2 3 13" xfId="30590"/>
    <cellStyle name="Note 2 3 2" xfId="30596"/>
    <cellStyle name="Note 2 3 2 2" xfId="30597"/>
    <cellStyle name="Note 2 3 2 2 2" xfId="30598"/>
    <cellStyle name="Note 2 3 2 2 2 2" xfId="30599"/>
    <cellStyle name="Note 2 3 2 3" xfId="30600"/>
    <cellStyle name="Note 2 3 2 3 2" xfId="30601"/>
    <cellStyle name="Note 2 3 2 4" xfId="30602"/>
    <cellStyle name="Note 2 3 2 4 2" xfId="30603"/>
    <cellStyle name="Note 2 3 2 5" xfId="30604"/>
    <cellStyle name="Note 2 3 2 5 2" xfId="30605"/>
    <cellStyle name="Note 2 3 2 6" xfId="30606"/>
    <cellStyle name="Note 2 3 3" xfId="30607"/>
    <cellStyle name="Note 2 3 3 2" xfId="30608"/>
    <cellStyle name="Note 2 3 3 2 2" xfId="30609"/>
    <cellStyle name="Note 2 3 3 2 2 2" xfId="30610"/>
    <cellStyle name="Note 2 3 3 3" xfId="30611"/>
    <cellStyle name="Note 2 3 3 3 2" xfId="30612"/>
    <cellStyle name="Note 2 3 3 4" xfId="30613"/>
    <cellStyle name="Note 2 3 3 4 2" xfId="30614"/>
    <cellStyle name="Note 2 3 3 5" xfId="30615"/>
    <cellStyle name="Note 2 3 3 5 2" xfId="30616"/>
    <cellStyle name="Note 2 3 4" xfId="30617"/>
    <cellStyle name="Note 2 3 4 2" xfId="30618"/>
    <cellStyle name="Note 2 3 4 2 2" xfId="30619"/>
    <cellStyle name="Note 2 3 4 3" xfId="30620"/>
    <cellStyle name="Note 2 3 4 3 2" xfId="30621"/>
    <cellStyle name="Note 2 3 4 4" xfId="30622"/>
    <cellStyle name="Note 2 3 4 4 2" xfId="30623"/>
    <cellStyle name="Note 2 3 5" xfId="30624"/>
    <cellStyle name="Note 2 3 5 2" xfId="30625"/>
    <cellStyle name="Note 2 3 5 2 2" xfId="30626"/>
    <cellStyle name="Note 2 3 5 3" xfId="30627"/>
    <cellStyle name="Note 2 3 5 3 2" xfId="30628"/>
    <cellStyle name="Note 2 3 5 4" xfId="30629"/>
    <cellStyle name="Note 2 3 6" xfId="30630"/>
    <cellStyle name="Note 2 3 6 2" xfId="30631"/>
    <cellStyle name="Note 2 3 7" xfId="30632"/>
    <cellStyle name="Note 2 3 7 2" xfId="30633"/>
    <cellStyle name="Note 2 3 8" xfId="30634"/>
    <cellStyle name="Note 2 3 8 2" xfId="30635"/>
    <cellStyle name="Note 2 3 9" xfId="30636"/>
    <cellStyle name="Note 2 3 9 2" xfId="30637"/>
    <cellStyle name="Note 2 4" xfId="30638"/>
    <cellStyle name="Note 2 4 10" xfId="30639"/>
    <cellStyle name="Note 2 4 10 2" xfId="30640"/>
    <cellStyle name="Note 2 4 11" xfId="30641"/>
    <cellStyle name="Note 2 4 12" xfId="30642"/>
    <cellStyle name="Note 2 4 2" xfId="30643"/>
    <cellStyle name="Note 2 4 2 10" xfId="30644"/>
    <cellStyle name="Note 2 4 2 11" xfId="30645"/>
    <cellStyle name="Note 2 4 2 2" xfId="30646"/>
    <cellStyle name="Note 2 4 2 2 10" xfId="30647"/>
    <cellStyle name="Note 2 4 2 2 2" xfId="30648"/>
    <cellStyle name="Note 2 4 2 2 2 2" xfId="30649"/>
    <cellStyle name="Note 2 4 2 2 2 2 2" xfId="30650"/>
    <cellStyle name="Note 2 4 2 2 2 2 2 2" xfId="30651"/>
    <cellStyle name="Note 2 4 2 2 2 2 2 2 2" xfId="30652"/>
    <cellStyle name="Note 2 4 2 2 2 2 2 3" xfId="30653"/>
    <cellStyle name="Note 2 4 2 2 2 2 2 4" xfId="30654"/>
    <cellStyle name="Note 2 4 2 2 2 2 3" xfId="30655"/>
    <cellStyle name="Note 2 4 2 2 2 2 3 2" xfId="30656"/>
    <cellStyle name="Note 2 4 2 2 2 2 4" xfId="30657"/>
    <cellStyle name="Note 2 4 2 2 2 2 5" xfId="30658"/>
    <cellStyle name="Note 2 4 2 2 2 3" xfId="30659"/>
    <cellStyle name="Note 2 4 2 2 2 3 2" xfId="30660"/>
    <cellStyle name="Note 2 4 2 2 2 3 2 2" xfId="30661"/>
    <cellStyle name="Note 2 4 2 2 2 3 2 2 2" xfId="30662"/>
    <cellStyle name="Note 2 4 2 2 2 3 2 3" xfId="30663"/>
    <cellStyle name="Note 2 4 2 2 2 3 2 4" xfId="30664"/>
    <cellStyle name="Note 2 4 2 2 2 3 3" xfId="30665"/>
    <cellStyle name="Note 2 4 2 2 2 3 3 2" xfId="30666"/>
    <cellStyle name="Note 2 4 2 2 2 3 4" xfId="30667"/>
    <cellStyle name="Note 2 4 2 2 2 3 5" xfId="30668"/>
    <cellStyle name="Note 2 4 2 2 2 4" xfId="30669"/>
    <cellStyle name="Note 2 4 2 2 2 4 2" xfId="30670"/>
    <cellStyle name="Note 2 4 2 2 2 4 2 2" xfId="30671"/>
    <cellStyle name="Note 2 4 2 2 2 4 3" xfId="30672"/>
    <cellStyle name="Note 2 4 2 2 2 4 4" xfId="30673"/>
    <cellStyle name="Note 2 4 2 2 2 5" xfId="30674"/>
    <cellStyle name="Note 2 4 2 2 2 5 2" xfId="30675"/>
    <cellStyle name="Note 2 4 2 2 2 5 2 2" xfId="30676"/>
    <cellStyle name="Note 2 4 2 2 2 5 3" xfId="30677"/>
    <cellStyle name="Note 2 4 2 2 2 5 4" xfId="30678"/>
    <cellStyle name="Note 2 4 2 2 2 6" xfId="30679"/>
    <cellStyle name="Note 2 4 2 2 2 6 2" xfId="30680"/>
    <cellStyle name="Note 2 4 2 2 2 6 2 2" xfId="30681"/>
    <cellStyle name="Note 2 4 2 2 2 6 3" xfId="30682"/>
    <cellStyle name="Note 2 4 2 2 2 6 4" xfId="30683"/>
    <cellStyle name="Note 2 4 2 2 2 7" xfId="30684"/>
    <cellStyle name="Note 2 4 2 2 2 7 2" xfId="30685"/>
    <cellStyle name="Note 2 4 2 2 2 8" xfId="30686"/>
    <cellStyle name="Note 2 4 2 2 2 9" xfId="30687"/>
    <cellStyle name="Note 2 4 2 2 3" xfId="30688"/>
    <cellStyle name="Note 2 4 2 2 3 2" xfId="30689"/>
    <cellStyle name="Note 2 4 2 2 3 2 2" xfId="30690"/>
    <cellStyle name="Note 2 4 2 2 3 2 2 2" xfId="30691"/>
    <cellStyle name="Note 2 4 2 2 3 2 3" xfId="30692"/>
    <cellStyle name="Note 2 4 2 2 3 2 4" xfId="30693"/>
    <cellStyle name="Note 2 4 2 2 3 3" xfId="30694"/>
    <cellStyle name="Note 2 4 2 2 3 3 2" xfId="30695"/>
    <cellStyle name="Note 2 4 2 2 3 3 2 2" xfId="30696"/>
    <cellStyle name="Note 2 4 2 2 3 3 3" xfId="30697"/>
    <cellStyle name="Note 2 4 2 2 3 3 4" xfId="30698"/>
    <cellStyle name="Note 2 4 2 2 3 4" xfId="30699"/>
    <cellStyle name="Note 2 4 2 2 3 4 2" xfId="30700"/>
    <cellStyle name="Note 2 4 2 2 3 5" xfId="30701"/>
    <cellStyle name="Note 2 4 2 2 3 6" xfId="30702"/>
    <cellStyle name="Note 2 4 2 2 4" xfId="30703"/>
    <cellStyle name="Note 2 4 2 2 4 2" xfId="30704"/>
    <cellStyle name="Note 2 4 2 2 4 2 2" xfId="30705"/>
    <cellStyle name="Note 2 4 2 2 4 2 2 2" xfId="30706"/>
    <cellStyle name="Note 2 4 2 2 4 2 3" xfId="30707"/>
    <cellStyle name="Note 2 4 2 2 4 2 4" xfId="30708"/>
    <cellStyle name="Note 2 4 2 2 4 3" xfId="30709"/>
    <cellStyle name="Note 2 4 2 2 4 3 2" xfId="30710"/>
    <cellStyle name="Note 2 4 2 2 4 4" xfId="30711"/>
    <cellStyle name="Note 2 4 2 2 4 5" xfId="30712"/>
    <cellStyle name="Note 2 4 2 2 5" xfId="30713"/>
    <cellStyle name="Note 2 4 2 2 5 2" xfId="30714"/>
    <cellStyle name="Note 2 4 2 2 5 2 2" xfId="30715"/>
    <cellStyle name="Note 2 4 2 2 5 3" xfId="30716"/>
    <cellStyle name="Note 2 4 2 2 5 4" xfId="30717"/>
    <cellStyle name="Note 2 4 2 2 6" xfId="30718"/>
    <cellStyle name="Note 2 4 2 2 6 2" xfId="30719"/>
    <cellStyle name="Note 2 4 2 2 6 2 2" xfId="30720"/>
    <cellStyle name="Note 2 4 2 2 6 3" xfId="30721"/>
    <cellStyle name="Note 2 4 2 2 6 4" xfId="30722"/>
    <cellStyle name="Note 2 4 2 2 7" xfId="30723"/>
    <cellStyle name="Note 2 4 2 2 8" xfId="30724"/>
    <cellStyle name="Note 2 4 2 2 8 2" xfId="30725"/>
    <cellStyle name="Note 2 4 2 2 9" xfId="30726"/>
    <cellStyle name="Note 2 4 2 3" xfId="30727"/>
    <cellStyle name="Note 2 4 2 3 2" xfId="30728"/>
    <cellStyle name="Note 2 4 2 3 2 2" xfId="30729"/>
    <cellStyle name="Note 2 4 2 3 2 2 2" xfId="30730"/>
    <cellStyle name="Note 2 4 2 3 2 2 2 2" xfId="30731"/>
    <cellStyle name="Note 2 4 2 3 2 2 3" xfId="30732"/>
    <cellStyle name="Note 2 4 2 3 2 2 4" xfId="30733"/>
    <cellStyle name="Note 2 4 2 3 2 3" xfId="30734"/>
    <cellStyle name="Note 2 4 2 3 2 3 2" xfId="30735"/>
    <cellStyle name="Note 2 4 2 3 2 3 2 2" xfId="30736"/>
    <cellStyle name="Note 2 4 2 3 2 3 3" xfId="30737"/>
    <cellStyle name="Note 2 4 2 3 2 3 4" xfId="30738"/>
    <cellStyle name="Note 2 4 2 3 2 4" xfId="30739"/>
    <cellStyle name="Note 2 4 2 3 2 4 2" xfId="30740"/>
    <cellStyle name="Note 2 4 2 3 2 5" xfId="30741"/>
    <cellStyle name="Note 2 4 2 3 2 6" xfId="30742"/>
    <cellStyle name="Note 2 4 2 3 3" xfId="30743"/>
    <cellStyle name="Note 2 4 2 3 3 2" xfId="30744"/>
    <cellStyle name="Note 2 4 2 3 3 2 2" xfId="30745"/>
    <cellStyle name="Note 2 4 2 3 3 2 2 2" xfId="30746"/>
    <cellStyle name="Note 2 4 2 3 3 2 3" xfId="30747"/>
    <cellStyle name="Note 2 4 2 3 3 2 4" xfId="30748"/>
    <cellStyle name="Note 2 4 2 3 3 3" xfId="30749"/>
    <cellStyle name="Note 2 4 2 3 3 3 2" xfId="30750"/>
    <cellStyle name="Note 2 4 2 3 3 4" xfId="30751"/>
    <cellStyle name="Note 2 4 2 3 3 5" xfId="30752"/>
    <cellStyle name="Note 2 4 2 3 4" xfId="30753"/>
    <cellStyle name="Note 2 4 2 3 4 2" xfId="30754"/>
    <cellStyle name="Note 2 4 2 3 4 2 2" xfId="30755"/>
    <cellStyle name="Note 2 4 2 3 4 3" xfId="30756"/>
    <cellStyle name="Note 2 4 2 3 4 4" xfId="30757"/>
    <cellStyle name="Note 2 4 2 3 5" xfId="30758"/>
    <cellStyle name="Note 2 4 2 3 5 2" xfId="30759"/>
    <cellStyle name="Note 2 4 2 3 5 2 2" xfId="30760"/>
    <cellStyle name="Note 2 4 2 3 5 3" xfId="30761"/>
    <cellStyle name="Note 2 4 2 3 5 4" xfId="30762"/>
    <cellStyle name="Note 2 4 2 3 6" xfId="30763"/>
    <cellStyle name="Note 2 4 2 3 7" xfId="30764"/>
    <cellStyle name="Note 2 4 2 3 7 2" xfId="30765"/>
    <cellStyle name="Note 2 4 2 3 8" xfId="30766"/>
    <cellStyle name="Note 2 4 2 3 9" xfId="30767"/>
    <cellStyle name="Note 2 4 2 4" xfId="30768"/>
    <cellStyle name="Note 2 4 2 4 2" xfId="30769"/>
    <cellStyle name="Note 2 4 2 4 2 2" xfId="30770"/>
    <cellStyle name="Note 2 4 2 4 2 2 2" xfId="30771"/>
    <cellStyle name="Note 2 4 2 4 2 3" xfId="30772"/>
    <cellStyle name="Note 2 4 2 4 2 4" xfId="30773"/>
    <cellStyle name="Note 2 4 2 4 3" xfId="30774"/>
    <cellStyle name="Note 2 4 2 4 3 2" xfId="30775"/>
    <cellStyle name="Note 2 4 2 4 3 2 2" xfId="30776"/>
    <cellStyle name="Note 2 4 2 4 3 3" xfId="30777"/>
    <cellStyle name="Note 2 4 2 4 3 4" xfId="30778"/>
    <cellStyle name="Note 2 4 2 4 4" xfId="30779"/>
    <cellStyle name="Note 2 4 2 4 4 2" xfId="30780"/>
    <cellStyle name="Note 2 4 2 4 5" xfId="30781"/>
    <cellStyle name="Note 2 4 2 4 6" xfId="30782"/>
    <cellStyle name="Note 2 4 2 5" xfId="30783"/>
    <cellStyle name="Note 2 4 2 5 2" xfId="30784"/>
    <cellStyle name="Note 2 4 2 5 2 2" xfId="30785"/>
    <cellStyle name="Note 2 4 2 5 2 2 2" xfId="30786"/>
    <cellStyle name="Note 2 4 2 5 2 3" xfId="30787"/>
    <cellStyle name="Note 2 4 2 5 2 4" xfId="30788"/>
    <cellStyle name="Note 2 4 2 5 3" xfId="30789"/>
    <cellStyle name="Note 2 4 2 5 3 2" xfId="30790"/>
    <cellStyle name="Note 2 4 2 5 4" xfId="30791"/>
    <cellStyle name="Note 2 4 2 5 5" xfId="30792"/>
    <cellStyle name="Note 2 4 2 6" xfId="30793"/>
    <cellStyle name="Note 2 4 2 6 2" xfId="30794"/>
    <cellStyle name="Note 2 4 2 6 2 2" xfId="30795"/>
    <cellStyle name="Note 2 4 2 6 3" xfId="30796"/>
    <cellStyle name="Note 2 4 2 6 4" xfId="30797"/>
    <cellStyle name="Note 2 4 2 7" xfId="30798"/>
    <cellStyle name="Note 2 4 2 7 2" xfId="30799"/>
    <cellStyle name="Note 2 4 2 7 2 2" xfId="30800"/>
    <cellStyle name="Note 2 4 2 7 3" xfId="30801"/>
    <cellStyle name="Note 2 4 2 7 4" xfId="30802"/>
    <cellStyle name="Note 2 4 2 8" xfId="30803"/>
    <cellStyle name="Note 2 4 2 9" xfId="30804"/>
    <cellStyle name="Note 2 4 2 9 2" xfId="30805"/>
    <cellStyle name="Note 2 4 3" xfId="30806"/>
    <cellStyle name="Note 2 4 3 10" xfId="30807"/>
    <cellStyle name="Note 2 4 3 2" xfId="30808"/>
    <cellStyle name="Note 2 4 3 2 2" xfId="30809"/>
    <cellStyle name="Note 2 4 3 2 2 2" xfId="30810"/>
    <cellStyle name="Note 2 4 3 2 2 2 2" xfId="30811"/>
    <cellStyle name="Note 2 4 3 2 2 2 2 2" xfId="30812"/>
    <cellStyle name="Note 2 4 3 2 2 2 3" xfId="30813"/>
    <cellStyle name="Note 2 4 3 2 2 2 4" xfId="30814"/>
    <cellStyle name="Note 2 4 3 2 2 3" xfId="30815"/>
    <cellStyle name="Note 2 4 3 2 2 3 2" xfId="30816"/>
    <cellStyle name="Note 2 4 3 2 2 4" xfId="30817"/>
    <cellStyle name="Note 2 4 3 2 2 5" xfId="30818"/>
    <cellStyle name="Note 2 4 3 2 3" xfId="30819"/>
    <cellStyle name="Note 2 4 3 2 3 2" xfId="30820"/>
    <cellStyle name="Note 2 4 3 2 3 2 2" xfId="30821"/>
    <cellStyle name="Note 2 4 3 2 3 2 2 2" xfId="30822"/>
    <cellStyle name="Note 2 4 3 2 3 2 3" xfId="30823"/>
    <cellStyle name="Note 2 4 3 2 3 2 4" xfId="30824"/>
    <cellStyle name="Note 2 4 3 2 3 3" xfId="30825"/>
    <cellStyle name="Note 2 4 3 2 3 3 2" xfId="30826"/>
    <cellStyle name="Note 2 4 3 2 3 4" xfId="30827"/>
    <cellStyle name="Note 2 4 3 2 3 5" xfId="30828"/>
    <cellStyle name="Note 2 4 3 2 4" xfId="30829"/>
    <cellStyle name="Note 2 4 3 2 4 2" xfId="30830"/>
    <cellStyle name="Note 2 4 3 2 4 2 2" xfId="30831"/>
    <cellStyle name="Note 2 4 3 2 4 3" xfId="30832"/>
    <cellStyle name="Note 2 4 3 2 4 4" xfId="30833"/>
    <cellStyle name="Note 2 4 3 2 5" xfId="30834"/>
    <cellStyle name="Note 2 4 3 2 5 2" xfId="30835"/>
    <cellStyle name="Note 2 4 3 2 5 2 2" xfId="30836"/>
    <cellStyle name="Note 2 4 3 2 5 3" xfId="30837"/>
    <cellStyle name="Note 2 4 3 2 5 4" xfId="30838"/>
    <cellStyle name="Note 2 4 3 2 6" xfId="30839"/>
    <cellStyle name="Note 2 4 3 2 6 2" xfId="30840"/>
    <cellStyle name="Note 2 4 3 2 6 2 2" xfId="30841"/>
    <cellStyle name="Note 2 4 3 2 6 3" xfId="30842"/>
    <cellStyle name="Note 2 4 3 2 6 4" xfId="30843"/>
    <cellStyle name="Note 2 4 3 2 7" xfId="30844"/>
    <cellStyle name="Note 2 4 3 2 7 2" xfId="30845"/>
    <cellStyle name="Note 2 4 3 2 8" xfId="30846"/>
    <cellStyle name="Note 2 4 3 2 9" xfId="30847"/>
    <cellStyle name="Note 2 4 3 3" xfId="30848"/>
    <cellStyle name="Note 2 4 3 3 2" xfId="30849"/>
    <cellStyle name="Note 2 4 3 3 2 2" xfId="30850"/>
    <cellStyle name="Note 2 4 3 3 2 2 2" xfId="30851"/>
    <cellStyle name="Note 2 4 3 3 2 3" xfId="30852"/>
    <cellStyle name="Note 2 4 3 3 2 4" xfId="30853"/>
    <cellStyle name="Note 2 4 3 3 3" xfId="30854"/>
    <cellStyle name="Note 2 4 3 3 3 2" xfId="30855"/>
    <cellStyle name="Note 2 4 3 3 3 2 2" xfId="30856"/>
    <cellStyle name="Note 2 4 3 3 3 3" xfId="30857"/>
    <cellStyle name="Note 2 4 3 3 3 4" xfId="30858"/>
    <cellStyle name="Note 2 4 3 3 4" xfId="30859"/>
    <cellStyle name="Note 2 4 3 3 4 2" xfId="30860"/>
    <cellStyle name="Note 2 4 3 3 5" xfId="30861"/>
    <cellStyle name="Note 2 4 3 3 6" xfId="30862"/>
    <cellStyle name="Note 2 4 3 4" xfId="30863"/>
    <cellStyle name="Note 2 4 3 4 2" xfId="30864"/>
    <cellStyle name="Note 2 4 3 4 2 2" xfId="30865"/>
    <cellStyle name="Note 2 4 3 4 2 2 2" xfId="30866"/>
    <cellStyle name="Note 2 4 3 4 2 3" xfId="30867"/>
    <cellStyle name="Note 2 4 3 4 2 4" xfId="30868"/>
    <cellStyle name="Note 2 4 3 4 3" xfId="30869"/>
    <cellStyle name="Note 2 4 3 4 3 2" xfId="30870"/>
    <cellStyle name="Note 2 4 3 4 4" xfId="30871"/>
    <cellStyle name="Note 2 4 3 4 5" xfId="30872"/>
    <cellStyle name="Note 2 4 3 5" xfId="30873"/>
    <cellStyle name="Note 2 4 3 5 2" xfId="30874"/>
    <cellStyle name="Note 2 4 3 5 2 2" xfId="30875"/>
    <cellStyle name="Note 2 4 3 5 3" xfId="30876"/>
    <cellStyle name="Note 2 4 3 5 4" xfId="30877"/>
    <cellStyle name="Note 2 4 3 6" xfId="30878"/>
    <cellStyle name="Note 2 4 3 6 2" xfId="30879"/>
    <cellStyle name="Note 2 4 3 6 2 2" xfId="30880"/>
    <cellStyle name="Note 2 4 3 6 3" xfId="30881"/>
    <cellStyle name="Note 2 4 3 6 4" xfId="30882"/>
    <cellStyle name="Note 2 4 3 7" xfId="30883"/>
    <cellStyle name="Note 2 4 3 8" xfId="30884"/>
    <cellStyle name="Note 2 4 3 8 2" xfId="30885"/>
    <cellStyle name="Note 2 4 3 9" xfId="30886"/>
    <cellStyle name="Note 2 4 4" xfId="30887"/>
    <cellStyle name="Note 2 4 4 2" xfId="30888"/>
    <cellStyle name="Note 2 4 4 2 2" xfId="30889"/>
    <cellStyle name="Note 2 4 4 2 2 2" xfId="30890"/>
    <cellStyle name="Note 2 4 4 2 2 2 2" xfId="30891"/>
    <cellStyle name="Note 2 4 4 2 2 3" xfId="30892"/>
    <cellStyle name="Note 2 4 4 2 2 4" xfId="30893"/>
    <cellStyle name="Note 2 4 4 2 3" xfId="30894"/>
    <cellStyle name="Note 2 4 4 2 3 2" xfId="30895"/>
    <cellStyle name="Note 2 4 4 2 3 2 2" xfId="30896"/>
    <cellStyle name="Note 2 4 4 2 3 3" xfId="30897"/>
    <cellStyle name="Note 2 4 4 2 3 4" xfId="30898"/>
    <cellStyle name="Note 2 4 4 2 4" xfId="30899"/>
    <cellStyle name="Note 2 4 4 2 4 2" xfId="30900"/>
    <cellStyle name="Note 2 4 4 2 5" xfId="30901"/>
    <cellStyle name="Note 2 4 4 2 6" xfId="30902"/>
    <cellStyle name="Note 2 4 4 3" xfId="30903"/>
    <cellStyle name="Note 2 4 4 3 2" xfId="30904"/>
    <cellStyle name="Note 2 4 4 3 2 2" xfId="30905"/>
    <cellStyle name="Note 2 4 4 3 2 2 2" xfId="30906"/>
    <cellStyle name="Note 2 4 4 3 2 3" xfId="30907"/>
    <cellStyle name="Note 2 4 4 3 2 4" xfId="30908"/>
    <cellStyle name="Note 2 4 4 3 3" xfId="30909"/>
    <cellStyle name="Note 2 4 4 3 3 2" xfId="30910"/>
    <cellStyle name="Note 2 4 4 3 4" xfId="30911"/>
    <cellStyle name="Note 2 4 4 3 5" xfId="30912"/>
    <cellStyle name="Note 2 4 4 4" xfId="30913"/>
    <cellStyle name="Note 2 4 4 4 2" xfId="30914"/>
    <cellStyle name="Note 2 4 4 4 2 2" xfId="30915"/>
    <cellStyle name="Note 2 4 4 4 3" xfId="30916"/>
    <cellStyle name="Note 2 4 4 4 4" xfId="30917"/>
    <cellStyle name="Note 2 4 4 5" xfId="30918"/>
    <cellStyle name="Note 2 4 4 5 2" xfId="30919"/>
    <cellStyle name="Note 2 4 4 5 2 2" xfId="30920"/>
    <cellStyle name="Note 2 4 4 5 3" xfId="30921"/>
    <cellStyle name="Note 2 4 4 5 4" xfId="30922"/>
    <cellStyle name="Note 2 4 4 6" xfId="30923"/>
    <cellStyle name="Note 2 4 4 7" xfId="30924"/>
    <cellStyle name="Note 2 4 4 7 2" xfId="30925"/>
    <cellStyle name="Note 2 4 4 8" xfId="30926"/>
    <cellStyle name="Note 2 4 4 9" xfId="30927"/>
    <cellStyle name="Note 2 4 5" xfId="30928"/>
    <cellStyle name="Note 2 4 5 2" xfId="30929"/>
    <cellStyle name="Note 2 4 5 2 2" xfId="30930"/>
    <cellStyle name="Note 2 4 5 2 2 2" xfId="30931"/>
    <cellStyle name="Note 2 4 5 2 3" xfId="30932"/>
    <cellStyle name="Note 2 4 5 2 4" xfId="30933"/>
    <cellStyle name="Note 2 4 5 3" xfId="30934"/>
    <cellStyle name="Note 2 4 5 3 2" xfId="30935"/>
    <cellStyle name="Note 2 4 5 3 2 2" xfId="30936"/>
    <cellStyle name="Note 2 4 5 3 3" xfId="30937"/>
    <cellStyle name="Note 2 4 5 3 4" xfId="30938"/>
    <cellStyle name="Note 2 4 5 4" xfId="30939"/>
    <cellStyle name="Note 2 4 5 4 2" xfId="30940"/>
    <cellStyle name="Note 2 4 5 5" xfId="30941"/>
    <cellStyle name="Note 2 4 5 6" xfId="30942"/>
    <cellStyle name="Note 2 4 6" xfId="30943"/>
    <cellStyle name="Note 2 4 6 2" xfId="30944"/>
    <cellStyle name="Note 2 4 6 2 2" xfId="30945"/>
    <cellStyle name="Note 2 4 6 2 2 2" xfId="30946"/>
    <cellStyle name="Note 2 4 6 2 3" xfId="30947"/>
    <cellStyle name="Note 2 4 6 2 4" xfId="30948"/>
    <cellStyle name="Note 2 4 6 3" xfId="30949"/>
    <cellStyle name="Note 2 4 6 4" xfId="30950"/>
    <cellStyle name="Note 2 4 6 4 2" xfId="30951"/>
    <cellStyle name="Note 2 4 6 5" xfId="30952"/>
    <cellStyle name="Note 2 4 6 6" xfId="30953"/>
    <cellStyle name="Note 2 4 7" xfId="30954"/>
    <cellStyle name="Note 2 4 7 2" xfId="30955"/>
    <cellStyle name="Note 2 4 7 2 2" xfId="30956"/>
    <cellStyle name="Note 2 4 7 3" xfId="30957"/>
    <cellStyle name="Note 2 4 7 4" xfId="30958"/>
    <cellStyle name="Note 2 4 8" xfId="30959"/>
    <cellStyle name="Note 2 4 8 2" xfId="30960"/>
    <cellStyle name="Note 2 4 8 2 2" xfId="30961"/>
    <cellStyle name="Note 2 4 8 3" xfId="30962"/>
    <cellStyle name="Note 2 4 8 4" xfId="30963"/>
    <cellStyle name="Note 2 4 9" xfId="30964"/>
    <cellStyle name="Note 2 5" xfId="30965"/>
    <cellStyle name="Note 2 5 10" xfId="30966"/>
    <cellStyle name="Note 2 5 10 2" xfId="30967"/>
    <cellStyle name="Note 2 5 11" xfId="30968"/>
    <cellStyle name="Note 2 5 12" xfId="30969"/>
    <cellStyle name="Note 2 5 2" xfId="30970"/>
    <cellStyle name="Note 2 5 2 10" xfId="30971"/>
    <cellStyle name="Note 2 5 2 11" xfId="30972"/>
    <cellStyle name="Note 2 5 2 2" xfId="30973"/>
    <cellStyle name="Note 2 5 2 2 10" xfId="30974"/>
    <cellStyle name="Note 2 5 2 2 2" xfId="30975"/>
    <cellStyle name="Note 2 5 2 2 2 2" xfId="30976"/>
    <cellStyle name="Note 2 5 2 2 2 2 2" xfId="30977"/>
    <cellStyle name="Note 2 5 2 2 2 2 2 2" xfId="30978"/>
    <cellStyle name="Note 2 5 2 2 2 2 2 2 2" xfId="30979"/>
    <cellStyle name="Note 2 5 2 2 2 2 2 3" xfId="30980"/>
    <cellStyle name="Note 2 5 2 2 2 2 2 4" xfId="30981"/>
    <cellStyle name="Note 2 5 2 2 2 2 3" xfId="30982"/>
    <cellStyle name="Note 2 5 2 2 2 2 3 2" xfId="30983"/>
    <cellStyle name="Note 2 5 2 2 2 2 4" xfId="30984"/>
    <cellStyle name="Note 2 5 2 2 2 2 5" xfId="30985"/>
    <cellStyle name="Note 2 5 2 2 2 3" xfId="30986"/>
    <cellStyle name="Note 2 5 2 2 2 3 2" xfId="30987"/>
    <cellStyle name="Note 2 5 2 2 2 3 2 2" xfId="30988"/>
    <cellStyle name="Note 2 5 2 2 2 3 2 2 2" xfId="30989"/>
    <cellStyle name="Note 2 5 2 2 2 3 2 3" xfId="30990"/>
    <cellStyle name="Note 2 5 2 2 2 3 2 4" xfId="30991"/>
    <cellStyle name="Note 2 5 2 2 2 3 3" xfId="30992"/>
    <cellStyle name="Note 2 5 2 2 2 3 3 2" xfId="30993"/>
    <cellStyle name="Note 2 5 2 2 2 3 4" xfId="30994"/>
    <cellStyle name="Note 2 5 2 2 2 3 5" xfId="30995"/>
    <cellStyle name="Note 2 5 2 2 2 4" xfId="30996"/>
    <cellStyle name="Note 2 5 2 2 2 4 2" xfId="30997"/>
    <cellStyle name="Note 2 5 2 2 2 4 2 2" xfId="30998"/>
    <cellStyle name="Note 2 5 2 2 2 4 3" xfId="30999"/>
    <cellStyle name="Note 2 5 2 2 2 4 4" xfId="31000"/>
    <cellStyle name="Note 2 5 2 2 2 5" xfId="31001"/>
    <cellStyle name="Note 2 5 2 2 2 5 2" xfId="31002"/>
    <cellStyle name="Note 2 5 2 2 2 5 2 2" xfId="31003"/>
    <cellStyle name="Note 2 5 2 2 2 5 3" xfId="31004"/>
    <cellStyle name="Note 2 5 2 2 2 5 4" xfId="31005"/>
    <cellStyle name="Note 2 5 2 2 2 6" xfId="31006"/>
    <cellStyle name="Note 2 5 2 2 2 6 2" xfId="31007"/>
    <cellStyle name="Note 2 5 2 2 2 6 2 2" xfId="31008"/>
    <cellStyle name="Note 2 5 2 2 2 6 3" xfId="31009"/>
    <cellStyle name="Note 2 5 2 2 2 6 4" xfId="31010"/>
    <cellStyle name="Note 2 5 2 2 2 7" xfId="31011"/>
    <cellStyle name="Note 2 5 2 2 2 7 2" xfId="31012"/>
    <cellStyle name="Note 2 5 2 2 2 8" xfId="31013"/>
    <cellStyle name="Note 2 5 2 2 2 9" xfId="31014"/>
    <cellStyle name="Note 2 5 2 2 3" xfId="31015"/>
    <cellStyle name="Note 2 5 2 2 3 2" xfId="31016"/>
    <cellStyle name="Note 2 5 2 2 3 2 2" xfId="31017"/>
    <cellStyle name="Note 2 5 2 2 3 2 2 2" xfId="31018"/>
    <cellStyle name="Note 2 5 2 2 3 2 3" xfId="31019"/>
    <cellStyle name="Note 2 5 2 2 3 2 4" xfId="31020"/>
    <cellStyle name="Note 2 5 2 2 3 3" xfId="31021"/>
    <cellStyle name="Note 2 5 2 2 3 3 2" xfId="31022"/>
    <cellStyle name="Note 2 5 2 2 3 4" xfId="31023"/>
    <cellStyle name="Note 2 5 2 2 3 5" xfId="31024"/>
    <cellStyle name="Note 2 5 2 2 4" xfId="31025"/>
    <cellStyle name="Note 2 5 2 2 4 2" xfId="31026"/>
    <cellStyle name="Note 2 5 2 2 4 2 2" xfId="31027"/>
    <cellStyle name="Note 2 5 2 2 4 2 2 2" xfId="31028"/>
    <cellStyle name="Note 2 5 2 2 4 2 3" xfId="31029"/>
    <cellStyle name="Note 2 5 2 2 4 2 4" xfId="31030"/>
    <cellStyle name="Note 2 5 2 2 4 3" xfId="31031"/>
    <cellStyle name="Note 2 5 2 2 4 3 2" xfId="31032"/>
    <cellStyle name="Note 2 5 2 2 4 4" xfId="31033"/>
    <cellStyle name="Note 2 5 2 2 4 5" xfId="31034"/>
    <cellStyle name="Note 2 5 2 2 5" xfId="31035"/>
    <cellStyle name="Note 2 5 2 2 5 2" xfId="31036"/>
    <cellStyle name="Note 2 5 2 2 5 2 2" xfId="31037"/>
    <cellStyle name="Note 2 5 2 2 5 3" xfId="31038"/>
    <cellStyle name="Note 2 5 2 2 5 4" xfId="31039"/>
    <cellStyle name="Note 2 5 2 2 6" xfId="31040"/>
    <cellStyle name="Note 2 5 2 2 6 2" xfId="31041"/>
    <cellStyle name="Note 2 5 2 2 6 2 2" xfId="31042"/>
    <cellStyle name="Note 2 5 2 2 6 3" xfId="31043"/>
    <cellStyle name="Note 2 5 2 2 6 4" xfId="31044"/>
    <cellStyle name="Note 2 5 2 2 7" xfId="31045"/>
    <cellStyle name="Note 2 5 2 2 7 2" xfId="31046"/>
    <cellStyle name="Note 2 5 2 2 7 2 2" xfId="31047"/>
    <cellStyle name="Note 2 5 2 2 7 3" xfId="31048"/>
    <cellStyle name="Note 2 5 2 2 7 4" xfId="31049"/>
    <cellStyle name="Note 2 5 2 2 8" xfId="31050"/>
    <cellStyle name="Note 2 5 2 2 8 2" xfId="31051"/>
    <cellStyle name="Note 2 5 2 2 9" xfId="31052"/>
    <cellStyle name="Note 2 5 2 3" xfId="31053"/>
    <cellStyle name="Note 2 5 2 3 2" xfId="31054"/>
    <cellStyle name="Note 2 5 2 3 2 2" xfId="31055"/>
    <cellStyle name="Note 2 5 2 3 2 2 2" xfId="31056"/>
    <cellStyle name="Note 2 5 2 3 2 2 2 2" xfId="31057"/>
    <cellStyle name="Note 2 5 2 3 2 2 3" xfId="31058"/>
    <cellStyle name="Note 2 5 2 3 2 2 4" xfId="31059"/>
    <cellStyle name="Note 2 5 2 3 2 3" xfId="31060"/>
    <cellStyle name="Note 2 5 2 3 2 3 2" xfId="31061"/>
    <cellStyle name="Note 2 5 2 3 2 4" xfId="31062"/>
    <cellStyle name="Note 2 5 2 3 2 5" xfId="31063"/>
    <cellStyle name="Note 2 5 2 3 3" xfId="31064"/>
    <cellStyle name="Note 2 5 2 3 3 2" xfId="31065"/>
    <cellStyle name="Note 2 5 2 3 3 2 2" xfId="31066"/>
    <cellStyle name="Note 2 5 2 3 3 2 2 2" xfId="31067"/>
    <cellStyle name="Note 2 5 2 3 3 2 3" xfId="31068"/>
    <cellStyle name="Note 2 5 2 3 3 2 4" xfId="31069"/>
    <cellStyle name="Note 2 5 2 3 3 3" xfId="31070"/>
    <cellStyle name="Note 2 5 2 3 3 3 2" xfId="31071"/>
    <cellStyle name="Note 2 5 2 3 3 4" xfId="31072"/>
    <cellStyle name="Note 2 5 2 3 3 5" xfId="31073"/>
    <cellStyle name="Note 2 5 2 3 4" xfId="31074"/>
    <cellStyle name="Note 2 5 2 3 4 2" xfId="31075"/>
    <cellStyle name="Note 2 5 2 3 4 2 2" xfId="31076"/>
    <cellStyle name="Note 2 5 2 3 4 3" xfId="31077"/>
    <cellStyle name="Note 2 5 2 3 4 4" xfId="31078"/>
    <cellStyle name="Note 2 5 2 3 5" xfId="31079"/>
    <cellStyle name="Note 2 5 2 3 5 2" xfId="31080"/>
    <cellStyle name="Note 2 5 2 3 5 2 2" xfId="31081"/>
    <cellStyle name="Note 2 5 2 3 5 3" xfId="31082"/>
    <cellStyle name="Note 2 5 2 3 5 4" xfId="31083"/>
    <cellStyle name="Note 2 5 2 3 6" xfId="31084"/>
    <cellStyle name="Note 2 5 2 3 6 2" xfId="31085"/>
    <cellStyle name="Note 2 5 2 3 6 2 2" xfId="31086"/>
    <cellStyle name="Note 2 5 2 3 6 3" xfId="31087"/>
    <cellStyle name="Note 2 5 2 3 6 4" xfId="31088"/>
    <cellStyle name="Note 2 5 2 3 7" xfId="31089"/>
    <cellStyle name="Note 2 5 2 3 7 2" xfId="31090"/>
    <cellStyle name="Note 2 5 2 3 8" xfId="31091"/>
    <cellStyle name="Note 2 5 2 3 9" xfId="31092"/>
    <cellStyle name="Note 2 5 2 4" xfId="31093"/>
    <cellStyle name="Note 2 5 2 4 2" xfId="31094"/>
    <cellStyle name="Note 2 5 2 4 2 2" xfId="31095"/>
    <cellStyle name="Note 2 5 2 4 2 2 2" xfId="31096"/>
    <cellStyle name="Note 2 5 2 4 2 3" xfId="31097"/>
    <cellStyle name="Note 2 5 2 4 2 4" xfId="31098"/>
    <cellStyle name="Note 2 5 2 4 3" xfId="31099"/>
    <cellStyle name="Note 2 5 2 4 3 2" xfId="31100"/>
    <cellStyle name="Note 2 5 2 4 4" xfId="31101"/>
    <cellStyle name="Note 2 5 2 4 5" xfId="31102"/>
    <cellStyle name="Note 2 5 2 5" xfId="31103"/>
    <cellStyle name="Note 2 5 2 5 2" xfId="31104"/>
    <cellStyle name="Note 2 5 2 5 2 2" xfId="31105"/>
    <cellStyle name="Note 2 5 2 5 2 2 2" xfId="31106"/>
    <cellStyle name="Note 2 5 2 5 2 3" xfId="31107"/>
    <cellStyle name="Note 2 5 2 5 2 4" xfId="31108"/>
    <cellStyle name="Note 2 5 2 5 3" xfId="31109"/>
    <cellStyle name="Note 2 5 2 5 3 2" xfId="31110"/>
    <cellStyle name="Note 2 5 2 5 4" xfId="31111"/>
    <cellStyle name="Note 2 5 2 5 5" xfId="31112"/>
    <cellStyle name="Note 2 5 2 6" xfId="31113"/>
    <cellStyle name="Note 2 5 2 6 2" xfId="31114"/>
    <cellStyle name="Note 2 5 2 6 2 2" xfId="31115"/>
    <cellStyle name="Note 2 5 2 6 3" xfId="31116"/>
    <cellStyle name="Note 2 5 2 6 4" xfId="31117"/>
    <cellStyle name="Note 2 5 2 7" xfId="31118"/>
    <cellStyle name="Note 2 5 2 7 2" xfId="31119"/>
    <cellStyle name="Note 2 5 2 7 2 2" xfId="31120"/>
    <cellStyle name="Note 2 5 2 7 3" xfId="31121"/>
    <cellStyle name="Note 2 5 2 7 4" xfId="31122"/>
    <cellStyle name="Note 2 5 2 8" xfId="31123"/>
    <cellStyle name="Note 2 5 2 8 2" xfId="31124"/>
    <cellStyle name="Note 2 5 2 8 2 2" xfId="31125"/>
    <cellStyle name="Note 2 5 2 8 3" xfId="31126"/>
    <cellStyle name="Note 2 5 2 8 4" xfId="31127"/>
    <cellStyle name="Note 2 5 2 9" xfId="31128"/>
    <cellStyle name="Note 2 5 2 9 2" xfId="31129"/>
    <cellStyle name="Note 2 5 3" xfId="31130"/>
    <cellStyle name="Note 2 5 3 10" xfId="31131"/>
    <cellStyle name="Note 2 5 3 2" xfId="31132"/>
    <cellStyle name="Note 2 5 3 2 2" xfId="31133"/>
    <cellStyle name="Note 2 5 3 2 2 2" xfId="31134"/>
    <cellStyle name="Note 2 5 3 2 2 2 2" xfId="31135"/>
    <cellStyle name="Note 2 5 3 2 2 2 2 2" xfId="31136"/>
    <cellStyle name="Note 2 5 3 2 2 2 3" xfId="31137"/>
    <cellStyle name="Note 2 5 3 2 2 2 4" xfId="31138"/>
    <cellStyle name="Note 2 5 3 2 2 3" xfId="31139"/>
    <cellStyle name="Note 2 5 3 2 2 3 2" xfId="31140"/>
    <cellStyle name="Note 2 5 3 2 2 4" xfId="31141"/>
    <cellStyle name="Note 2 5 3 2 2 5" xfId="31142"/>
    <cellStyle name="Note 2 5 3 2 3" xfId="31143"/>
    <cellStyle name="Note 2 5 3 2 3 2" xfId="31144"/>
    <cellStyle name="Note 2 5 3 2 3 2 2" xfId="31145"/>
    <cellStyle name="Note 2 5 3 2 3 2 2 2" xfId="31146"/>
    <cellStyle name="Note 2 5 3 2 3 2 3" xfId="31147"/>
    <cellStyle name="Note 2 5 3 2 3 2 4" xfId="31148"/>
    <cellStyle name="Note 2 5 3 2 3 3" xfId="31149"/>
    <cellStyle name="Note 2 5 3 2 3 3 2" xfId="31150"/>
    <cellStyle name="Note 2 5 3 2 3 4" xfId="31151"/>
    <cellStyle name="Note 2 5 3 2 3 5" xfId="31152"/>
    <cellStyle name="Note 2 5 3 2 4" xfId="31153"/>
    <cellStyle name="Note 2 5 3 2 4 2" xfId="31154"/>
    <cellStyle name="Note 2 5 3 2 4 2 2" xfId="31155"/>
    <cellStyle name="Note 2 5 3 2 4 3" xfId="31156"/>
    <cellStyle name="Note 2 5 3 2 4 4" xfId="31157"/>
    <cellStyle name="Note 2 5 3 2 5" xfId="31158"/>
    <cellStyle name="Note 2 5 3 2 5 2" xfId="31159"/>
    <cellStyle name="Note 2 5 3 2 5 2 2" xfId="31160"/>
    <cellStyle name="Note 2 5 3 2 5 3" xfId="31161"/>
    <cellStyle name="Note 2 5 3 2 5 4" xfId="31162"/>
    <cellStyle name="Note 2 5 3 2 6" xfId="31163"/>
    <cellStyle name="Note 2 5 3 2 6 2" xfId="31164"/>
    <cellStyle name="Note 2 5 3 2 6 2 2" xfId="31165"/>
    <cellStyle name="Note 2 5 3 2 6 3" xfId="31166"/>
    <cellStyle name="Note 2 5 3 2 6 4" xfId="31167"/>
    <cellStyle name="Note 2 5 3 2 7" xfId="31168"/>
    <cellStyle name="Note 2 5 3 2 7 2" xfId="31169"/>
    <cellStyle name="Note 2 5 3 2 8" xfId="31170"/>
    <cellStyle name="Note 2 5 3 2 9" xfId="31171"/>
    <cellStyle name="Note 2 5 3 3" xfId="31172"/>
    <cellStyle name="Note 2 5 3 3 2" xfId="31173"/>
    <cellStyle name="Note 2 5 3 3 2 2" xfId="31174"/>
    <cellStyle name="Note 2 5 3 3 2 2 2" xfId="31175"/>
    <cellStyle name="Note 2 5 3 3 2 3" xfId="31176"/>
    <cellStyle name="Note 2 5 3 3 2 4" xfId="31177"/>
    <cellStyle name="Note 2 5 3 3 3" xfId="31178"/>
    <cellStyle name="Note 2 5 3 3 3 2" xfId="31179"/>
    <cellStyle name="Note 2 5 3 3 4" xfId="31180"/>
    <cellStyle name="Note 2 5 3 3 5" xfId="31181"/>
    <cellStyle name="Note 2 5 3 4" xfId="31182"/>
    <cellStyle name="Note 2 5 3 4 2" xfId="31183"/>
    <cellStyle name="Note 2 5 3 4 2 2" xfId="31184"/>
    <cellStyle name="Note 2 5 3 4 2 2 2" xfId="31185"/>
    <cellStyle name="Note 2 5 3 4 2 3" xfId="31186"/>
    <cellStyle name="Note 2 5 3 4 2 4" xfId="31187"/>
    <cellStyle name="Note 2 5 3 4 3" xfId="31188"/>
    <cellStyle name="Note 2 5 3 4 3 2" xfId="31189"/>
    <cellStyle name="Note 2 5 3 4 4" xfId="31190"/>
    <cellStyle name="Note 2 5 3 4 5" xfId="31191"/>
    <cellStyle name="Note 2 5 3 5" xfId="31192"/>
    <cellStyle name="Note 2 5 3 5 2" xfId="31193"/>
    <cellStyle name="Note 2 5 3 5 2 2" xfId="31194"/>
    <cellStyle name="Note 2 5 3 5 3" xfId="31195"/>
    <cellStyle name="Note 2 5 3 5 4" xfId="31196"/>
    <cellStyle name="Note 2 5 3 6" xfId="31197"/>
    <cellStyle name="Note 2 5 3 6 2" xfId="31198"/>
    <cellStyle name="Note 2 5 3 6 2 2" xfId="31199"/>
    <cellStyle name="Note 2 5 3 6 3" xfId="31200"/>
    <cellStyle name="Note 2 5 3 6 4" xfId="31201"/>
    <cellStyle name="Note 2 5 3 7" xfId="31202"/>
    <cellStyle name="Note 2 5 3 7 2" xfId="31203"/>
    <cellStyle name="Note 2 5 3 7 2 2" xfId="31204"/>
    <cellStyle name="Note 2 5 3 7 3" xfId="31205"/>
    <cellStyle name="Note 2 5 3 7 4" xfId="31206"/>
    <cellStyle name="Note 2 5 3 8" xfId="31207"/>
    <cellStyle name="Note 2 5 3 8 2" xfId="31208"/>
    <cellStyle name="Note 2 5 3 9" xfId="31209"/>
    <cellStyle name="Note 2 5 4" xfId="31210"/>
    <cellStyle name="Note 2 5 4 2" xfId="31211"/>
    <cellStyle name="Note 2 5 4 2 2" xfId="31212"/>
    <cellStyle name="Note 2 5 4 2 2 2" xfId="31213"/>
    <cellStyle name="Note 2 5 4 2 2 2 2" xfId="31214"/>
    <cellStyle name="Note 2 5 4 2 2 3" xfId="31215"/>
    <cellStyle name="Note 2 5 4 2 2 4" xfId="31216"/>
    <cellStyle name="Note 2 5 4 2 3" xfId="31217"/>
    <cellStyle name="Note 2 5 4 2 3 2" xfId="31218"/>
    <cellStyle name="Note 2 5 4 2 4" xfId="31219"/>
    <cellStyle name="Note 2 5 4 2 5" xfId="31220"/>
    <cellStyle name="Note 2 5 4 3" xfId="31221"/>
    <cellStyle name="Note 2 5 4 3 2" xfId="31222"/>
    <cellStyle name="Note 2 5 4 3 2 2" xfId="31223"/>
    <cellStyle name="Note 2 5 4 3 2 2 2" xfId="31224"/>
    <cellStyle name="Note 2 5 4 3 2 3" xfId="31225"/>
    <cellStyle name="Note 2 5 4 3 2 4" xfId="31226"/>
    <cellStyle name="Note 2 5 4 3 3" xfId="31227"/>
    <cellStyle name="Note 2 5 4 3 3 2" xfId="31228"/>
    <cellStyle name="Note 2 5 4 3 4" xfId="31229"/>
    <cellStyle name="Note 2 5 4 3 5" xfId="31230"/>
    <cellStyle name="Note 2 5 4 4" xfId="31231"/>
    <cellStyle name="Note 2 5 4 4 2" xfId="31232"/>
    <cellStyle name="Note 2 5 4 4 2 2" xfId="31233"/>
    <cellStyle name="Note 2 5 4 4 3" xfId="31234"/>
    <cellStyle name="Note 2 5 4 4 4" xfId="31235"/>
    <cellStyle name="Note 2 5 4 5" xfId="31236"/>
    <cellStyle name="Note 2 5 4 5 2" xfId="31237"/>
    <cellStyle name="Note 2 5 4 5 2 2" xfId="31238"/>
    <cellStyle name="Note 2 5 4 5 3" xfId="31239"/>
    <cellStyle name="Note 2 5 4 5 4" xfId="31240"/>
    <cellStyle name="Note 2 5 4 6" xfId="31241"/>
    <cellStyle name="Note 2 5 4 6 2" xfId="31242"/>
    <cellStyle name="Note 2 5 4 6 2 2" xfId="31243"/>
    <cellStyle name="Note 2 5 4 6 3" xfId="31244"/>
    <cellStyle name="Note 2 5 4 6 4" xfId="31245"/>
    <cellStyle name="Note 2 5 4 7" xfId="31246"/>
    <cellStyle name="Note 2 5 4 7 2" xfId="31247"/>
    <cellStyle name="Note 2 5 4 8" xfId="31248"/>
    <cellStyle name="Note 2 5 4 9" xfId="31249"/>
    <cellStyle name="Note 2 5 5" xfId="31250"/>
    <cellStyle name="Note 2 5 5 2" xfId="31251"/>
    <cellStyle name="Note 2 5 5 2 2" xfId="31252"/>
    <cellStyle name="Note 2 5 5 2 2 2" xfId="31253"/>
    <cellStyle name="Note 2 5 5 2 3" xfId="31254"/>
    <cellStyle name="Note 2 5 5 2 4" xfId="31255"/>
    <cellStyle name="Note 2 5 5 3" xfId="31256"/>
    <cellStyle name="Note 2 5 5 3 2" xfId="31257"/>
    <cellStyle name="Note 2 5 5 4" xfId="31258"/>
    <cellStyle name="Note 2 5 5 5" xfId="31259"/>
    <cellStyle name="Note 2 5 6" xfId="31260"/>
    <cellStyle name="Note 2 5 6 2" xfId="31261"/>
    <cellStyle name="Note 2 5 6 2 2" xfId="31262"/>
    <cellStyle name="Note 2 5 6 2 2 2" xfId="31263"/>
    <cellStyle name="Note 2 5 6 2 3" xfId="31264"/>
    <cellStyle name="Note 2 5 6 2 4" xfId="31265"/>
    <cellStyle name="Note 2 5 6 3" xfId="31266"/>
    <cellStyle name="Note 2 5 6 3 2" xfId="31267"/>
    <cellStyle name="Note 2 5 6 4" xfId="31268"/>
    <cellStyle name="Note 2 5 6 5" xfId="31269"/>
    <cellStyle name="Note 2 5 7" xfId="31270"/>
    <cellStyle name="Note 2 5 7 2" xfId="31271"/>
    <cellStyle name="Note 2 5 7 2 2" xfId="31272"/>
    <cellStyle name="Note 2 5 7 3" xfId="31273"/>
    <cellStyle name="Note 2 5 7 4" xfId="31274"/>
    <cellStyle name="Note 2 5 8" xfId="31275"/>
    <cellStyle name="Note 2 5 8 2" xfId="31276"/>
    <cellStyle name="Note 2 5 8 2 2" xfId="31277"/>
    <cellStyle name="Note 2 5 8 3" xfId="31278"/>
    <cellStyle name="Note 2 5 8 4" xfId="31279"/>
    <cellStyle name="Note 2 5 9" xfId="31280"/>
    <cellStyle name="Note 2 5 9 2" xfId="31281"/>
    <cellStyle name="Note 2 5 9 2 2" xfId="31282"/>
    <cellStyle name="Note 2 5 9 3" xfId="31283"/>
    <cellStyle name="Note 2 5 9 4" xfId="31284"/>
    <cellStyle name="Note 2 6" xfId="31285"/>
    <cellStyle name="Note 2 6 10" xfId="31286"/>
    <cellStyle name="Note 2 6 11" xfId="31287"/>
    <cellStyle name="Note 2 6 2" xfId="31288"/>
    <cellStyle name="Note 2 6 2 10" xfId="31289"/>
    <cellStyle name="Note 2 6 2 2" xfId="31290"/>
    <cellStyle name="Note 2 6 2 2 2" xfId="31291"/>
    <cellStyle name="Note 2 6 2 2 2 2" xfId="31292"/>
    <cellStyle name="Note 2 6 2 2 2 2 2" xfId="31293"/>
    <cellStyle name="Note 2 6 2 2 2 2 2 2" xfId="31294"/>
    <cellStyle name="Note 2 6 2 2 2 2 3" xfId="31295"/>
    <cellStyle name="Note 2 6 2 2 2 2 4" xfId="31296"/>
    <cellStyle name="Note 2 6 2 2 2 3" xfId="31297"/>
    <cellStyle name="Note 2 6 2 2 2 3 2" xfId="31298"/>
    <cellStyle name="Note 2 6 2 2 2 4" xfId="31299"/>
    <cellStyle name="Note 2 6 2 2 2 5" xfId="31300"/>
    <cellStyle name="Note 2 6 2 2 3" xfId="31301"/>
    <cellStyle name="Note 2 6 2 2 3 2" xfId="31302"/>
    <cellStyle name="Note 2 6 2 2 3 2 2" xfId="31303"/>
    <cellStyle name="Note 2 6 2 2 3 2 2 2" xfId="31304"/>
    <cellStyle name="Note 2 6 2 2 3 2 3" xfId="31305"/>
    <cellStyle name="Note 2 6 2 2 3 2 4" xfId="31306"/>
    <cellStyle name="Note 2 6 2 2 3 3" xfId="31307"/>
    <cellStyle name="Note 2 6 2 2 3 3 2" xfId="31308"/>
    <cellStyle name="Note 2 6 2 2 3 4" xfId="31309"/>
    <cellStyle name="Note 2 6 2 2 3 5" xfId="31310"/>
    <cellStyle name="Note 2 6 2 2 4" xfId="31311"/>
    <cellStyle name="Note 2 6 2 2 4 2" xfId="31312"/>
    <cellStyle name="Note 2 6 2 2 4 2 2" xfId="31313"/>
    <cellStyle name="Note 2 6 2 2 4 3" xfId="31314"/>
    <cellStyle name="Note 2 6 2 2 4 4" xfId="31315"/>
    <cellStyle name="Note 2 6 2 2 5" xfId="31316"/>
    <cellStyle name="Note 2 6 2 2 5 2" xfId="31317"/>
    <cellStyle name="Note 2 6 2 2 5 2 2" xfId="31318"/>
    <cellStyle name="Note 2 6 2 2 5 3" xfId="31319"/>
    <cellStyle name="Note 2 6 2 2 5 4" xfId="31320"/>
    <cellStyle name="Note 2 6 2 2 6" xfId="31321"/>
    <cellStyle name="Note 2 6 2 2 6 2" xfId="31322"/>
    <cellStyle name="Note 2 6 2 2 6 2 2" xfId="31323"/>
    <cellStyle name="Note 2 6 2 2 6 3" xfId="31324"/>
    <cellStyle name="Note 2 6 2 2 6 4" xfId="31325"/>
    <cellStyle name="Note 2 6 2 2 7" xfId="31326"/>
    <cellStyle name="Note 2 6 2 2 7 2" xfId="31327"/>
    <cellStyle name="Note 2 6 2 2 8" xfId="31328"/>
    <cellStyle name="Note 2 6 2 2 9" xfId="31329"/>
    <cellStyle name="Note 2 6 2 3" xfId="31330"/>
    <cellStyle name="Note 2 6 2 3 2" xfId="31331"/>
    <cellStyle name="Note 2 6 2 3 2 2" xfId="31332"/>
    <cellStyle name="Note 2 6 2 3 2 2 2" xfId="31333"/>
    <cellStyle name="Note 2 6 2 3 2 3" xfId="31334"/>
    <cellStyle name="Note 2 6 2 3 2 4" xfId="31335"/>
    <cellStyle name="Note 2 6 2 3 3" xfId="31336"/>
    <cellStyle name="Note 2 6 2 3 3 2" xfId="31337"/>
    <cellStyle name="Note 2 6 2 3 4" xfId="31338"/>
    <cellStyle name="Note 2 6 2 3 5" xfId="31339"/>
    <cellStyle name="Note 2 6 2 4" xfId="31340"/>
    <cellStyle name="Note 2 6 2 4 2" xfId="31341"/>
    <cellStyle name="Note 2 6 2 4 2 2" xfId="31342"/>
    <cellStyle name="Note 2 6 2 4 2 2 2" xfId="31343"/>
    <cellStyle name="Note 2 6 2 4 2 3" xfId="31344"/>
    <cellStyle name="Note 2 6 2 4 2 4" xfId="31345"/>
    <cellStyle name="Note 2 6 2 4 3" xfId="31346"/>
    <cellStyle name="Note 2 6 2 4 3 2" xfId="31347"/>
    <cellStyle name="Note 2 6 2 4 4" xfId="31348"/>
    <cellStyle name="Note 2 6 2 4 5" xfId="31349"/>
    <cellStyle name="Note 2 6 2 5" xfId="31350"/>
    <cellStyle name="Note 2 6 2 5 2" xfId="31351"/>
    <cellStyle name="Note 2 6 2 5 2 2" xfId="31352"/>
    <cellStyle name="Note 2 6 2 5 3" xfId="31353"/>
    <cellStyle name="Note 2 6 2 5 4" xfId="31354"/>
    <cellStyle name="Note 2 6 2 6" xfId="31355"/>
    <cellStyle name="Note 2 6 2 6 2" xfId="31356"/>
    <cellStyle name="Note 2 6 2 6 2 2" xfId="31357"/>
    <cellStyle name="Note 2 6 2 6 3" xfId="31358"/>
    <cellStyle name="Note 2 6 2 6 4" xfId="31359"/>
    <cellStyle name="Note 2 6 2 7" xfId="31360"/>
    <cellStyle name="Note 2 6 2 7 2" xfId="31361"/>
    <cellStyle name="Note 2 6 2 7 2 2" xfId="31362"/>
    <cellStyle name="Note 2 6 2 7 3" xfId="31363"/>
    <cellStyle name="Note 2 6 2 7 4" xfId="31364"/>
    <cellStyle name="Note 2 6 2 8" xfId="31365"/>
    <cellStyle name="Note 2 6 2 8 2" xfId="31366"/>
    <cellStyle name="Note 2 6 2 9" xfId="31367"/>
    <cellStyle name="Note 2 6 3" xfId="31368"/>
    <cellStyle name="Note 2 6 3 2" xfId="31369"/>
    <cellStyle name="Note 2 6 3 2 2" xfId="31370"/>
    <cellStyle name="Note 2 6 3 2 2 2" xfId="31371"/>
    <cellStyle name="Note 2 6 3 2 2 2 2" xfId="31372"/>
    <cellStyle name="Note 2 6 3 2 2 3" xfId="31373"/>
    <cellStyle name="Note 2 6 3 2 2 4" xfId="31374"/>
    <cellStyle name="Note 2 6 3 2 3" xfId="31375"/>
    <cellStyle name="Note 2 6 3 2 3 2" xfId="31376"/>
    <cellStyle name="Note 2 6 3 2 4" xfId="31377"/>
    <cellStyle name="Note 2 6 3 2 5" xfId="31378"/>
    <cellStyle name="Note 2 6 3 3" xfId="31379"/>
    <cellStyle name="Note 2 6 3 3 2" xfId="31380"/>
    <cellStyle name="Note 2 6 3 3 2 2" xfId="31381"/>
    <cellStyle name="Note 2 6 3 3 2 2 2" xfId="31382"/>
    <cellStyle name="Note 2 6 3 3 2 3" xfId="31383"/>
    <cellStyle name="Note 2 6 3 3 2 4" xfId="31384"/>
    <cellStyle name="Note 2 6 3 3 3" xfId="31385"/>
    <cellStyle name="Note 2 6 3 3 3 2" xfId="31386"/>
    <cellStyle name="Note 2 6 3 3 4" xfId="31387"/>
    <cellStyle name="Note 2 6 3 3 5" xfId="31388"/>
    <cellStyle name="Note 2 6 3 4" xfId="31389"/>
    <cellStyle name="Note 2 6 3 4 2" xfId="31390"/>
    <cellStyle name="Note 2 6 3 4 2 2" xfId="31391"/>
    <cellStyle name="Note 2 6 3 4 3" xfId="31392"/>
    <cellStyle name="Note 2 6 3 4 4" xfId="31393"/>
    <cellStyle name="Note 2 6 3 5" xfId="31394"/>
    <cellStyle name="Note 2 6 3 5 2" xfId="31395"/>
    <cellStyle name="Note 2 6 3 5 2 2" xfId="31396"/>
    <cellStyle name="Note 2 6 3 5 3" xfId="31397"/>
    <cellStyle name="Note 2 6 3 5 4" xfId="31398"/>
    <cellStyle name="Note 2 6 3 6" xfId="31399"/>
    <cellStyle name="Note 2 6 3 6 2" xfId="31400"/>
    <cellStyle name="Note 2 6 3 6 2 2" xfId="31401"/>
    <cellStyle name="Note 2 6 3 6 3" xfId="31402"/>
    <cellStyle name="Note 2 6 3 6 4" xfId="31403"/>
    <cellStyle name="Note 2 6 3 7" xfId="31404"/>
    <cellStyle name="Note 2 6 3 7 2" xfId="31405"/>
    <cellStyle name="Note 2 6 3 8" xfId="31406"/>
    <cellStyle name="Note 2 6 3 9" xfId="31407"/>
    <cellStyle name="Note 2 6 4" xfId="31408"/>
    <cellStyle name="Note 2 6 4 2" xfId="31409"/>
    <cellStyle name="Note 2 6 4 2 2" xfId="31410"/>
    <cellStyle name="Note 2 6 4 2 2 2" xfId="31411"/>
    <cellStyle name="Note 2 6 4 2 3" xfId="31412"/>
    <cellStyle name="Note 2 6 4 2 4" xfId="31413"/>
    <cellStyle name="Note 2 6 4 3" xfId="31414"/>
    <cellStyle name="Note 2 6 4 3 2" xfId="31415"/>
    <cellStyle name="Note 2 6 4 4" xfId="31416"/>
    <cellStyle name="Note 2 6 4 5" xfId="31417"/>
    <cellStyle name="Note 2 6 5" xfId="31418"/>
    <cellStyle name="Note 2 6 5 2" xfId="31419"/>
    <cellStyle name="Note 2 6 5 2 2" xfId="31420"/>
    <cellStyle name="Note 2 6 5 2 2 2" xfId="31421"/>
    <cellStyle name="Note 2 6 5 2 3" xfId="31422"/>
    <cellStyle name="Note 2 6 5 2 4" xfId="31423"/>
    <cellStyle name="Note 2 6 5 3" xfId="31424"/>
    <cellStyle name="Note 2 6 5 3 2" xfId="31425"/>
    <cellStyle name="Note 2 6 5 4" xfId="31426"/>
    <cellStyle name="Note 2 6 5 5" xfId="31427"/>
    <cellStyle name="Note 2 6 6" xfId="31428"/>
    <cellStyle name="Note 2 6 6 2" xfId="31429"/>
    <cellStyle name="Note 2 6 6 2 2" xfId="31430"/>
    <cellStyle name="Note 2 6 6 3" xfId="31431"/>
    <cellStyle name="Note 2 6 6 4" xfId="31432"/>
    <cellStyle name="Note 2 6 7" xfId="31433"/>
    <cellStyle name="Note 2 6 7 2" xfId="31434"/>
    <cellStyle name="Note 2 6 7 2 2" xfId="31435"/>
    <cellStyle name="Note 2 6 7 3" xfId="31436"/>
    <cellStyle name="Note 2 6 7 4" xfId="31437"/>
    <cellStyle name="Note 2 6 8" xfId="31438"/>
    <cellStyle name="Note 2 6 8 2" xfId="31439"/>
    <cellStyle name="Note 2 6 8 2 2" xfId="31440"/>
    <cellStyle name="Note 2 6 8 3" xfId="31441"/>
    <cellStyle name="Note 2 6 8 4" xfId="31442"/>
    <cellStyle name="Note 2 6 9" xfId="31443"/>
    <cellStyle name="Note 2 6 9 2" xfId="31444"/>
    <cellStyle name="Note 2 7" xfId="31445"/>
    <cellStyle name="Note 2 7 10" xfId="31446"/>
    <cellStyle name="Note 2 7 2" xfId="31447"/>
    <cellStyle name="Note 2 7 2 2" xfId="31448"/>
    <cellStyle name="Note 2 7 2 2 2" xfId="31449"/>
    <cellStyle name="Note 2 7 2 2 2 2" xfId="31450"/>
    <cellStyle name="Note 2 7 2 2 2 2 2" xfId="31451"/>
    <cellStyle name="Note 2 7 2 2 2 3" xfId="31452"/>
    <cellStyle name="Note 2 7 2 2 2 4" xfId="31453"/>
    <cellStyle name="Note 2 7 2 2 3" xfId="31454"/>
    <cellStyle name="Note 2 7 2 2 3 2" xfId="31455"/>
    <cellStyle name="Note 2 7 2 2 4" xfId="31456"/>
    <cellStyle name="Note 2 7 2 2 5" xfId="31457"/>
    <cellStyle name="Note 2 7 2 3" xfId="31458"/>
    <cellStyle name="Note 2 7 2 3 2" xfId="31459"/>
    <cellStyle name="Note 2 7 2 3 2 2" xfId="31460"/>
    <cellStyle name="Note 2 7 2 3 2 2 2" xfId="31461"/>
    <cellStyle name="Note 2 7 2 3 2 3" xfId="31462"/>
    <cellStyle name="Note 2 7 2 3 2 4" xfId="31463"/>
    <cellStyle name="Note 2 7 2 3 3" xfId="31464"/>
    <cellStyle name="Note 2 7 2 3 3 2" xfId="31465"/>
    <cellStyle name="Note 2 7 2 3 4" xfId="31466"/>
    <cellStyle name="Note 2 7 2 3 5" xfId="31467"/>
    <cellStyle name="Note 2 7 2 4" xfId="31468"/>
    <cellStyle name="Note 2 7 2 4 2" xfId="31469"/>
    <cellStyle name="Note 2 7 2 4 2 2" xfId="31470"/>
    <cellStyle name="Note 2 7 2 4 3" xfId="31471"/>
    <cellStyle name="Note 2 7 2 4 4" xfId="31472"/>
    <cellStyle name="Note 2 7 2 5" xfId="31473"/>
    <cellStyle name="Note 2 7 2 5 2" xfId="31474"/>
    <cellStyle name="Note 2 7 2 5 2 2" xfId="31475"/>
    <cellStyle name="Note 2 7 2 5 3" xfId="31476"/>
    <cellStyle name="Note 2 7 2 5 4" xfId="31477"/>
    <cellStyle name="Note 2 7 2 6" xfId="31478"/>
    <cellStyle name="Note 2 7 2 6 2" xfId="31479"/>
    <cellStyle name="Note 2 7 2 6 2 2" xfId="31480"/>
    <cellStyle name="Note 2 7 2 6 3" xfId="31481"/>
    <cellStyle name="Note 2 7 2 6 4" xfId="31482"/>
    <cellStyle name="Note 2 7 2 7" xfId="31483"/>
    <cellStyle name="Note 2 7 2 7 2" xfId="31484"/>
    <cellStyle name="Note 2 7 2 8" xfId="31485"/>
    <cellStyle name="Note 2 7 2 9" xfId="31486"/>
    <cellStyle name="Note 2 7 3" xfId="31487"/>
    <cellStyle name="Note 2 7 3 2" xfId="31488"/>
    <cellStyle name="Note 2 7 3 2 2" xfId="31489"/>
    <cellStyle name="Note 2 7 3 2 2 2" xfId="31490"/>
    <cellStyle name="Note 2 7 3 2 3" xfId="31491"/>
    <cellStyle name="Note 2 7 3 2 4" xfId="31492"/>
    <cellStyle name="Note 2 7 3 3" xfId="31493"/>
    <cellStyle name="Note 2 7 3 3 2" xfId="31494"/>
    <cellStyle name="Note 2 7 3 4" xfId="31495"/>
    <cellStyle name="Note 2 7 3 5" xfId="31496"/>
    <cellStyle name="Note 2 7 4" xfId="31497"/>
    <cellStyle name="Note 2 7 4 2" xfId="31498"/>
    <cellStyle name="Note 2 7 4 2 2" xfId="31499"/>
    <cellStyle name="Note 2 7 4 2 2 2" xfId="31500"/>
    <cellStyle name="Note 2 7 4 2 3" xfId="31501"/>
    <cellStyle name="Note 2 7 4 2 4" xfId="31502"/>
    <cellStyle name="Note 2 7 4 3" xfId="31503"/>
    <cellStyle name="Note 2 7 4 3 2" xfId="31504"/>
    <cellStyle name="Note 2 7 4 4" xfId="31505"/>
    <cellStyle name="Note 2 7 4 5" xfId="31506"/>
    <cellStyle name="Note 2 7 5" xfId="31507"/>
    <cellStyle name="Note 2 7 5 2" xfId="31508"/>
    <cellStyle name="Note 2 7 5 2 2" xfId="31509"/>
    <cellStyle name="Note 2 7 5 3" xfId="31510"/>
    <cellStyle name="Note 2 7 5 4" xfId="31511"/>
    <cellStyle name="Note 2 7 6" xfId="31512"/>
    <cellStyle name="Note 2 7 6 2" xfId="31513"/>
    <cellStyle name="Note 2 7 6 2 2" xfId="31514"/>
    <cellStyle name="Note 2 7 6 3" xfId="31515"/>
    <cellStyle name="Note 2 7 6 4" xfId="31516"/>
    <cellStyle name="Note 2 7 7" xfId="31517"/>
    <cellStyle name="Note 2 7 7 2" xfId="31518"/>
    <cellStyle name="Note 2 7 7 2 2" xfId="31519"/>
    <cellStyle name="Note 2 7 7 3" xfId="31520"/>
    <cellStyle name="Note 2 7 7 4" xfId="31521"/>
    <cellStyle name="Note 2 7 8" xfId="31522"/>
    <cellStyle name="Note 2 7 8 2" xfId="31523"/>
    <cellStyle name="Note 2 7 9" xfId="31524"/>
    <cellStyle name="Note 2 8" xfId="31525"/>
    <cellStyle name="Note 2 8 2" xfId="31526"/>
    <cellStyle name="Note 2 8 2 2" xfId="31527"/>
    <cellStyle name="Note 2 8 2 2 2" xfId="31528"/>
    <cellStyle name="Note 2 8 2 2 2 2" xfId="31529"/>
    <cellStyle name="Note 2 8 2 2 3" xfId="31530"/>
    <cellStyle name="Note 2 8 2 2 4" xfId="31531"/>
    <cellStyle name="Note 2 8 2 3" xfId="31532"/>
    <cellStyle name="Note 2 8 2 3 2" xfId="31533"/>
    <cellStyle name="Note 2 8 2 4" xfId="31534"/>
    <cellStyle name="Note 2 8 2 5" xfId="31535"/>
    <cellStyle name="Note 2 8 3" xfId="31536"/>
    <cellStyle name="Note 2 8 3 2" xfId="31537"/>
    <cellStyle name="Note 2 8 3 2 2" xfId="31538"/>
    <cellStyle name="Note 2 8 3 2 2 2" xfId="31539"/>
    <cellStyle name="Note 2 8 3 2 3" xfId="31540"/>
    <cellStyle name="Note 2 8 3 2 4" xfId="31541"/>
    <cellStyle name="Note 2 8 3 3" xfId="31542"/>
    <cellStyle name="Note 2 8 3 3 2" xfId="31543"/>
    <cellStyle name="Note 2 8 3 4" xfId="31544"/>
    <cellStyle name="Note 2 8 3 5" xfId="31545"/>
    <cellStyle name="Note 2 8 4" xfId="31546"/>
    <cellStyle name="Note 2 8 4 2" xfId="31547"/>
    <cellStyle name="Note 2 8 4 2 2" xfId="31548"/>
    <cellStyle name="Note 2 8 4 3" xfId="31549"/>
    <cellStyle name="Note 2 8 4 4" xfId="31550"/>
    <cellStyle name="Note 2 8 5" xfId="31551"/>
    <cellStyle name="Note 2 8 5 2" xfId="31552"/>
    <cellStyle name="Note 2 8 5 2 2" xfId="31553"/>
    <cellStyle name="Note 2 8 5 3" xfId="31554"/>
    <cellStyle name="Note 2 8 5 4" xfId="31555"/>
    <cellStyle name="Note 2 8 6" xfId="31556"/>
    <cellStyle name="Note 2 8 6 2" xfId="31557"/>
    <cellStyle name="Note 2 8 6 2 2" xfId="31558"/>
    <cellStyle name="Note 2 8 6 3" xfId="31559"/>
    <cellStyle name="Note 2 8 6 4" xfId="31560"/>
    <cellStyle name="Note 2 8 7" xfId="31561"/>
    <cellStyle name="Note 2 8 7 2" xfId="31562"/>
    <cellStyle name="Note 2 8 8" xfId="31563"/>
    <cellStyle name="Note 2 8 9" xfId="31564"/>
    <cellStyle name="Note 2 9" xfId="31565"/>
    <cellStyle name="Note 2 9 2" xfId="31566"/>
    <cellStyle name="Note 2 9 3" xfId="31567"/>
    <cellStyle name="Note 3" xfId="185"/>
    <cellStyle name="Note 3 10" xfId="31569"/>
    <cellStyle name="Note 3 10 2" xfId="31570"/>
    <cellStyle name="Note 3 11" xfId="31571"/>
    <cellStyle name="Note 3 12" xfId="31572"/>
    <cellStyle name="Note 3 12 2" xfId="31573"/>
    <cellStyle name="Note 3 13" xfId="31574"/>
    <cellStyle name="Note 3 14" xfId="31575"/>
    <cellStyle name="Note 3 15" xfId="35603"/>
    <cellStyle name="Note 3 16" xfId="31568"/>
    <cellStyle name="Note 3 2" xfId="31576"/>
    <cellStyle name="Note 3 2 2" xfId="31577"/>
    <cellStyle name="Note 3 2 2 2" xfId="31578"/>
    <cellStyle name="Note 3 2 2 2 2" xfId="31579"/>
    <cellStyle name="Note 3 2 2 3" xfId="31580"/>
    <cellStyle name="Note 3 2 2 3 2" xfId="31581"/>
    <cellStyle name="Note 3 2 2 4" xfId="31582"/>
    <cellStyle name="Note 3 2 3" xfId="31583"/>
    <cellStyle name="Note 3 2 3 2" xfId="31584"/>
    <cellStyle name="Note 3 2 4" xfId="31585"/>
    <cellStyle name="Note 3 2 4 2" xfId="31586"/>
    <cellStyle name="Note 3 2 5" xfId="31587"/>
    <cellStyle name="Note 3 2 5 2" xfId="31588"/>
    <cellStyle name="Note 3 2 6" xfId="31589"/>
    <cellStyle name="Note 3 2 7" xfId="36067"/>
    <cellStyle name="Note 3 3" xfId="31590"/>
    <cellStyle name="Note 3 3 10" xfId="36068"/>
    <cellStyle name="Note 3 3 2" xfId="31591"/>
    <cellStyle name="Note 3 3 2 2" xfId="31592"/>
    <cellStyle name="Note 3 3 2 2 2" xfId="31593"/>
    <cellStyle name="Note 3 3 2 3" xfId="31594"/>
    <cellStyle name="Note 3 3 2 3 2" xfId="31595"/>
    <cellStyle name="Note 3 3 2 4" xfId="31596"/>
    <cellStyle name="Note 3 3 2 5" xfId="31597"/>
    <cellStyle name="Note 3 3 2 5 2" xfId="31598"/>
    <cellStyle name="Note 3 3 2 6" xfId="31599"/>
    <cellStyle name="Note 3 3 2 7" xfId="31600"/>
    <cellStyle name="Note 3 3 3" xfId="31601"/>
    <cellStyle name="Note 3 3 3 2" xfId="31602"/>
    <cellStyle name="Note 3 3 4" xfId="31603"/>
    <cellStyle name="Note 3 3 4 2" xfId="31604"/>
    <cellStyle name="Note 3 3 5" xfId="31605"/>
    <cellStyle name="Note 3 3 5 2" xfId="31606"/>
    <cellStyle name="Note 3 3 6" xfId="31607"/>
    <cellStyle name="Note 3 3 7" xfId="31608"/>
    <cellStyle name="Note 3 3 7 2" xfId="31609"/>
    <cellStyle name="Note 3 3 8" xfId="31610"/>
    <cellStyle name="Note 3 3 9" xfId="31611"/>
    <cellStyle name="Note 3 4" xfId="31612"/>
    <cellStyle name="Note 3 4 2" xfId="31613"/>
    <cellStyle name="Note 3 4 2 2" xfId="31614"/>
    <cellStyle name="Note 3 4 3" xfId="31615"/>
    <cellStyle name="Note 3 4 3 2" xfId="31616"/>
    <cellStyle name="Note 3 4 4" xfId="31617"/>
    <cellStyle name="Note 3 4 4 2" xfId="31618"/>
    <cellStyle name="Note 3 4 5" xfId="31619"/>
    <cellStyle name="Note 3 4 5 2" xfId="31620"/>
    <cellStyle name="Note 3 4 6" xfId="31621"/>
    <cellStyle name="Note 3 4 7" xfId="31622"/>
    <cellStyle name="Note 3 4 7 2" xfId="31623"/>
    <cellStyle name="Note 3 4 8" xfId="31624"/>
    <cellStyle name="Note 3 4 9" xfId="31625"/>
    <cellStyle name="Note 3 5" xfId="31626"/>
    <cellStyle name="Note 3 5 2" xfId="31627"/>
    <cellStyle name="Note 3 5 2 2" xfId="31628"/>
    <cellStyle name="Note 3 5 3" xfId="31629"/>
    <cellStyle name="Note 3 5 3 2" xfId="31630"/>
    <cellStyle name="Note 3 5 4" xfId="31631"/>
    <cellStyle name="Note 3 6" xfId="31632"/>
    <cellStyle name="Note 3 6 2" xfId="31633"/>
    <cellStyle name="Note 3 7" xfId="31634"/>
    <cellStyle name="Note 3 7 2" xfId="31635"/>
    <cellStyle name="Note 3 7 3" xfId="31636"/>
    <cellStyle name="Note 3 8" xfId="31637"/>
    <cellStyle name="Note 3 8 2" xfId="31638"/>
    <cellStyle name="Note 3 9" xfId="31639"/>
    <cellStyle name="Note 3 9 2" xfId="31640"/>
    <cellStyle name="Note 4" xfId="355"/>
    <cellStyle name="Note 4 10" xfId="31642"/>
    <cellStyle name="Note 4 11" xfId="35647"/>
    <cellStyle name="Note 4 12" xfId="31641"/>
    <cellStyle name="Note 4 2" xfId="31643"/>
    <cellStyle name="Note 4 2 2" xfId="31644"/>
    <cellStyle name="Note 4 2 2 2" xfId="31645"/>
    <cellStyle name="Note 4 2 2 2 2" xfId="31646"/>
    <cellStyle name="Note 4 2 2 3" xfId="31647"/>
    <cellStyle name="Note 4 2 2 3 2" xfId="31648"/>
    <cellStyle name="Note 4 2 2 4" xfId="31649"/>
    <cellStyle name="Note 4 2 3" xfId="31650"/>
    <cellStyle name="Note 4 2 3 2" xfId="31651"/>
    <cellStyle name="Note 4 2 4" xfId="31652"/>
    <cellStyle name="Note 4 2 4 2" xfId="31653"/>
    <cellStyle name="Note 4 2 5" xfId="31654"/>
    <cellStyle name="Note 4 2 5 2" xfId="31655"/>
    <cellStyle name="Note 4 2 6" xfId="31656"/>
    <cellStyle name="Note 4 2 6 2" xfId="31657"/>
    <cellStyle name="Note 4 2 7" xfId="31658"/>
    <cellStyle name="Note 4 3" xfId="31659"/>
    <cellStyle name="Note 4 3 2" xfId="31660"/>
    <cellStyle name="Note 4 3 2 2" xfId="31661"/>
    <cellStyle name="Note 4 3 2 2 2" xfId="31662"/>
    <cellStyle name="Note 4 3 2 3" xfId="31663"/>
    <cellStyle name="Note 4 3 2 3 2" xfId="31664"/>
    <cellStyle name="Note 4 3 2 4" xfId="31665"/>
    <cellStyle name="Note 4 3 3" xfId="31666"/>
    <cellStyle name="Note 4 3 3 2" xfId="31667"/>
    <cellStyle name="Note 4 3 4" xfId="31668"/>
    <cellStyle name="Note 4 3 4 2" xfId="31669"/>
    <cellStyle name="Note 4 3 5" xfId="31670"/>
    <cellStyle name="Note 4 3 5 2" xfId="31671"/>
    <cellStyle name="Note 4 3 6" xfId="31672"/>
    <cellStyle name="Note 4 3 7" xfId="36069"/>
    <cellStyle name="Note 4 4" xfId="31673"/>
    <cellStyle name="Note 4 4 2" xfId="31674"/>
    <cellStyle name="Note 4 4 2 2" xfId="31675"/>
    <cellStyle name="Note 4 4 3" xfId="31676"/>
    <cellStyle name="Note 4 4 3 2" xfId="31677"/>
    <cellStyle name="Note 4 4 4" xfId="31678"/>
    <cellStyle name="Note 4 4 4 2" xfId="31679"/>
    <cellStyle name="Note 4 4 5" xfId="31680"/>
    <cellStyle name="Note 4 4 5 2" xfId="31681"/>
    <cellStyle name="Note 4 4 6" xfId="31682"/>
    <cellStyle name="Note 4 5" xfId="31683"/>
    <cellStyle name="Note 4 5 2" xfId="31684"/>
    <cellStyle name="Note 4 5 2 2" xfId="31685"/>
    <cellStyle name="Note 4 5 3" xfId="31686"/>
    <cellStyle name="Note 4 5 3 2" xfId="31687"/>
    <cellStyle name="Note 4 5 4" xfId="31688"/>
    <cellStyle name="Note 4 6" xfId="31689"/>
    <cellStyle name="Note 4 6 2" xfId="31690"/>
    <cellStyle name="Note 4 7" xfId="31691"/>
    <cellStyle name="Note 4 7 2" xfId="31692"/>
    <cellStyle name="Note 4 8" xfId="31693"/>
    <cellStyle name="Note 4 8 2" xfId="31694"/>
    <cellStyle name="Note 4 9" xfId="31695"/>
    <cellStyle name="Note 4 9 2" xfId="31696"/>
    <cellStyle name="Note 5" xfId="31697"/>
    <cellStyle name="Note 5 10" xfId="31698"/>
    <cellStyle name="Note 5 11" xfId="31699"/>
    <cellStyle name="Note 5 2" xfId="31700"/>
    <cellStyle name="Note 5 2 2" xfId="31701"/>
    <cellStyle name="Note 5 2 2 2" xfId="31702"/>
    <cellStyle name="Note 5 2 2 2 2" xfId="31703"/>
    <cellStyle name="Note 5 2 3" xfId="31704"/>
    <cellStyle name="Note 5 2 3 2" xfId="31705"/>
    <cellStyle name="Note 5 2 4" xfId="31706"/>
    <cellStyle name="Note 5 2 4 2" xfId="31707"/>
    <cellStyle name="Note 5 2 5" xfId="31708"/>
    <cellStyle name="Note 5 3" xfId="31709"/>
    <cellStyle name="Note 5 3 2" xfId="31710"/>
    <cellStyle name="Note 5 3 2 2" xfId="31711"/>
    <cellStyle name="Note 5 3 2 2 2" xfId="31712"/>
    <cellStyle name="Note 5 3 3" xfId="31713"/>
    <cellStyle name="Note 5 3 3 2" xfId="31714"/>
    <cellStyle name="Note 5 3 4" xfId="31715"/>
    <cellStyle name="Note 5 3 4 2" xfId="31716"/>
    <cellStyle name="Note 5 4" xfId="31717"/>
    <cellStyle name="Note 5 4 2" xfId="31718"/>
    <cellStyle name="Note 5 4 2 2" xfId="31719"/>
    <cellStyle name="Note 5 4 3" xfId="31720"/>
    <cellStyle name="Note 5 4 3 2" xfId="31721"/>
    <cellStyle name="Note 5 4 4" xfId="31722"/>
    <cellStyle name="Note 5 4 4 2" xfId="31723"/>
    <cellStyle name="Note 5 5" xfId="31724"/>
    <cellStyle name="Note 5 5 2" xfId="31725"/>
    <cellStyle name="Note 5 5 2 2" xfId="31726"/>
    <cellStyle name="Note 5 5 3" xfId="31727"/>
    <cellStyle name="Note 5 5 3 2" xfId="31728"/>
    <cellStyle name="Note 5 5 4" xfId="31729"/>
    <cellStyle name="Note 5 6" xfId="31730"/>
    <cellStyle name="Note 5 6 2" xfId="31731"/>
    <cellStyle name="Note 5 7" xfId="31732"/>
    <cellStyle name="Note 5 7 2" xfId="31733"/>
    <cellStyle name="Note 5 8" xfId="31734"/>
    <cellStyle name="Note 5 8 2" xfId="31735"/>
    <cellStyle name="Note 5 9" xfId="31736"/>
    <cellStyle name="Note 5 9 2" xfId="31737"/>
    <cellStyle name="Note 6" xfId="31738"/>
    <cellStyle name="Note 6 10" xfId="31739"/>
    <cellStyle name="Note 6 11" xfId="31740"/>
    <cellStyle name="Note 6 2" xfId="31741"/>
    <cellStyle name="Note 6 2 2" xfId="31742"/>
    <cellStyle name="Note 6 2 2 2" xfId="31743"/>
    <cellStyle name="Note 6 2 2 2 2" xfId="31744"/>
    <cellStyle name="Note 6 2 3" xfId="31745"/>
    <cellStyle name="Note 6 2 3 2" xfId="31746"/>
    <cellStyle name="Note 6 2 4" xfId="31747"/>
    <cellStyle name="Note 6 2 4 2" xfId="31748"/>
    <cellStyle name="Note 6 2 5" xfId="31749"/>
    <cellStyle name="Note 6 3" xfId="31750"/>
    <cellStyle name="Note 6 3 2" xfId="31751"/>
    <cellStyle name="Note 6 3 2 2" xfId="31752"/>
    <cellStyle name="Note 6 3 2 2 2" xfId="31753"/>
    <cellStyle name="Note 6 3 3" xfId="31754"/>
    <cellStyle name="Note 6 3 3 2" xfId="31755"/>
    <cellStyle name="Note 6 3 4" xfId="31756"/>
    <cellStyle name="Note 6 3 4 2" xfId="31757"/>
    <cellStyle name="Note 6 4" xfId="31758"/>
    <cellStyle name="Note 6 4 2" xfId="31759"/>
    <cellStyle name="Note 6 4 2 2" xfId="31760"/>
    <cellStyle name="Note 6 4 3" xfId="31761"/>
    <cellStyle name="Note 6 4 3 2" xfId="31762"/>
    <cellStyle name="Note 6 4 4" xfId="31763"/>
    <cellStyle name="Note 6 4 4 2" xfId="31764"/>
    <cellStyle name="Note 6 5" xfId="31765"/>
    <cellStyle name="Note 6 5 2" xfId="31766"/>
    <cellStyle name="Note 6 5 2 2" xfId="31767"/>
    <cellStyle name="Note 6 5 3" xfId="31768"/>
    <cellStyle name="Note 6 5 3 2" xfId="31769"/>
    <cellStyle name="Note 6 5 4" xfId="31770"/>
    <cellStyle name="Note 6 6" xfId="31771"/>
    <cellStyle name="Note 6 6 2" xfId="31772"/>
    <cellStyle name="Note 6 7" xfId="31773"/>
    <cellStyle name="Note 6 7 2" xfId="31774"/>
    <cellStyle name="Note 6 8" xfId="31775"/>
    <cellStyle name="Note 6 8 2" xfId="31776"/>
    <cellStyle name="Note 6 9" xfId="31777"/>
    <cellStyle name="Note 6 9 2" xfId="31778"/>
    <cellStyle name="Note 7" xfId="31779"/>
    <cellStyle name="Note 7 2" xfId="31780"/>
    <cellStyle name="Note 7 2 2" xfId="31781"/>
    <cellStyle name="Note 7 2 2 2" xfId="31782"/>
    <cellStyle name="Note 7 2 2 2 2" xfId="31783"/>
    <cellStyle name="Note 7 2 3" xfId="31784"/>
    <cellStyle name="Note 7 2 3 2" xfId="31785"/>
    <cellStyle name="Note 7 2 4" xfId="31786"/>
    <cellStyle name="Note 7 2 4 2" xfId="31787"/>
    <cellStyle name="Note 7 2 5" xfId="31788"/>
    <cellStyle name="Note 7 2 5 2" xfId="31789"/>
    <cellStyle name="Note 7 3" xfId="31790"/>
    <cellStyle name="Note 7 3 2" xfId="31791"/>
    <cellStyle name="Note 7 3 2 2" xfId="31792"/>
    <cellStyle name="Note 7 3 2 2 2" xfId="31793"/>
    <cellStyle name="Note 7 3 3" xfId="31794"/>
    <cellStyle name="Note 7 3 3 2" xfId="31795"/>
    <cellStyle name="Note 7 3 4" xfId="31796"/>
    <cellStyle name="Note 7 3 4 2" xfId="31797"/>
    <cellStyle name="Note 7 3 5" xfId="31798"/>
    <cellStyle name="Note 7 3 5 2" xfId="31799"/>
    <cellStyle name="Note 7 4" xfId="31800"/>
    <cellStyle name="Note 7 4 2" xfId="31801"/>
    <cellStyle name="Note 7 4 2 2" xfId="31802"/>
    <cellStyle name="Note 7 4 3" xfId="31803"/>
    <cellStyle name="Note 7 4 3 2" xfId="31804"/>
    <cellStyle name="Note 7 4 4" xfId="31805"/>
    <cellStyle name="Note 7 4 4 2" xfId="31806"/>
    <cellStyle name="Note 7 5" xfId="31807"/>
    <cellStyle name="Note 7 5 2" xfId="31808"/>
    <cellStyle name="Note 7 5 2 2" xfId="31809"/>
    <cellStyle name="Note 7 5 3" xfId="31810"/>
    <cellStyle name="Note 7 5 3 2" xfId="31811"/>
    <cellStyle name="Note 7 5 4" xfId="31812"/>
    <cellStyle name="Note 7 6" xfId="31813"/>
    <cellStyle name="Note 7 6 2" xfId="31814"/>
    <cellStyle name="Note 7 7" xfId="31815"/>
    <cellStyle name="Note 7 7 2" xfId="31816"/>
    <cellStyle name="Note 7 8" xfId="31817"/>
    <cellStyle name="Note 7 8 2" xfId="31818"/>
    <cellStyle name="Note 7 9" xfId="31819"/>
    <cellStyle name="Note 7 9 2" xfId="31820"/>
    <cellStyle name="Note 8" xfId="31821"/>
    <cellStyle name="Note 8 2" xfId="31822"/>
    <cellStyle name="Note 8 2 2" xfId="31823"/>
    <cellStyle name="Note 8 2 2 2" xfId="31824"/>
    <cellStyle name="Note 8 2 3" xfId="31825"/>
    <cellStyle name="Note 8 2 3 2" xfId="31826"/>
    <cellStyle name="Note 8 2 4" xfId="31827"/>
    <cellStyle name="Note 8 3" xfId="31828"/>
    <cellStyle name="Note 8 3 2" xfId="31829"/>
    <cellStyle name="Note 8 4" xfId="31830"/>
    <cellStyle name="Note 8 4 2" xfId="31831"/>
    <cellStyle name="Note 8 5" xfId="31832"/>
    <cellStyle name="Note 8 5 2" xfId="31833"/>
    <cellStyle name="Note 8 5 2 2" xfId="31834"/>
    <cellStyle name="Note 8 5 3" xfId="31835"/>
    <cellStyle name="Note 8 5 4" xfId="31836"/>
    <cellStyle name="Note 8 6" xfId="31837"/>
    <cellStyle name="Note 9" xfId="31838"/>
    <cellStyle name="Note 9 2" xfId="31839"/>
    <cellStyle name="Note 9 2 2" xfId="31840"/>
    <cellStyle name="Note 9 2 2 2" xfId="31841"/>
    <cellStyle name="Note 9 2 3" xfId="31842"/>
    <cellStyle name="Note 9 2 4" xfId="31843"/>
    <cellStyle name="Note 9 3" xfId="31844"/>
    <cellStyle name="nplode" xfId="31845"/>
    <cellStyle name="nplode 2" xfId="31846"/>
    <cellStyle name="nplode 2 2" xfId="31847"/>
    <cellStyle name="nplode 3" xfId="31848"/>
    <cellStyle name="nplode 4" xfId="31849"/>
    <cellStyle name="Number" xfId="35716"/>
    <cellStyle name="Number Assumptions" xfId="35717"/>
    <cellStyle name="Number Assumptions 2" xfId="36124"/>
    <cellStyle name="Number Input" xfId="35738"/>
    <cellStyle name="Output" xfId="35675" builtinId="21" customBuiltin="1"/>
    <cellStyle name="Output 10" xfId="31850"/>
    <cellStyle name="Output 2" xfId="73"/>
    <cellStyle name="Output 2 2" xfId="84"/>
    <cellStyle name="Output 2 2 10" xfId="31853"/>
    <cellStyle name="Output 2 2 10 2" xfId="31854"/>
    <cellStyle name="Output 2 2 10 2 2" xfId="31855"/>
    <cellStyle name="Output 2 2 11" xfId="31856"/>
    <cellStyle name="Output 2 2 11 2" xfId="31857"/>
    <cellStyle name="Output 2 2 12" xfId="31852"/>
    <cellStyle name="Output 2 2 13" xfId="36070"/>
    <cellStyle name="Output 2 2 2" xfId="31858"/>
    <cellStyle name="Output 2 2 2 2" xfId="31859"/>
    <cellStyle name="Output 2 2 2 2 2" xfId="31860"/>
    <cellStyle name="Output 2 2 2 2 2 2" xfId="31861"/>
    <cellStyle name="Output 2 2 2 2 2 2 2" xfId="31862"/>
    <cellStyle name="Output 2 2 2 3" xfId="31863"/>
    <cellStyle name="Output 2 2 2 3 2" xfId="31864"/>
    <cellStyle name="Output 2 2 2 3 2 2" xfId="31865"/>
    <cellStyle name="Output 2 2 2 4" xfId="31866"/>
    <cellStyle name="Output 2 2 2 4 2" xfId="31867"/>
    <cellStyle name="Output 2 2 2 4 2 2" xfId="31868"/>
    <cellStyle name="Output 2 2 2 5" xfId="31869"/>
    <cellStyle name="Output 2 2 2 5 2" xfId="31870"/>
    <cellStyle name="Output 2 2 2 5 2 2" xfId="31871"/>
    <cellStyle name="Output 2 2 3" xfId="31872"/>
    <cellStyle name="Output 2 2 3 2" xfId="31873"/>
    <cellStyle name="Output 2 2 3 2 2" xfId="31874"/>
    <cellStyle name="Output 2 2 3 2 2 2" xfId="31875"/>
    <cellStyle name="Output 2 2 3 2 2 2 2" xfId="31876"/>
    <cellStyle name="Output 2 2 3 3" xfId="31877"/>
    <cellStyle name="Output 2 2 3 3 2" xfId="31878"/>
    <cellStyle name="Output 2 2 3 3 2 2" xfId="31879"/>
    <cellStyle name="Output 2 2 3 4" xfId="31880"/>
    <cellStyle name="Output 2 2 3 4 2" xfId="31881"/>
    <cellStyle name="Output 2 2 3 4 2 2" xfId="31882"/>
    <cellStyle name="Output 2 2 3 5" xfId="31883"/>
    <cellStyle name="Output 2 2 3 5 2" xfId="31884"/>
    <cellStyle name="Output 2 2 3 5 2 2" xfId="31885"/>
    <cellStyle name="Output 2 2 4" xfId="31886"/>
    <cellStyle name="Output 2 2 4 2" xfId="31887"/>
    <cellStyle name="Output 2 2 4 2 2" xfId="31888"/>
    <cellStyle name="Output 2 2 4 2 2 2" xfId="31889"/>
    <cellStyle name="Output 2 2 4 3" xfId="31890"/>
    <cellStyle name="Output 2 2 4 3 2" xfId="31891"/>
    <cellStyle name="Output 2 2 4 3 2 2" xfId="31892"/>
    <cellStyle name="Output 2 2 4 4" xfId="31893"/>
    <cellStyle name="Output 2 2 4 4 2" xfId="31894"/>
    <cellStyle name="Output 2 2 4 4 2 2" xfId="31895"/>
    <cellStyle name="Output 2 2 5" xfId="31896"/>
    <cellStyle name="Output 2 2 5 2" xfId="31897"/>
    <cellStyle name="Output 2 2 5 2 2" xfId="31898"/>
    <cellStyle name="Output 2 2 5 2 2 2" xfId="31899"/>
    <cellStyle name="Output 2 2 5 3" xfId="31900"/>
    <cellStyle name="Output 2 2 5 3 2" xfId="31901"/>
    <cellStyle name="Output 2 2 5 3 2 2" xfId="31902"/>
    <cellStyle name="Output 2 2 5 4" xfId="31903"/>
    <cellStyle name="Output 2 2 5 4 2" xfId="31904"/>
    <cellStyle name="Output 2 2 6" xfId="31905"/>
    <cellStyle name="Output 2 2 6 2" xfId="31906"/>
    <cellStyle name="Output 2 2 6 2 2" xfId="31907"/>
    <cellStyle name="Output 2 2 7" xfId="31908"/>
    <cellStyle name="Output 2 2 7 2" xfId="31909"/>
    <cellStyle name="Output 2 2 7 2 2" xfId="31910"/>
    <cellStyle name="Output 2 2 8" xfId="31911"/>
    <cellStyle name="Output 2 2 8 2" xfId="31912"/>
    <cellStyle name="Output 2 2 8 2 2" xfId="31913"/>
    <cellStyle name="Output 2 2 9" xfId="31914"/>
    <cellStyle name="Output 2 2 9 2" xfId="31915"/>
    <cellStyle name="Output 2 2 9 2 2" xfId="31916"/>
    <cellStyle name="Output 2 3" xfId="439"/>
    <cellStyle name="Output 2 3 10" xfId="31917"/>
    <cellStyle name="Output 2 3 10 2" xfId="31918"/>
    <cellStyle name="Output 2 3 10 2 2" xfId="31919"/>
    <cellStyle name="Output 2 3 11" xfId="31920"/>
    <cellStyle name="Output 2 3 11 2" xfId="31921"/>
    <cellStyle name="Output 2 3 11 2 2" xfId="31922"/>
    <cellStyle name="Output 2 3 12" xfId="31923"/>
    <cellStyle name="Output 2 3 12 2" xfId="31924"/>
    <cellStyle name="Output 2 3 13" xfId="36071"/>
    <cellStyle name="Output 2 3 2" xfId="31925"/>
    <cellStyle name="Output 2 3 2 2" xfId="31926"/>
    <cellStyle name="Output 2 3 2 2 2" xfId="31927"/>
    <cellStyle name="Output 2 3 2 2 2 2" xfId="31928"/>
    <cellStyle name="Output 2 3 2 2 2 2 2" xfId="31929"/>
    <cellStyle name="Output 2 3 2 3" xfId="31930"/>
    <cellStyle name="Output 2 3 2 3 2" xfId="31931"/>
    <cellStyle name="Output 2 3 2 3 2 2" xfId="31932"/>
    <cellStyle name="Output 2 3 2 4" xfId="31933"/>
    <cellStyle name="Output 2 3 2 4 2" xfId="31934"/>
    <cellStyle name="Output 2 3 2 4 2 2" xfId="31935"/>
    <cellStyle name="Output 2 3 2 5" xfId="31936"/>
    <cellStyle name="Output 2 3 2 5 2" xfId="31937"/>
    <cellStyle name="Output 2 3 2 5 2 2" xfId="31938"/>
    <cellStyle name="Output 2 3 3" xfId="31939"/>
    <cellStyle name="Output 2 3 3 2" xfId="31940"/>
    <cellStyle name="Output 2 3 3 2 2" xfId="31941"/>
    <cellStyle name="Output 2 3 3 2 2 2" xfId="31942"/>
    <cellStyle name="Output 2 3 3 2 2 2 2" xfId="31943"/>
    <cellStyle name="Output 2 3 3 3" xfId="31944"/>
    <cellStyle name="Output 2 3 3 3 2" xfId="31945"/>
    <cellStyle name="Output 2 3 3 3 2 2" xfId="31946"/>
    <cellStyle name="Output 2 3 3 4" xfId="31947"/>
    <cellStyle name="Output 2 3 3 4 2" xfId="31948"/>
    <cellStyle name="Output 2 3 3 4 2 2" xfId="31949"/>
    <cellStyle name="Output 2 3 3 5" xfId="31950"/>
    <cellStyle name="Output 2 3 3 5 2" xfId="31951"/>
    <cellStyle name="Output 2 3 3 5 2 2" xfId="31952"/>
    <cellStyle name="Output 2 3 4" xfId="31953"/>
    <cellStyle name="Output 2 3 4 2" xfId="31954"/>
    <cellStyle name="Output 2 3 4 2 2" xfId="31955"/>
    <cellStyle name="Output 2 3 4 2 2 2" xfId="31956"/>
    <cellStyle name="Output 2 3 4 3" xfId="31957"/>
    <cellStyle name="Output 2 3 4 3 2" xfId="31958"/>
    <cellStyle name="Output 2 3 4 3 2 2" xfId="31959"/>
    <cellStyle name="Output 2 3 4 4" xfId="31960"/>
    <cellStyle name="Output 2 3 4 4 2" xfId="31961"/>
    <cellStyle name="Output 2 3 4 4 2 2" xfId="31962"/>
    <cellStyle name="Output 2 3 5" xfId="31963"/>
    <cellStyle name="Output 2 3 5 2" xfId="31964"/>
    <cellStyle name="Output 2 3 5 2 2" xfId="31965"/>
    <cellStyle name="Output 2 3 5 2 2 2" xfId="31966"/>
    <cellStyle name="Output 2 3 5 3" xfId="31967"/>
    <cellStyle name="Output 2 3 5 3 2" xfId="31968"/>
    <cellStyle name="Output 2 3 5 3 2 2" xfId="31969"/>
    <cellStyle name="Output 2 3 5 4" xfId="31970"/>
    <cellStyle name="Output 2 3 5 4 2" xfId="31971"/>
    <cellStyle name="Output 2 3 6" xfId="31972"/>
    <cellStyle name="Output 2 3 6 2" xfId="31973"/>
    <cellStyle name="Output 2 3 6 2 2" xfId="31974"/>
    <cellStyle name="Output 2 3 7" xfId="31975"/>
    <cellStyle name="Output 2 3 7 2" xfId="31976"/>
    <cellStyle name="Output 2 3 7 2 2" xfId="31977"/>
    <cellStyle name="Output 2 3 8" xfId="31978"/>
    <cellStyle name="Output 2 3 9" xfId="31979"/>
    <cellStyle name="Output 2 3 9 2" xfId="31980"/>
    <cellStyle name="Output 2 3 9 2 2" xfId="31981"/>
    <cellStyle name="Output 2 4" xfId="31982"/>
    <cellStyle name="Output 2 4 2" xfId="31983"/>
    <cellStyle name="Output 2 4 2 2" xfId="31984"/>
    <cellStyle name="Output 2 4 2 2 2" xfId="31985"/>
    <cellStyle name="Output 2 4 2 2 2 2" xfId="31986"/>
    <cellStyle name="Output 2 4 2 3" xfId="31987"/>
    <cellStyle name="Output 2 4 2 3 2" xfId="31988"/>
    <cellStyle name="Output 2 4 2 3 2 2" xfId="31989"/>
    <cellStyle name="Output 2 4 2 4" xfId="31990"/>
    <cellStyle name="Output 2 4 2 4 2" xfId="31991"/>
    <cellStyle name="Output 2 4 3" xfId="31992"/>
    <cellStyle name="Output 2 4 3 2" xfId="31993"/>
    <cellStyle name="Output 2 4 3 2 2" xfId="31994"/>
    <cellStyle name="Output 2 4 4" xfId="31995"/>
    <cellStyle name="Output 2 4 4 2" xfId="31996"/>
    <cellStyle name="Output 2 4 4 2 2" xfId="31997"/>
    <cellStyle name="Output 2 4 5" xfId="31998"/>
    <cellStyle name="Output 2 4 5 2" xfId="31999"/>
    <cellStyle name="Output 2 4 5 2 2" xfId="32000"/>
    <cellStyle name="Output 2 4 6" xfId="32001"/>
    <cellStyle name="Output 2 4 6 2" xfId="32002"/>
    <cellStyle name="Output 2 5" xfId="32003"/>
    <cellStyle name="Output 2 5 2" xfId="32004"/>
    <cellStyle name="Output 2 5 2 2" xfId="32005"/>
    <cellStyle name="Output 2 6" xfId="32006"/>
    <cellStyle name="Output 2 6 2" xfId="32007"/>
    <cellStyle name="Output 2 6 2 2" xfId="32008"/>
    <cellStyle name="Output 2 7" xfId="32009"/>
    <cellStyle name="Output 2 7 2" xfId="32010"/>
    <cellStyle name="Output 2 7 2 2" xfId="32011"/>
    <cellStyle name="Output 2 8" xfId="32012"/>
    <cellStyle name="Output 2 9" xfId="31851"/>
    <cellStyle name="Output 3" xfId="186"/>
    <cellStyle name="Output 3 10" xfId="32013"/>
    <cellStyle name="Output 3 2" xfId="32014"/>
    <cellStyle name="Output 3 2 2" xfId="32015"/>
    <cellStyle name="Output 3 2 2 2" xfId="32016"/>
    <cellStyle name="Output 3 2 2 2 2" xfId="32017"/>
    <cellStyle name="Output 3 2 2 2 2 2" xfId="32018"/>
    <cellStyle name="Output 3 2 3" xfId="32019"/>
    <cellStyle name="Output 3 2 3 2" xfId="32020"/>
    <cellStyle name="Output 3 2 3 2 2" xfId="32021"/>
    <cellStyle name="Output 3 2 4" xfId="32022"/>
    <cellStyle name="Output 3 2 4 2" xfId="32023"/>
    <cellStyle name="Output 3 2 4 2 2" xfId="32024"/>
    <cellStyle name="Output 3 2 5" xfId="32025"/>
    <cellStyle name="Output 3 2 5 2" xfId="32026"/>
    <cellStyle name="Output 3 2 5 2 2" xfId="32027"/>
    <cellStyle name="Output 3 3" xfId="32028"/>
    <cellStyle name="Output 3 3 2" xfId="32029"/>
    <cellStyle name="Output 3 3 2 2" xfId="32030"/>
    <cellStyle name="Output 3 3 2 2 2" xfId="32031"/>
    <cellStyle name="Output 3 3 2 2 2 2" xfId="32032"/>
    <cellStyle name="Output 3 3 3" xfId="32033"/>
    <cellStyle name="Output 3 3 3 2" xfId="32034"/>
    <cellStyle name="Output 3 3 3 2 2" xfId="32035"/>
    <cellStyle name="Output 3 3 4" xfId="32036"/>
    <cellStyle name="Output 3 3 4 2" xfId="32037"/>
    <cellStyle name="Output 3 3 4 2 2" xfId="32038"/>
    <cellStyle name="Output 3 3 5" xfId="32039"/>
    <cellStyle name="Output 3 3 5 2" xfId="32040"/>
    <cellStyle name="Output 3 3 5 2 2" xfId="32041"/>
    <cellStyle name="Output 3 4" xfId="32042"/>
    <cellStyle name="Output 3 4 2" xfId="32043"/>
    <cellStyle name="Output 3 4 2 2" xfId="32044"/>
    <cellStyle name="Output 3 4 2 2 2" xfId="32045"/>
    <cellStyle name="Output 3 4 3" xfId="32046"/>
    <cellStyle name="Output 3 4 3 2" xfId="32047"/>
    <cellStyle name="Output 3 4 3 2 2" xfId="32048"/>
    <cellStyle name="Output 3 4 4" xfId="32049"/>
    <cellStyle name="Output 3 4 4 2" xfId="32050"/>
    <cellStyle name="Output 3 4 4 2 2" xfId="32051"/>
    <cellStyle name="Output 3 5" xfId="32052"/>
    <cellStyle name="Output 3 5 2" xfId="32053"/>
    <cellStyle name="Output 3 5 2 2" xfId="32054"/>
    <cellStyle name="Output 3 5 2 2 2" xfId="32055"/>
    <cellStyle name="Output 3 5 3" xfId="32056"/>
    <cellStyle name="Output 3 5 3 2" xfId="32057"/>
    <cellStyle name="Output 3 5 3 2 2" xfId="32058"/>
    <cellStyle name="Output 3 5 4" xfId="32059"/>
    <cellStyle name="Output 3 5 4 2" xfId="32060"/>
    <cellStyle name="Output 3 6" xfId="32061"/>
    <cellStyle name="Output 3 6 2" xfId="32062"/>
    <cellStyle name="Output 3 6 2 2" xfId="32063"/>
    <cellStyle name="Output 3 7" xfId="32064"/>
    <cellStyle name="Output 3 7 2" xfId="32065"/>
    <cellStyle name="Output 3 7 2 2" xfId="32066"/>
    <cellStyle name="Output 3 8" xfId="32067"/>
    <cellStyle name="Output 3 8 2" xfId="32068"/>
    <cellStyle name="Output 3 8 2 2" xfId="32069"/>
    <cellStyle name="Output 3 9" xfId="32070"/>
    <cellStyle name="Output 3 9 2" xfId="32071"/>
    <cellStyle name="Output 3 9 2 2" xfId="32072"/>
    <cellStyle name="Output 4" xfId="303"/>
    <cellStyle name="Output 4 10" xfId="32074"/>
    <cellStyle name="Output 4 10 2" xfId="32075"/>
    <cellStyle name="Output 4 10 2 2" xfId="32076"/>
    <cellStyle name="Output 4 11" xfId="32077"/>
    <cellStyle name="Output 4 11 2" xfId="32078"/>
    <cellStyle name="Output 4 12" xfId="35604"/>
    <cellStyle name="Output 4 13" xfId="32073"/>
    <cellStyle name="Output 4 2" xfId="32079"/>
    <cellStyle name="Output 4 2 2" xfId="32080"/>
    <cellStyle name="Output 4 2 2 2" xfId="32081"/>
    <cellStyle name="Output 4 2 2 2 2" xfId="32082"/>
    <cellStyle name="Output 4 2 2 2 2 2" xfId="32083"/>
    <cellStyle name="Output 4 2 3" xfId="32084"/>
    <cellStyle name="Output 4 2 3 2" xfId="32085"/>
    <cellStyle name="Output 4 2 3 2 2" xfId="32086"/>
    <cellStyle name="Output 4 2 4" xfId="32087"/>
    <cellStyle name="Output 4 2 4 2" xfId="32088"/>
    <cellStyle name="Output 4 2 4 2 2" xfId="32089"/>
    <cellStyle name="Output 4 2 5" xfId="32090"/>
    <cellStyle name="Output 4 2 5 2" xfId="32091"/>
    <cellStyle name="Output 4 2 5 2 2" xfId="32092"/>
    <cellStyle name="Output 4 3" xfId="32093"/>
    <cellStyle name="Output 4 3 2" xfId="32094"/>
    <cellStyle name="Output 4 3 2 2" xfId="32095"/>
    <cellStyle name="Output 4 3 2 2 2" xfId="32096"/>
    <cellStyle name="Output 4 3 2 2 2 2" xfId="32097"/>
    <cellStyle name="Output 4 3 3" xfId="32098"/>
    <cellStyle name="Output 4 3 3 2" xfId="32099"/>
    <cellStyle name="Output 4 3 3 2 2" xfId="32100"/>
    <cellStyle name="Output 4 3 4" xfId="32101"/>
    <cellStyle name="Output 4 3 4 2" xfId="32102"/>
    <cellStyle name="Output 4 3 4 2 2" xfId="32103"/>
    <cellStyle name="Output 4 3 5" xfId="32104"/>
    <cellStyle name="Output 4 3 5 2" xfId="32105"/>
    <cellStyle name="Output 4 3 5 2 2" xfId="32106"/>
    <cellStyle name="Output 4 4" xfId="32107"/>
    <cellStyle name="Output 4 4 2" xfId="32108"/>
    <cellStyle name="Output 4 4 2 2" xfId="32109"/>
    <cellStyle name="Output 4 4 2 2 2" xfId="32110"/>
    <cellStyle name="Output 4 4 3" xfId="32111"/>
    <cellStyle name="Output 4 4 3 2" xfId="32112"/>
    <cellStyle name="Output 4 4 3 2 2" xfId="32113"/>
    <cellStyle name="Output 4 4 4" xfId="32114"/>
    <cellStyle name="Output 4 4 4 2" xfId="32115"/>
    <cellStyle name="Output 4 4 4 2 2" xfId="32116"/>
    <cellStyle name="Output 4 5" xfId="32117"/>
    <cellStyle name="Output 4 5 2" xfId="32118"/>
    <cellStyle name="Output 4 5 2 2" xfId="32119"/>
    <cellStyle name="Output 4 5 2 2 2" xfId="32120"/>
    <cellStyle name="Output 4 5 3" xfId="32121"/>
    <cellStyle name="Output 4 5 3 2" xfId="32122"/>
    <cellStyle name="Output 4 5 3 2 2" xfId="32123"/>
    <cellStyle name="Output 4 5 4" xfId="32124"/>
    <cellStyle name="Output 4 5 4 2" xfId="32125"/>
    <cellStyle name="Output 4 6" xfId="32126"/>
    <cellStyle name="Output 4 6 2" xfId="32127"/>
    <cellStyle name="Output 4 6 2 2" xfId="32128"/>
    <cellStyle name="Output 4 7" xfId="32129"/>
    <cellStyle name="Output 4 8" xfId="32130"/>
    <cellStyle name="Output 4 8 2" xfId="32131"/>
    <cellStyle name="Output 4 8 2 2" xfId="32132"/>
    <cellStyle name="Output 4 9" xfId="32133"/>
    <cellStyle name="Output 4 9 2" xfId="32134"/>
    <cellStyle name="Output 4 9 2 2" xfId="32135"/>
    <cellStyle name="Output 5" xfId="32136"/>
    <cellStyle name="Output 5 10" xfId="32137"/>
    <cellStyle name="Output 5 10 2" xfId="32138"/>
    <cellStyle name="Output 5 2" xfId="32139"/>
    <cellStyle name="Output 5 2 2" xfId="32140"/>
    <cellStyle name="Output 5 2 2 2" xfId="32141"/>
    <cellStyle name="Output 5 2 2 2 2" xfId="32142"/>
    <cellStyle name="Output 5 2 2 2 2 2" xfId="32143"/>
    <cellStyle name="Output 5 2 3" xfId="32144"/>
    <cellStyle name="Output 5 2 3 2" xfId="32145"/>
    <cellStyle name="Output 5 2 3 2 2" xfId="32146"/>
    <cellStyle name="Output 5 2 4" xfId="32147"/>
    <cellStyle name="Output 5 2 4 2" xfId="32148"/>
    <cellStyle name="Output 5 2 4 2 2" xfId="32149"/>
    <cellStyle name="Output 5 3" xfId="32150"/>
    <cellStyle name="Output 5 3 2" xfId="32151"/>
    <cellStyle name="Output 5 3 2 2" xfId="32152"/>
    <cellStyle name="Output 5 3 2 2 2" xfId="32153"/>
    <cellStyle name="Output 5 3 2 2 2 2" xfId="32154"/>
    <cellStyle name="Output 5 3 3" xfId="32155"/>
    <cellStyle name="Output 5 3 3 2" xfId="32156"/>
    <cellStyle name="Output 5 3 3 2 2" xfId="32157"/>
    <cellStyle name="Output 5 3 4" xfId="32158"/>
    <cellStyle name="Output 5 3 4 2" xfId="32159"/>
    <cellStyle name="Output 5 3 4 2 2" xfId="32160"/>
    <cellStyle name="Output 5 4" xfId="32161"/>
    <cellStyle name="Output 5 4 2" xfId="32162"/>
    <cellStyle name="Output 5 4 2 2" xfId="32163"/>
    <cellStyle name="Output 5 4 2 2 2" xfId="32164"/>
    <cellStyle name="Output 5 4 3" xfId="32165"/>
    <cellStyle name="Output 5 4 3 2" xfId="32166"/>
    <cellStyle name="Output 5 4 3 2 2" xfId="32167"/>
    <cellStyle name="Output 5 4 4" xfId="32168"/>
    <cellStyle name="Output 5 4 4 2" xfId="32169"/>
    <cellStyle name="Output 5 4 4 2 2" xfId="32170"/>
    <cellStyle name="Output 5 5" xfId="32171"/>
    <cellStyle name="Output 5 5 2" xfId="32172"/>
    <cellStyle name="Output 5 5 2 2" xfId="32173"/>
    <cellStyle name="Output 5 5 2 2 2" xfId="32174"/>
    <cellStyle name="Output 5 5 3" xfId="32175"/>
    <cellStyle name="Output 5 5 3 2" xfId="32176"/>
    <cellStyle name="Output 5 5 3 2 2" xfId="32177"/>
    <cellStyle name="Output 5 5 4" xfId="32178"/>
    <cellStyle name="Output 5 5 4 2" xfId="32179"/>
    <cellStyle name="Output 5 6" xfId="32180"/>
    <cellStyle name="Output 5 6 2" xfId="32181"/>
    <cellStyle name="Output 5 6 2 2" xfId="32182"/>
    <cellStyle name="Output 5 7" xfId="32183"/>
    <cellStyle name="Output 5 7 2" xfId="32184"/>
    <cellStyle name="Output 5 7 2 2" xfId="32185"/>
    <cellStyle name="Output 5 8" xfId="32186"/>
    <cellStyle name="Output 5 8 2" xfId="32187"/>
    <cellStyle name="Output 5 8 2 2" xfId="32188"/>
    <cellStyle name="Output 5 9" xfId="32189"/>
    <cellStyle name="Output 5 9 2" xfId="32190"/>
    <cellStyle name="Output 5 9 2 2" xfId="32191"/>
    <cellStyle name="Output 6" xfId="32192"/>
    <cellStyle name="Output 6 10" xfId="32193"/>
    <cellStyle name="Output 6 10 2" xfId="32194"/>
    <cellStyle name="Output 6 2" xfId="32195"/>
    <cellStyle name="Output 6 2 2" xfId="32196"/>
    <cellStyle name="Output 6 2 2 2" xfId="32197"/>
    <cellStyle name="Output 6 2 2 2 2" xfId="32198"/>
    <cellStyle name="Output 6 2 2 2 2 2" xfId="32199"/>
    <cellStyle name="Output 6 2 3" xfId="32200"/>
    <cellStyle name="Output 6 2 3 2" xfId="32201"/>
    <cellStyle name="Output 6 2 3 2 2" xfId="32202"/>
    <cellStyle name="Output 6 2 4" xfId="32203"/>
    <cellStyle name="Output 6 2 4 2" xfId="32204"/>
    <cellStyle name="Output 6 2 4 2 2" xfId="32205"/>
    <cellStyle name="Output 6 3" xfId="32206"/>
    <cellStyle name="Output 6 3 2" xfId="32207"/>
    <cellStyle name="Output 6 3 2 2" xfId="32208"/>
    <cellStyle name="Output 6 3 2 2 2" xfId="32209"/>
    <cellStyle name="Output 6 3 2 2 2 2" xfId="32210"/>
    <cellStyle name="Output 6 3 3" xfId="32211"/>
    <cellStyle name="Output 6 3 3 2" xfId="32212"/>
    <cellStyle name="Output 6 3 3 2 2" xfId="32213"/>
    <cellStyle name="Output 6 3 4" xfId="32214"/>
    <cellStyle name="Output 6 3 4 2" xfId="32215"/>
    <cellStyle name="Output 6 3 4 2 2" xfId="32216"/>
    <cellStyle name="Output 6 4" xfId="32217"/>
    <cellStyle name="Output 6 4 2" xfId="32218"/>
    <cellStyle name="Output 6 4 2 2" xfId="32219"/>
    <cellStyle name="Output 6 4 2 2 2" xfId="32220"/>
    <cellStyle name="Output 6 4 3" xfId="32221"/>
    <cellStyle name="Output 6 4 3 2" xfId="32222"/>
    <cellStyle name="Output 6 4 3 2 2" xfId="32223"/>
    <cellStyle name="Output 6 4 4" xfId="32224"/>
    <cellStyle name="Output 6 4 4 2" xfId="32225"/>
    <cellStyle name="Output 6 4 4 2 2" xfId="32226"/>
    <cellStyle name="Output 6 5" xfId="32227"/>
    <cellStyle name="Output 6 5 2" xfId="32228"/>
    <cellStyle name="Output 6 5 2 2" xfId="32229"/>
    <cellStyle name="Output 6 5 2 2 2" xfId="32230"/>
    <cellStyle name="Output 6 5 3" xfId="32231"/>
    <cellStyle name="Output 6 5 3 2" xfId="32232"/>
    <cellStyle name="Output 6 5 3 2 2" xfId="32233"/>
    <cellStyle name="Output 6 5 4" xfId="32234"/>
    <cellStyle name="Output 6 5 4 2" xfId="32235"/>
    <cellStyle name="Output 6 6" xfId="32236"/>
    <cellStyle name="Output 6 6 2" xfId="32237"/>
    <cellStyle name="Output 6 6 2 2" xfId="32238"/>
    <cellStyle name="Output 6 7" xfId="32239"/>
    <cellStyle name="Output 6 7 2" xfId="32240"/>
    <cellStyle name="Output 6 7 2 2" xfId="32241"/>
    <cellStyle name="Output 6 8" xfId="32242"/>
    <cellStyle name="Output 6 8 2" xfId="32243"/>
    <cellStyle name="Output 6 8 2 2" xfId="32244"/>
    <cellStyle name="Output 6 9" xfId="32245"/>
    <cellStyle name="Output 6 9 2" xfId="32246"/>
    <cellStyle name="Output 6 9 2 2" xfId="32247"/>
    <cellStyle name="Output 7" xfId="32248"/>
    <cellStyle name="Output 7 2" xfId="32249"/>
    <cellStyle name="Output 7 2 2" xfId="32250"/>
    <cellStyle name="Output 7 2 2 2" xfId="32251"/>
    <cellStyle name="Output 7 2 2 2 2" xfId="32252"/>
    <cellStyle name="Output 7 2 3" xfId="32253"/>
    <cellStyle name="Output 7 2 3 2" xfId="32254"/>
    <cellStyle name="Output 7 2 3 2 2" xfId="32255"/>
    <cellStyle name="Output 7 2 4" xfId="32256"/>
    <cellStyle name="Output 7 2 4 2" xfId="32257"/>
    <cellStyle name="Output 7 3" xfId="32258"/>
    <cellStyle name="Output 7 3 2" xfId="32259"/>
    <cellStyle name="Output 7 3 2 2" xfId="32260"/>
    <cellStyle name="Output 7 4" xfId="32261"/>
    <cellStyle name="Output 7 4 2" xfId="32262"/>
    <cellStyle name="Output 7 4 2 2" xfId="32263"/>
    <cellStyle name="Output 7 5" xfId="32264"/>
    <cellStyle name="Output 7 6" xfId="32265"/>
    <cellStyle name="Output 7 6 2" xfId="32266"/>
    <cellStyle name="Output 8" xfId="32267"/>
    <cellStyle name="Output 8 2" xfId="32268"/>
    <cellStyle name="Output 8 2 2" xfId="32269"/>
    <cellStyle name="Output 9" xfId="32270"/>
    <cellStyle name="Output 9 2" xfId="32271"/>
    <cellStyle name="Output 9 2 2" xfId="32272"/>
    <cellStyle name="Output Amounts" xfId="32273"/>
    <cellStyle name="Output Column Headings" xfId="32274"/>
    <cellStyle name="Output Column Headings 2" xfId="32275"/>
    <cellStyle name="Output Column Headings 2 2" xfId="32276"/>
    <cellStyle name="Output Column Headings 2 3" xfId="32277"/>
    <cellStyle name="Output Column Headings 2 4" xfId="32278"/>
    <cellStyle name="Output Column Headings 3" xfId="32279"/>
    <cellStyle name="Output Column Headings 3 2" xfId="32280"/>
    <cellStyle name="Output Column Headings 4" xfId="32281"/>
    <cellStyle name="Output Column Headings 4 2" xfId="32282"/>
    <cellStyle name="Output Line Items" xfId="32283"/>
    <cellStyle name="Output Line Items 2" xfId="32284"/>
    <cellStyle name="Output Line Items 2 2" xfId="32285"/>
    <cellStyle name="Output Line Items 2 3" xfId="32286"/>
    <cellStyle name="Output Line Items 2 4" xfId="32287"/>
    <cellStyle name="Output Line Items 3" xfId="32288"/>
    <cellStyle name="Output Line Items 3 2" xfId="32289"/>
    <cellStyle name="Output Line Items 4" xfId="32290"/>
    <cellStyle name="Output Line Items 4 2" xfId="32291"/>
    <cellStyle name="Output Report Heading" xfId="32292"/>
    <cellStyle name="Output Report Heading 2" xfId="32293"/>
    <cellStyle name="Output Report Heading 2 2" xfId="32294"/>
    <cellStyle name="Output Report Heading 2 3" xfId="32295"/>
    <cellStyle name="Output Report Heading 2 4" xfId="32296"/>
    <cellStyle name="Output Report Heading 3" xfId="32297"/>
    <cellStyle name="Output Report Heading 3 2" xfId="32298"/>
    <cellStyle name="Output Report Heading 4" xfId="32299"/>
    <cellStyle name="Output Report Heading 4 2" xfId="32300"/>
    <cellStyle name="Output Report Title" xfId="32301"/>
    <cellStyle name="Output Report Title 2" xfId="32302"/>
    <cellStyle name="Output Report Title 2 2" xfId="32303"/>
    <cellStyle name="Output Report Title 2 3" xfId="32304"/>
    <cellStyle name="Output Report Title 2 4" xfId="32305"/>
    <cellStyle name="Output Report Title 3" xfId="32306"/>
    <cellStyle name="Output Report Title 3 2" xfId="32307"/>
    <cellStyle name="Output Report Title 4" xfId="32308"/>
    <cellStyle name="Output Report Title 4 2" xfId="32309"/>
    <cellStyle name="PanelHeading" xfId="304"/>
    <cellStyle name="Pattern_SUMMARY (2)" xfId="187"/>
    <cellStyle name="Percent" xfId="1" builtinId="5"/>
    <cellStyle name="Percent [2]" xfId="32310"/>
    <cellStyle name="Percent [2] 2" xfId="32311"/>
    <cellStyle name="Percent [2] 2 2" xfId="35852"/>
    <cellStyle name="Percent [2] 3" xfId="35851"/>
    <cellStyle name="Percent [2]_29(d) - Gas extensions -tariffs" xfId="35853"/>
    <cellStyle name="Percent 10" xfId="32312"/>
    <cellStyle name="Percent 10 2" xfId="32313"/>
    <cellStyle name="Percent 100" xfId="32314"/>
    <cellStyle name="Percent 100 2" xfId="32315"/>
    <cellStyle name="Percent 101" xfId="32316"/>
    <cellStyle name="Percent 101 2" xfId="32317"/>
    <cellStyle name="Percent 102" xfId="32318"/>
    <cellStyle name="Percent 102 2" xfId="32319"/>
    <cellStyle name="Percent 103" xfId="32320"/>
    <cellStyle name="Percent 103 2" xfId="32321"/>
    <cellStyle name="Percent 104" xfId="32322"/>
    <cellStyle name="Percent 104 2" xfId="32323"/>
    <cellStyle name="Percent 105" xfId="32324"/>
    <cellStyle name="Percent 105 2" xfId="32325"/>
    <cellStyle name="Percent 106" xfId="32326"/>
    <cellStyle name="Percent 106 2" xfId="32327"/>
    <cellStyle name="Percent 107" xfId="32328"/>
    <cellStyle name="Percent 108" xfId="32329"/>
    <cellStyle name="Percent 109" xfId="32330"/>
    <cellStyle name="Percent 11" xfId="32331"/>
    <cellStyle name="Percent 11 2" xfId="32332"/>
    <cellStyle name="Percent 110" xfId="32333"/>
    <cellStyle name="Percent 111" xfId="32334"/>
    <cellStyle name="Percent 112" xfId="32335"/>
    <cellStyle name="Percent 113" xfId="32336"/>
    <cellStyle name="Percent 114" xfId="32337"/>
    <cellStyle name="Percent 115" xfId="32338"/>
    <cellStyle name="Percent 116" xfId="32339"/>
    <cellStyle name="Percent 117" xfId="32340"/>
    <cellStyle name="Percent 118" xfId="32341"/>
    <cellStyle name="Percent 119" xfId="32342"/>
    <cellStyle name="Percent 12" xfId="32343"/>
    <cellStyle name="Percent 12 2" xfId="32344"/>
    <cellStyle name="Percent 12 2 2" xfId="36074"/>
    <cellStyle name="Percent 12 2 3" xfId="36073"/>
    <cellStyle name="Percent 12 3" xfId="36075"/>
    <cellStyle name="Percent 12 4" xfId="36076"/>
    <cellStyle name="Percent 12 5" xfId="36072"/>
    <cellStyle name="Percent 120" xfId="32345"/>
    <cellStyle name="Percent 121" xfId="32346"/>
    <cellStyle name="Percent 121 2" xfId="32347"/>
    <cellStyle name="Percent 122" xfId="32348"/>
    <cellStyle name="Percent 122 2" xfId="32349"/>
    <cellStyle name="Percent 123" xfId="32350"/>
    <cellStyle name="Percent 123 2" xfId="32351"/>
    <cellStyle name="Percent 124" xfId="32352"/>
    <cellStyle name="Percent 124 2" xfId="32353"/>
    <cellStyle name="Percent 125" xfId="32354"/>
    <cellStyle name="Percent 125 2" xfId="32355"/>
    <cellStyle name="Percent 126" xfId="32356"/>
    <cellStyle name="Percent 126 2" xfId="32357"/>
    <cellStyle name="Percent 127" xfId="32358"/>
    <cellStyle name="Percent 127 2" xfId="32359"/>
    <cellStyle name="Percent 128" xfId="32360"/>
    <cellStyle name="Percent 129" xfId="32361"/>
    <cellStyle name="Percent 13" xfId="32362"/>
    <cellStyle name="Percent 130" xfId="32363"/>
    <cellStyle name="Percent 131" xfId="32364"/>
    <cellStyle name="Percent 132" xfId="32365"/>
    <cellStyle name="Percent 132 2" xfId="32366"/>
    <cellStyle name="Percent 133" xfId="32367"/>
    <cellStyle name="Percent 133 2" xfId="32368"/>
    <cellStyle name="Percent 134" xfId="32369"/>
    <cellStyle name="Percent 134 2" xfId="32370"/>
    <cellStyle name="Percent 135" xfId="32371"/>
    <cellStyle name="Percent 135 2" xfId="32372"/>
    <cellStyle name="Percent 136" xfId="32373"/>
    <cellStyle name="Percent 136 2" xfId="32374"/>
    <cellStyle name="Percent 137" xfId="32375"/>
    <cellStyle name="Percent 137 2" xfId="32376"/>
    <cellStyle name="Percent 138" xfId="32377"/>
    <cellStyle name="Percent 138 2" xfId="32378"/>
    <cellStyle name="Percent 139" xfId="32379"/>
    <cellStyle name="Percent 139 2" xfId="32380"/>
    <cellStyle name="Percent 14" xfId="32381"/>
    <cellStyle name="Percent 14 2" xfId="32382"/>
    <cellStyle name="Percent 140" xfId="32383"/>
    <cellStyle name="Percent 140 2" xfId="32384"/>
    <cellStyle name="Percent 141" xfId="32385"/>
    <cellStyle name="Percent 141 2" xfId="32386"/>
    <cellStyle name="Percent 142" xfId="32387"/>
    <cellStyle name="Percent 142 2" xfId="32388"/>
    <cellStyle name="Percent 143" xfId="32389"/>
    <cellStyle name="Percent 143 2" xfId="32390"/>
    <cellStyle name="Percent 144" xfId="32391"/>
    <cellStyle name="Percent 144 2" xfId="32392"/>
    <cellStyle name="Percent 145" xfId="32393"/>
    <cellStyle name="Percent 145 2" xfId="32394"/>
    <cellStyle name="Percent 146" xfId="32395"/>
    <cellStyle name="Percent 146 2" xfId="32396"/>
    <cellStyle name="Percent 147" xfId="32397"/>
    <cellStyle name="Percent 147 2" xfId="32398"/>
    <cellStyle name="Percent 148" xfId="32399"/>
    <cellStyle name="Percent 148 2" xfId="32400"/>
    <cellStyle name="Percent 149" xfId="32401"/>
    <cellStyle name="Percent 149 2" xfId="32402"/>
    <cellStyle name="Percent 15" xfId="32403"/>
    <cellStyle name="Percent 150" xfId="32404"/>
    <cellStyle name="Percent 150 2" xfId="32405"/>
    <cellStyle name="Percent 151" xfId="32406"/>
    <cellStyle name="Percent 151 2" xfId="32407"/>
    <cellStyle name="Percent 152" xfId="32408"/>
    <cellStyle name="Percent 152 2" xfId="32409"/>
    <cellStyle name="Percent 153" xfId="32410"/>
    <cellStyle name="Percent 153 2" xfId="32411"/>
    <cellStyle name="Percent 154" xfId="32412"/>
    <cellStyle name="Percent 154 2" xfId="32413"/>
    <cellStyle name="Percent 155" xfId="32414"/>
    <cellStyle name="Percent 155 2" xfId="32415"/>
    <cellStyle name="Percent 156" xfId="32416"/>
    <cellStyle name="Percent 156 2" xfId="32417"/>
    <cellStyle name="Percent 157" xfId="32418"/>
    <cellStyle name="Percent 157 2" xfId="32419"/>
    <cellStyle name="Percent 158" xfId="32420"/>
    <cellStyle name="Percent 158 2" xfId="32421"/>
    <cellStyle name="Percent 159" xfId="32422"/>
    <cellStyle name="Percent 159 2" xfId="32423"/>
    <cellStyle name="Percent 16" xfId="32424"/>
    <cellStyle name="Percent 160" xfId="32425"/>
    <cellStyle name="Percent 160 2" xfId="32426"/>
    <cellStyle name="Percent 161" xfId="32427"/>
    <cellStyle name="Percent 161 2" xfId="32428"/>
    <cellStyle name="Percent 162" xfId="32429"/>
    <cellStyle name="Percent 162 2" xfId="32430"/>
    <cellStyle name="Percent 163" xfId="32431"/>
    <cellStyle name="Percent 163 2" xfId="32432"/>
    <cellStyle name="Percent 164" xfId="32433"/>
    <cellStyle name="Percent 164 2" xfId="32434"/>
    <cellStyle name="Percent 165" xfId="32435"/>
    <cellStyle name="Percent 165 2" xfId="32436"/>
    <cellStyle name="Percent 166" xfId="32437"/>
    <cellStyle name="Percent 166 2" xfId="32438"/>
    <cellStyle name="Percent 167" xfId="32439"/>
    <cellStyle name="Percent 167 2" xfId="32440"/>
    <cellStyle name="Percent 168" xfId="32441"/>
    <cellStyle name="Percent 168 2" xfId="32442"/>
    <cellStyle name="Percent 169" xfId="32443"/>
    <cellStyle name="Percent 169 2" xfId="32444"/>
    <cellStyle name="Percent 17" xfId="32445"/>
    <cellStyle name="Percent 170" xfId="32446"/>
    <cellStyle name="Percent 170 2" xfId="32447"/>
    <cellStyle name="Percent 171" xfId="32448"/>
    <cellStyle name="Percent 171 2" xfId="32449"/>
    <cellStyle name="Percent 172" xfId="32450"/>
    <cellStyle name="Percent 172 2" xfId="32451"/>
    <cellStyle name="Percent 173" xfId="32452"/>
    <cellStyle name="Percent 173 2" xfId="32453"/>
    <cellStyle name="Percent 174" xfId="32454"/>
    <cellStyle name="Percent 174 2" xfId="32455"/>
    <cellStyle name="Percent 175" xfId="32456"/>
    <cellStyle name="Percent 175 2" xfId="32457"/>
    <cellStyle name="Percent 176" xfId="32458"/>
    <cellStyle name="Percent 176 2" xfId="32459"/>
    <cellStyle name="Percent 177" xfId="32460"/>
    <cellStyle name="Percent 177 2" xfId="32461"/>
    <cellStyle name="Percent 178" xfId="32462"/>
    <cellStyle name="Percent 178 2" xfId="32463"/>
    <cellStyle name="Percent 179" xfId="32464"/>
    <cellStyle name="Percent 179 2" xfId="32465"/>
    <cellStyle name="Percent 18" xfId="32466"/>
    <cellStyle name="Percent 180" xfId="32467"/>
    <cellStyle name="Percent 180 2" xfId="32468"/>
    <cellStyle name="Percent 181" xfId="32469"/>
    <cellStyle name="Percent 181 2" xfId="32470"/>
    <cellStyle name="Percent 182" xfId="32471"/>
    <cellStyle name="Percent 182 2" xfId="32472"/>
    <cellStyle name="Percent 183" xfId="32473"/>
    <cellStyle name="Percent 183 2" xfId="32474"/>
    <cellStyle name="Percent 184" xfId="32475"/>
    <cellStyle name="Percent 184 2" xfId="32476"/>
    <cellStyle name="Percent 185" xfId="32477"/>
    <cellStyle name="Percent 185 2" xfId="32478"/>
    <cellStyle name="Percent 186" xfId="32479"/>
    <cellStyle name="Percent 186 2" xfId="32480"/>
    <cellStyle name="Percent 187" xfId="32481"/>
    <cellStyle name="Percent 187 2" xfId="32482"/>
    <cellStyle name="Percent 188" xfId="32483"/>
    <cellStyle name="Percent 188 2" xfId="32484"/>
    <cellStyle name="Percent 189" xfId="32485"/>
    <cellStyle name="Percent 189 2" xfId="32486"/>
    <cellStyle name="Percent 19" xfId="32487"/>
    <cellStyle name="Percent 19 2" xfId="32488"/>
    <cellStyle name="Percent 190" xfId="32489"/>
    <cellStyle name="Percent 190 2" xfId="32490"/>
    <cellStyle name="Percent 191" xfId="32491"/>
    <cellStyle name="Percent 191 2" xfId="32492"/>
    <cellStyle name="Percent 192" xfId="32493"/>
    <cellStyle name="Percent 192 2" xfId="32494"/>
    <cellStyle name="Percent 193" xfId="32495"/>
    <cellStyle name="Percent 193 2" xfId="32496"/>
    <cellStyle name="Percent 194" xfId="32497"/>
    <cellStyle name="Percent 194 2" xfId="32498"/>
    <cellStyle name="Percent 195" xfId="32499"/>
    <cellStyle name="Percent 195 2" xfId="32500"/>
    <cellStyle name="Percent 196" xfId="32501"/>
    <cellStyle name="Percent 196 2" xfId="32502"/>
    <cellStyle name="Percent 197" xfId="32503"/>
    <cellStyle name="Percent 197 2" xfId="32504"/>
    <cellStyle name="Percent 198" xfId="32505"/>
    <cellStyle name="Percent 198 2" xfId="32506"/>
    <cellStyle name="Percent 199" xfId="32507"/>
    <cellStyle name="Percent 199 2" xfId="32508"/>
    <cellStyle name="Percent 2" xfId="74"/>
    <cellStyle name="Percent 2 2" xfId="189"/>
    <cellStyle name="Percent 2 2 2" xfId="190"/>
    <cellStyle name="Percent 2 2 2 2" xfId="332"/>
    <cellStyle name="Percent 2 2 2 2 2" xfId="413"/>
    <cellStyle name="Percent 2 2 2 2 3" xfId="36077"/>
    <cellStyle name="Percent 2 2 2 3" xfId="353"/>
    <cellStyle name="Percent 2 2 2 3 2" xfId="434"/>
    <cellStyle name="Percent 2 2 2 4" xfId="376"/>
    <cellStyle name="Percent 2 2 3" xfId="32510"/>
    <cellStyle name="Percent 2 2 3 2" xfId="32511"/>
    <cellStyle name="Percent 2 2 3 2 2" xfId="32512"/>
    <cellStyle name="Percent 2 2 3 2 2 2" xfId="32513"/>
    <cellStyle name="Percent 2 2 3 2 3" xfId="32514"/>
    <cellStyle name="Percent 2 2 3 2 4" xfId="32515"/>
    <cellStyle name="Percent 2 2 3 3" xfId="36078"/>
    <cellStyle name="Percent 2 2 3 4" xfId="36079"/>
    <cellStyle name="Percent 2 2 4" xfId="32516"/>
    <cellStyle name="Percent 2 2 5" xfId="32509"/>
    <cellStyle name="Percent 2 3" xfId="191"/>
    <cellStyle name="Percent 2 3 2" xfId="305"/>
    <cellStyle name="Percent 2 3 2 2" xfId="396"/>
    <cellStyle name="Percent 2 3 2 2 2" xfId="32518"/>
    <cellStyle name="Percent 2 3 2 3" xfId="32519"/>
    <cellStyle name="Percent 2 3 2 4" xfId="32520"/>
    <cellStyle name="Percent 2 3 3" xfId="354"/>
    <cellStyle name="Percent 2 3 3 2" xfId="435"/>
    <cellStyle name="Percent 2 3 3 2 2" xfId="32521"/>
    <cellStyle name="Percent 2 3 3 3" xfId="32522"/>
    <cellStyle name="Percent 2 3 3 4" xfId="32523"/>
    <cellStyle name="Percent 2 3 4" xfId="377"/>
    <cellStyle name="Percent 2 3 5" xfId="32517"/>
    <cellStyle name="Percent 2 4" xfId="306"/>
    <cellStyle name="Percent 2 4 2" xfId="397"/>
    <cellStyle name="Percent 2 4 2 2" xfId="32524"/>
    <cellStyle name="Percent 2 4 2 2 2" xfId="32525"/>
    <cellStyle name="Percent 2 4 2 3" xfId="32526"/>
    <cellStyle name="Percent 2 4 2 4" xfId="32527"/>
    <cellStyle name="Percent 2 4 3" xfId="32528"/>
    <cellStyle name="Percent 2 4 3 2" xfId="32529"/>
    <cellStyle name="Percent 2 4 3 2 2" xfId="32530"/>
    <cellStyle name="Percent 2 4 3 3" xfId="32531"/>
    <cellStyle name="Percent 2 4 3 4" xfId="32532"/>
    <cellStyle name="Percent 2 4 4" xfId="32533"/>
    <cellStyle name="Percent 2 4 4 2" xfId="32534"/>
    <cellStyle name="Percent 2 4 4 2 2" xfId="32535"/>
    <cellStyle name="Percent 2 4 4 3" xfId="32536"/>
    <cellStyle name="Percent 2 4 4 4" xfId="32537"/>
    <cellStyle name="Percent 2 5" xfId="32538"/>
    <cellStyle name="Percent 2 5 2" xfId="32539"/>
    <cellStyle name="Percent 2 5 2 2" xfId="32540"/>
    <cellStyle name="Percent 2 5 3" xfId="32541"/>
    <cellStyle name="Percent 2 5 4" xfId="32542"/>
    <cellStyle name="Percent 2 6" xfId="32543"/>
    <cellStyle name="Percent 2 6 2" xfId="32544"/>
    <cellStyle name="Percent 2 6 2 2" xfId="32545"/>
    <cellStyle name="Percent 2 6 3" xfId="32546"/>
    <cellStyle name="Percent 2 6 4" xfId="32547"/>
    <cellStyle name="Percent 20" xfId="32548"/>
    <cellStyle name="Percent 20 2" xfId="32549"/>
    <cellStyle name="Percent 200" xfId="32550"/>
    <cellStyle name="Percent 200 2" xfId="32551"/>
    <cellStyle name="Percent 201" xfId="32552"/>
    <cellStyle name="Percent 201 2" xfId="32553"/>
    <cellStyle name="Percent 202" xfId="32554"/>
    <cellStyle name="Percent 202 2" xfId="32555"/>
    <cellStyle name="Percent 203" xfId="32556"/>
    <cellStyle name="Percent 203 2" xfId="32557"/>
    <cellStyle name="Percent 204" xfId="32558"/>
    <cellStyle name="Percent 204 2" xfId="32559"/>
    <cellStyle name="Percent 205" xfId="32560"/>
    <cellStyle name="Percent 205 2" xfId="32561"/>
    <cellStyle name="Percent 206" xfId="32562"/>
    <cellStyle name="Percent 206 2" xfId="32563"/>
    <cellStyle name="Percent 207" xfId="32564"/>
    <cellStyle name="Percent 207 2" xfId="32565"/>
    <cellStyle name="Percent 208" xfId="32566"/>
    <cellStyle name="Percent 208 2" xfId="32567"/>
    <cellStyle name="Percent 209" xfId="32568"/>
    <cellStyle name="Percent 209 2" xfId="32569"/>
    <cellStyle name="Percent 21" xfId="32570"/>
    <cellStyle name="Percent 21 2" xfId="32571"/>
    <cellStyle name="Percent 210" xfId="32572"/>
    <cellStyle name="Percent 210 2" xfId="32573"/>
    <cellStyle name="Percent 211" xfId="32574"/>
    <cellStyle name="Percent 212" xfId="32575"/>
    <cellStyle name="Percent 212 2" xfId="32576"/>
    <cellStyle name="Percent 213" xfId="32577"/>
    <cellStyle name="Percent 213 2" xfId="32578"/>
    <cellStyle name="Percent 214" xfId="32579"/>
    <cellStyle name="Percent 214 2" xfId="32580"/>
    <cellStyle name="Percent 215" xfId="32581"/>
    <cellStyle name="Percent 215 2" xfId="32582"/>
    <cellStyle name="Percent 216" xfId="32583"/>
    <cellStyle name="Percent 216 2" xfId="32584"/>
    <cellStyle name="Percent 217" xfId="32585"/>
    <cellStyle name="Percent 217 2" xfId="32586"/>
    <cellStyle name="Percent 217 2 2" xfId="32587"/>
    <cellStyle name="Percent 217 2 2 2" xfId="32588"/>
    <cellStyle name="Percent 217 2 2 2 2" xfId="32589"/>
    <cellStyle name="Percent 217 2 2 3" xfId="32590"/>
    <cellStyle name="Percent 217 2 2 4" xfId="32591"/>
    <cellStyle name="Percent 217 2 3" xfId="32592"/>
    <cellStyle name="Percent 217 2 3 2" xfId="32593"/>
    <cellStyle name="Percent 217 2 4" xfId="32594"/>
    <cellStyle name="Percent 217 2 5" xfId="32595"/>
    <cellStyle name="Percent 217 3" xfId="32596"/>
    <cellStyle name="Percent 217 3 2" xfId="32597"/>
    <cellStyle name="Percent 217 3 2 2" xfId="32598"/>
    <cellStyle name="Percent 217 3 3" xfId="32599"/>
    <cellStyle name="Percent 217 3 4" xfId="32600"/>
    <cellStyle name="Percent 217 4" xfId="32601"/>
    <cellStyle name="Percent 217 5" xfId="32602"/>
    <cellStyle name="Percent 217 5 2" xfId="32603"/>
    <cellStyle name="Percent 217 6" xfId="32604"/>
    <cellStyle name="Percent 217 7" xfId="32605"/>
    <cellStyle name="Percent 218" xfId="32606"/>
    <cellStyle name="Percent 218 2" xfId="32607"/>
    <cellStyle name="Percent 218 2 2" xfId="32608"/>
    <cellStyle name="Percent 218 2 2 2" xfId="32609"/>
    <cellStyle name="Percent 218 2 2 2 2" xfId="32610"/>
    <cellStyle name="Percent 218 2 2 3" xfId="32611"/>
    <cellStyle name="Percent 218 2 2 4" xfId="32612"/>
    <cellStyle name="Percent 218 2 3" xfId="32613"/>
    <cellStyle name="Percent 218 2 3 2" xfId="32614"/>
    <cellStyle name="Percent 218 2 4" xfId="32615"/>
    <cellStyle name="Percent 218 2 5" xfId="32616"/>
    <cellStyle name="Percent 218 3" xfId="32617"/>
    <cellStyle name="Percent 218 3 2" xfId="32618"/>
    <cellStyle name="Percent 218 3 2 2" xfId="32619"/>
    <cellStyle name="Percent 218 3 3" xfId="32620"/>
    <cellStyle name="Percent 218 3 4" xfId="32621"/>
    <cellStyle name="Percent 218 4" xfId="32622"/>
    <cellStyle name="Percent 218 5" xfId="32623"/>
    <cellStyle name="Percent 218 5 2" xfId="32624"/>
    <cellStyle name="Percent 218 6" xfId="32625"/>
    <cellStyle name="Percent 218 7" xfId="32626"/>
    <cellStyle name="Percent 219" xfId="32627"/>
    <cellStyle name="Percent 219 2" xfId="32628"/>
    <cellStyle name="Percent 219 2 2" xfId="32629"/>
    <cellStyle name="Percent 219 2 2 2" xfId="32630"/>
    <cellStyle name="Percent 219 2 2 2 2" xfId="32631"/>
    <cellStyle name="Percent 219 2 2 3" xfId="32632"/>
    <cellStyle name="Percent 219 2 2 4" xfId="32633"/>
    <cellStyle name="Percent 219 2 3" xfId="32634"/>
    <cellStyle name="Percent 219 2 3 2" xfId="32635"/>
    <cellStyle name="Percent 219 2 4" xfId="32636"/>
    <cellStyle name="Percent 219 2 5" xfId="32637"/>
    <cellStyle name="Percent 219 3" xfId="32638"/>
    <cellStyle name="Percent 219 3 2" xfId="32639"/>
    <cellStyle name="Percent 219 3 2 2" xfId="32640"/>
    <cellStyle name="Percent 219 3 3" xfId="32641"/>
    <cellStyle name="Percent 219 3 4" xfId="32642"/>
    <cellStyle name="Percent 219 4" xfId="32643"/>
    <cellStyle name="Percent 219 5" xfId="32644"/>
    <cellStyle name="Percent 219 5 2" xfId="32645"/>
    <cellStyle name="Percent 219 6" xfId="32646"/>
    <cellStyle name="Percent 219 7" xfId="32647"/>
    <cellStyle name="Percent 22" xfId="32648"/>
    <cellStyle name="Percent 22 2" xfId="32649"/>
    <cellStyle name="Percent 22 2 2" xfId="32650"/>
    <cellStyle name="Percent 22 3" xfId="32651"/>
    <cellStyle name="Percent 220" xfId="32652"/>
    <cellStyle name="Percent 220 2" xfId="32653"/>
    <cellStyle name="Percent 220 2 2" xfId="32654"/>
    <cellStyle name="Percent 220 2 2 2" xfId="32655"/>
    <cellStyle name="Percent 220 2 2 2 2" xfId="32656"/>
    <cellStyle name="Percent 220 2 2 3" xfId="32657"/>
    <cellStyle name="Percent 220 2 2 4" xfId="32658"/>
    <cellStyle name="Percent 220 2 3" xfId="32659"/>
    <cellStyle name="Percent 220 2 3 2" xfId="32660"/>
    <cellStyle name="Percent 220 2 4" xfId="32661"/>
    <cellStyle name="Percent 220 2 5" xfId="32662"/>
    <cellStyle name="Percent 220 3" xfId="32663"/>
    <cellStyle name="Percent 220 3 2" xfId="32664"/>
    <cellStyle name="Percent 220 3 2 2" xfId="32665"/>
    <cellStyle name="Percent 220 3 3" xfId="32666"/>
    <cellStyle name="Percent 220 3 4" xfId="32667"/>
    <cellStyle name="Percent 220 4" xfId="32668"/>
    <cellStyle name="Percent 220 5" xfId="32669"/>
    <cellStyle name="Percent 220 5 2" xfId="32670"/>
    <cellStyle name="Percent 220 6" xfId="32671"/>
    <cellStyle name="Percent 220 7" xfId="32672"/>
    <cellStyle name="Percent 221" xfId="32673"/>
    <cellStyle name="Percent 221 2" xfId="32674"/>
    <cellStyle name="Percent 221 2 2" xfId="32675"/>
    <cellStyle name="Percent 221 2 2 2" xfId="32676"/>
    <cellStyle name="Percent 221 2 2 2 2" xfId="32677"/>
    <cellStyle name="Percent 221 2 2 3" xfId="32678"/>
    <cellStyle name="Percent 221 2 2 4" xfId="32679"/>
    <cellStyle name="Percent 221 2 3" xfId="32680"/>
    <cellStyle name="Percent 221 2 3 2" xfId="32681"/>
    <cellStyle name="Percent 221 2 4" xfId="32682"/>
    <cellStyle name="Percent 221 2 5" xfId="32683"/>
    <cellStyle name="Percent 221 3" xfId="32684"/>
    <cellStyle name="Percent 221 3 2" xfId="32685"/>
    <cellStyle name="Percent 221 3 2 2" xfId="32686"/>
    <cellStyle name="Percent 221 3 3" xfId="32687"/>
    <cellStyle name="Percent 221 3 4" xfId="32688"/>
    <cellStyle name="Percent 221 4" xfId="32689"/>
    <cellStyle name="Percent 221 5" xfId="32690"/>
    <cellStyle name="Percent 221 5 2" xfId="32691"/>
    <cellStyle name="Percent 221 6" xfId="32692"/>
    <cellStyle name="Percent 221 7" xfId="32693"/>
    <cellStyle name="Percent 222" xfId="32694"/>
    <cellStyle name="Percent 222 2" xfId="32695"/>
    <cellStyle name="Percent 222 2 2" xfId="32696"/>
    <cellStyle name="Percent 222 2 2 2" xfId="32697"/>
    <cellStyle name="Percent 222 2 2 2 2" xfId="32698"/>
    <cellStyle name="Percent 222 2 2 3" xfId="32699"/>
    <cellStyle name="Percent 222 2 2 4" xfId="32700"/>
    <cellStyle name="Percent 222 2 3" xfId="32701"/>
    <cellStyle name="Percent 222 2 3 2" xfId="32702"/>
    <cellStyle name="Percent 222 2 4" xfId="32703"/>
    <cellStyle name="Percent 222 2 5" xfId="32704"/>
    <cellStyle name="Percent 222 3" xfId="32705"/>
    <cellStyle name="Percent 222 3 2" xfId="32706"/>
    <cellStyle name="Percent 222 3 2 2" xfId="32707"/>
    <cellStyle name="Percent 222 3 3" xfId="32708"/>
    <cellStyle name="Percent 222 3 4" xfId="32709"/>
    <cellStyle name="Percent 222 4" xfId="32710"/>
    <cellStyle name="Percent 222 5" xfId="32711"/>
    <cellStyle name="Percent 222 5 2" xfId="32712"/>
    <cellStyle name="Percent 222 6" xfId="32713"/>
    <cellStyle name="Percent 222 7" xfId="32714"/>
    <cellStyle name="Percent 223" xfId="32715"/>
    <cellStyle name="Percent 223 2" xfId="32716"/>
    <cellStyle name="Percent 223 2 2" xfId="32717"/>
    <cellStyle name="Percent 223 2 2 2" xfId="32718"/>
    <cellStyle name="Percent 223 2 2 2 2" xfId="32719"/>
    <cellStyle name="Percent 223 2 2 3" xfId="32720"/>
    <cellStyle name="Percent 223 2 2 4" xfId="32721"/>
    <cellStyle name="Percent 223 2 3" xfId="32722"/>
    <cellStyle name="Percent 223 2 3 2" xfId="32723"/>
    <cellStyle name="Percent 223 2 4" xfId="32724"/>
    <cellStyle name="Percent 223 2 5" xfId="32725"/>
    <cellStyle name="Percent 223 3" xfId="32726"/>
    <cellStyle name="Percent 223 3 2" xfId="32727"/>
    <cellStyle name="Percent 223 3 2 2" xfId="32728"/>
    <cellStyle name="Percent 223 3 3" xfId="32729"/>
    <cellStyle name="Percent 223 3 4" xfId="32730"/>
    <cellStyle name="Percent 223 4" xfId="32731"/>
    <cellStyle name="Percent 223 5" xfId="32732"/>
    <cellStyle name="Percent 223 5 2" xfId="32733"/>
    <cellStyle name="Percent 223 6" xfId="32734"/>
    <cellStyle name="Percent 223 7" xfId="32735"/>
    <cellStyle name="Percent 224" xfId="32736"/>
    <cellStyle name="Percent 224 2" xfId="32737"/>
    <cellStyle name="Percent 224 2 2" xfId="32738"/>
    <cellStyle name="Percent 224 2 2 2" xfId="32739"/>
    <cellStyle name="Percent 224 2 2 2 2" xfId="32740"/>
    <cellStyle name="Percent 224 2 2 3" xfId="32741"/>
    <cellStyle name="Percent 224 2 2 4" xfId="32742"/>
    <cellStyle name="Percent 224 2 3" xfId="32743"/>
    <cellStyle name="Percent 224 2 3 2" xfId="32744"/>
    <cellStyle name="Percent 224 2 4" xfId="32745"/>
    <cellStyle name="Percent 224 2 5" xfId="32746"/>
    <cellStyle name="Percent 224 3" xfId="32747"/>
    <cellStyle name="Percent 224 3 2" xfId="32748"/>
    <cellStyle name="Percent 224 3 2 2" xfId="32749"/>
    <cellStyle name="Percent 224 3 3" xfId="32750"/>
    <cellStyle name="Percent 224 3 4" xfId="32751"/>
    <cellStyle name="Percent 224 4" xfId="32752"/>
    <cellStyle name="Percent 224 5" xfId="32753"/>
    <cellStyle name="Percent 224 5 2" xfId="32754"/>
    <cellStyle name="Percent 224 6" xfId="32755"/>
    <cellStyle name="Percent 224 7" xfId="32756"/>
    <cellStyle name="Percent 225" xfId="32757"/>
    <cellStyle name="Percent 225 2" xfId="32758"/>
    <cellStyle name="Percent 225 2 2" xfId="32759"/>
    <cellStyle name="Percent 225 2 2 2" xfId="32760"/>
    <cellStyle name="Percent 225 2 2 2 2" xfId="32761"/>
    <cellStyle name="Percent 225 2 2 3" xfId="32762"/>
    <cellStyle name="Percent 225 2 2 4" xfId="32763"/>
    <cellStyle name="Percent 225 2 3" xfId="32764"/>
    <cellStyle name="Percent 225 2 3 2" xfId="32765"/>
    <cellStyle name="Percent 225 2 4" xfId="32766"/>
    <cellStyle name="Percent 225 2 5" xfId="32767"/>
    <cellStyle name="Percent 225 3" xfId="32768"/>
    <cellStyle name="Percent 225 3 2" xfId="32769"/>
    <cellStyle name="Percent 225 3 2 2" xfId="32770"/>
    <cellStyle name="Percent 225 3 3" xfId="32771"/>
    <cellStyle name="Percent 225 3 4" xfId="32772"/>
    <cellStyle name="Percent 225 4" xfId="32773"/>
    <cellStyle name="Percent 225 5" xfId="32774"/>
    <cellStyle name="Percent 225 5 2" xfId="32775"/>
    <cellStyle name="Percent 225 6" xfId="32776"/>
    <cellStyle name="Percent 225 7" xfId="32777"/>
    <cellStyle name="Percent 226" xfId="32778"/>
    <cellStyle name="Percent 226 2" xfId="32779"/>
    <cellStyle name="Percent 226 2 2" xfId="32780"/>
    <cellStyle name="Percent 226 2 2 2" xfId="32781"/>
    <cellStyle name="Percent 226 2 2 2 2" xfId="32782"/>
    <cellStyle name="Percent 226 2 2 3" xfId="32783"/>
    <cellStyle name="Percent 226 2 2 4" xfId="32784"/>
    <cellStyle name="Percent 226 2 3" xfId="32785"/>
    <cellStyle name="Percent 226 2 3 2" xfId="32786"/>
    <cellStyle name="Percent 226 2 4" xfId="32787"/>
    <cellStyle name="Percent 226 2 5" xfId="32788"/>
    <cellStyle name="Percent 226 3" xfId="32789"/>
    <cellStyle name="Percent 226 3 2" xfId="32790"/>
    <cellStyle name="Percent 226 3 2 2" xfId="32791"/>
    <cellStyle name="Percent 226 3 3" xfId="32792"/>
    <cellStyle name="Percent 226 3 4" xfId="32793"/>
    <cellStyle name="Percent 226 4" xfId="32794"/>
    <cellStyle name="Percent 226 5" xfId="32795"/>
    <cellStyle name="Percent 226 5 2" xfId="32796"/>
    <cellStyle name="Percent 226 6" xfId="32797"/>
    <cellStyle name="Percent 226 7" xfId="32798"/>
    <cellStyle name="Percent 227" xfId="32799"/>
    <cellStyle name="Percent 228" xfId="32800"/>
    <cellStyle name="Percent 229" xfId="32801"/>
    <cellStyle name="Percent 23" xfId="32802"/>
    <cellStyle name="Percent 23 2" xfId="32803"/>
    <cellStyle name="Percent 23 2 2" xfId="32804"/>
    <cellStyle name="Percent 23 3" xfId="32805"/>
    <cellStyle name="Percent 230" xfId="32806"/>
    <cellStyle name="Percent 231" xfId="32807"/>
    <cellStyle name="Percent 232" xfId="32808"/>
    <cellStyle name="Percent 233" xfId="32809"/>
    <cellStyle name="Percent 233 2" xfId="32810"/>
    <cellStyle name="Percent 234" xfId="32811"/>
    <cellStyle name="Percent 234 2" xfId="32812"/>
    <cellStyle name="Percent 235" xfId="32813"/>
    <cellStyle name="Percent 235 2" xfId="32814"/>
    <cellStyle name="Percent 236" xfId="32815"/>
    <cellStyle name="Percent 236 2" xfId="32816"/>
    <cellStyle name="Percent 237" xfId="32817"/>
    <cellStyle name="Percent 237 2" xfId="32818"/>
    <cellStyle name="Percent 238" xfId="32819"/>
    <cellStyle name="Percent 238 2" xfId="32820"/>
    <cellStyle name="Percent 239" xfId="32821"/>
    <cellStyle name="Percent 239 2" xfId="32822"/>
    <cellStyle name="Percent 24" xfId="32823"/>
    <cellStyle name="Percent 24 2" xfId="32824"/>
    <cellStyle name="Percent 24 2 2" xfId="32825"/>
    <cellStyle name="Percent 24 3" xfId="32826"/>
    <cellStyle name="Percent 240" xfId="32827"/>
    <cellStyle name="Percent 240 2" xfId="32828"/>
    <cellStyle name="Percent 240 2 2" xfId="32829"/>
    <cellStyle name="Percent 240 2 2 2" xfId="32830"/>
    <cellStyle name="Percent 240 2 3" xfId="32831"/>
    <cellStyle name="Percent 240 2 4" xfId="32832"/>
    <cellStyle name="Percent 240 3" xfId="32833"/>
    <cellStyle name="Percent 240 4" xfId="32834"/>
    <cellStyle name="Percent 240 4 2" xfId="32835"/>
    <cellStyle name="Percent 240 5" xfId="32836"/>
    <cellStyle name="Percent 240 6" xfId="32837"/>
    <cellStyle name="Percent 241" xfId="32838"/>
    <cellStyle name="Percent 241 2" xfId="32839"/>
    <cellStyle name="Percent 241 2 2" xfId="32840"/>
    <cellStyle name="Percent 241 2 2 2" xfId="32841"/>
    <cellStyle name="Percent 241 2 3" xfId="32842"/>
    <cellStyle name="Percent 241 2 4" xfId="32843"/>
    <cellStyle name="Percent 241 3" xfId="32844"/>
    <cellStyle name="Percent 241 4" xfId="32845"/>
    <cellStyle name="Percent 241 4 2" xfId="32846"/>
    <cellStyle name="Percent 241 5" xfId="32847"/>
    <cellStyle name="Percent 241 6" xfId="32848"/>
    <cellStyle name="Percent 242" xfId="32849"/>
    <cellStyle name="Percent 242 2" xfId="32850"/>
    <cellStyle name="Percent 242 2 2" xfId="32851"/>
    <cellStyle name="Percent 242 2 2 2" xfId="32852"/>
    <cellStyle name="Percent 242 2 3" xfId="32853"/>
    <cellStyle name="Percent 242 2 4" xfId="32854"/>
    <cellStyle name="Percent 242 3" xfId="32855"/>
    <cellStyle name="Percent 242 4" xfId="32856"/>
    <cellStyle name="Percent 242 4 2" xfId="32857"/>
    <cellStyle name="Percent 242 5" xfId="32858"/>
    <cellStyle name="Percent 242 6" xfId="32859"/>
    <cellStyle name="Percent 243" xfId="32860"/>
    <cellStyle name="Percent 243 2" xfId="32861"/>
    <cellStyle name="Percent 243 2 2" xfId="32862"/>
    <cellStyle name="Percent 243 2 2 2" xfId="32863"/>
    <cellStyle name="Percent 243 2 3" xfId="32864"/>
    <cellStyle name="Percent 243 2 4" xfId="32865"/>
    <cellStyle name="Percent 243 3" xfId="32866"/>
    <cellStyle name="Percent 243 4" xfId="32867"/>
    <cellStyle name="Percent 243 4 2" xfId="32868"/>
    <cellStyle name="Percent 243 5" xfId="32869"/>
    <cellStyle name="Percent 243 6" xfId="32870"/>
    <cellStyle name="Percent 244" xfId="32871"/>
    <cellStyle name="Percent 244 2" xfId="32872"/>
    <cellStyle name="Percent 244 2 2" xfId="32873"/>
    <cellStyle name="Percent 244 2 2 2" xfId="32874"/>
    <cellStyle name="Percent 244 2 3" xfId="32875"/>
    <cellStyle name="Percent 244 2 4" xfId="32876"/>
    <cellStyle name="Percent 244 3" xfId="32877"/>
    <cellStyle name="Percent 244 4" xfId="32878"/>
    <cellStyle name="Percent 244 4 2" xfId="32879"/>
    <cellStyle name="Percent 244 5" xfId="32880"/>
    <cellStyle name="Percent 244 6" xfId="32881"/>
    <cellStyle name="Percent 245" xfId="32882"/>
    <cellStyle name="Percent 245 2" xfId="32883"/>
    <cellStyle name="Percent 245 2 2" xfId="32884"/>
    <cellStyle name="Percent 245 2 2 2" xfId="32885"/>
    <cellStyle name="Percent 245 2 3" xfId="32886"/>
    <cellStyle name="Percent 245 2 4" xfId="32887"/>
    <cellStyle name="Percent 245 3" xfId="32888"/>
    <cellStyle name="Percent 245 3 2" xfId="32889"/>
    <cellStyle name="Percent 245 4" xfId="32890"/>
    <cellStyle name="Percent 245 5" xfId="32891"/>
    <cellStyle name="Percent 246" xfId="32892"/>
    <cellStyle name="Percent 246 2" xfId="32893"/>
    <cellStyle name="Percent 246 2 2" xfId="32894"/>
    <cellStyle name="Percent 246 2 2 2" xfId="32895"/>
    <cellStyle name="Percent 246 2 3" xfId="32896"/>
    <cellStyle name="Percent 246 2 4" xfId="32897"/>
    <cellStyle name="Percent 246 3" xfId="32898"/>
    <cellStyle name="Percent 246 3 2" xfId="32899"/>
    <cellStyle name="Percent 246 4" xfId="32900"/>
    <cellStyle name="Percent 246 5" xfId="32901"/>
    <cellStyle name="Percent 247" xfId="32902"/>
    <cellStyle name="Percent 247 2" xfId="32903"/>
    <cellStyle name="Percent 247 2 2" xfId="32904"/>
    <cellStyle name="Percent 247 2 2 2" xfId="32905"/>
    <cellStyle name="Percent 247 2 3" xfId="32906"/>
    <cellStyle name="Percent 247 2 4" xfId="32907"/>
    <cellStyle name="Percent 247 3" xfId="32908"/>
    <cellStyle name="Percent 247 3 2" xfId="32909"/>
    <cellStyle name="Percent 247 4" xfId="32910"/>
    <cellStyle name="Percent 247 5" xfId="32911"/>
    <cellStyle name="Percent 248" xfId="32912"/>
    <cellStyle name="Percent 248 2" xfId="32913"/>
    <cellStyle name="Percent 248 2 2" xfId="32914"/>
    <cellStyle name="Percent 248 2 2 2" xfId="32915"/>
    <cellStyle name="Percent 248 2 3" xfId="32916"/>
    <cellStyle name="Percent 248 2 4" xfId="32917"/>
    <cellStyle name="Percent 248 3" xfId="32918"/>
    <cellStyle name="Percent 248 3 2" xfId="32919"/>
    <cellStyle name="Percent 248 4" xfId="32920"/>
    <cellStyle name="Percent 248 5" xfId="32921"/>
    <cellStyle name="Percent 249" xfId="32922"/>
    <cellStyle name="Percent 249 2" xfId="32923"/>
    <cellStyle name="Percent 249 2 2" xfId="32924"/>
    <cellStyle name="Percent 249 2 2 2" xfId="32925"/>
    <cellStyle name="Percent 249 2 3" xfId="32926"/>
    <cellStyle name="Percent 249 2 4" xfId="32927"/>
    <cellStyle name="Percent 249 3" xfId="32928"/>
    <cellStyle name="Percent 249 3 2" xfId="32929"/>
    <cellStyle name="Percent 249 4" xfId="32930"/>
    <cellStyle name="Percent 249 5" xfId="32931"/>
    <cellStyle name="Percent 25" xfId="32932"/>
    <cellStyle name="Percent 25 2" xfId="32933"/>
    <cellStyle name="Percent 25 2 2" xfId="32934"/>
    <cellStyle name="Percent 25 3" xfId="32935"/>
    <cellStyle name="Percent 250" xfId="32936"/>
    <cellStyle name="Percent 250 2" xfId="32937"/>
    <cellStyle name="Percent 250 2 2" xfId="32938"/>
    <cellStyle name="Percent 250 2 2 2" xfId="32939"/>
    <cellStyle name="Percent 250 2 3" xfId="32940"/>
    <cellStyle name="Percent 250 2 4" xfId="32941"/>
    <cellStyle name="Percent 250 3" xfId="32942"/>
    <cellStyle name="Percent 250 3 2" xfId="32943"/>
    <cellStyle name="Percent 250 4" xfId="32944"/>
    <cellStyle name="Percent 250 5" xfId="32945"/>
    <cellStyle name="Percent 251" xfId="32946"/>
    <cellStyle name="Percent 251 2" xfId="32947"/>
    <cellStyle name="Percent 251 2 2" xfId="32948"/>
    <cellStyle name="Percent 251 2 2 2" xfId="32949"/>
    <cellStyle name="Percent 251 2 3" xfId="32950"/>
    <cellStyle name="Percent 251 2 4" xfId="32951"/>
    <cellStyle name="Percent 251 3" xfId="32952"/>
    <cellStyle name="Percent 251 3 2" xfId="32953"/>
    <cellStyle name="Percent 251 4" xfId="32954"/>
    <cellStyle name="Percent 251 5" xfId="32955"/>
    <cellStyle name="Percent 252" xfId="32956"/>
    <cellStyle name="Percent 253" xfId="32957"/>
    <cellStyle name="Percent 254" xfId="32958"/>
    <cellStyle name="Percent 254 2" xfId="32959"/>
    <cellStyle name="Percent 254 2 2" xfId="32960"/>
    <cellStyle name="Percent 254 2 3" xfId="32961"/>
    <cellStyle name="Percent 254 3" xfId="32962"/>
    <cellStyle name="Percent 254 4" xfId="32963"/>
    <cellStyle name="Percent 255" xfId="32964"/>
    <cellStyle name="Percent 255 2" xfId="32965"/>
    <cellStyle name="Percent 255 2 2" xfId="32966"/>
    <cellStyle name="Percent 255 2 3" xfId="32967"/>
    <cellStyle name="Percent 255 3" xfId="32968"/>
    <cellStyle name="Percent 255 4" xfId="32969"/>
    <cellStyle name="Percent 256" xfId="32970"/>
    <cellStyle name="Percent 256 2" xfId="32971"/>
    <cellStyle name="Percent 256 2 2" xfId="32972"/>
    <cellStyle name="Percent 256 2 3" xfId="32973"/>
    <cellStyle name="Percent 256 3" xfId="32974"/>
    <cellStyle name="Percent 256 4" xfId="32975"/>
    <cellStyle name="Percent 257" xfId="32976"/>
    <cellStyle name="Percent 258" xfId="32977"/>
    <cellStyle name="Percent 259" xfId="32978"/>
    <cellStyle name="Percent 26" xfId="32979"/>
    <cellStyle name="Percent 26 2" xfId="32980"/>
    <cellStyle name="Percent 26 2 2" xfId="32981"/>
    <cellStyle name="Percent 26 3" xfId="32982"/>
    <cellStyle name="Percent 260" xfId="32983"/>
    <cellStyle name="Percent 261" xfId="32984"/>
    <cellStyle name="Percent 262" xfId="32985"/>
    <cellStyle name="Percent 263" xfId="32986"/>
    <cellStyle name="Percent 264" xfId="32987"/>
    <cellStyle name="Percent 265" xfId="32988"/>
    <cellStyle name="Percent 265 2" xfId="32989"/>
    <cellStyle name="Percent 265 2 2" xfId="32990"/>
    <cellStyle name="Percent 265 3" xfId="32991"/>
    <cellStyle name="Percent 265 4" xfId="32992"/>
    <cellStyle name="Percent 266" xfId="32993"/>
    <cellStyle name="Percent 266 2" xfId="32994"/>
    <cellStyle name="Percent 266 2 2" xfId="32995"/>
    <cellStyle name="Percent 266 3" xfId="32996"/>
    <cellStyle name="Percent 266 4" xfId="32997"/>
    <cellStyle name="Percent 267" xfId="32998"/>
    <cellStyle name="Percent 268" xfId="32999"/>
    <cellStyle name="Percent 269" xfId="33000"/>
    <cellStyle name="Percent 27" xfId="33001"/>
    <cellStyle name="Percent 270" xfId="33002"/>
    <cellStyle name="Percent 271" xfId="33003"/>
    <cellStyle name="Percent 272" xfId="33004"/>
    <cellStyle name="Percent 273" xfId="33005"/>
    <cellStyle name="Percent 274" xfId="33006"/>
    <cellStyle name="Percent 275" xfId="33007"/>
    <cellStyle name="Percent 276" xfId="33008"/>
    <cellStyle name="Percent 277" xfId="33009"/>
    <cellStyle name="Percent 278" xfId="35787"/>
    <cellStyle name="Percent 279" xfId="36126"/>
    <cellStyle name="Percent 28" xfId="33010"/>
    <cellStyle name="Percent 28 2" xfId="33011"/>
    <cellStyle name="Percent 28 2 2" xfId="33012"/>
    <cellStyle name="Percent 28 3" xfId="33013"/>
    <cellStyle name="Percent 29" xfId="33014"/>
    <cellStyle name="Percent 29 2" xfId="33015"/>
    <cellStyle name="Percent 29 2 2" xfId="33016"/>
    <cellStyle name="Percent 29 3" xfId="33017"/>
    <cellStyle name="Percent 3" xfId="31"/>
    <cellStyle name="Percent 3 2" xfId="193"/>
    <cellStyle name="Percent 3 2 2" xfId="33020"/>
    <cellStyle name="Percent 3 2 2 2" xfId="33021"/>
    <cellStyle name="Percent 3 2 3" xfId="33022"/>
    <cellStyle name="Percent 3 2 4" xfId="33023"/>
    <cellStyle name="Percent 3 2 4 2" xfId="33024"/>
    <cellStyle name="Percent 3 2 4 2 2" xfId="33025"/>
    <cellStyle name="Percent 3 2 4 3" xfId="33026"/>
    <cellStyle name="Percent 3 2 4 4" xfId="33027"/>
    <cellStyle name="Percent 3 2 5" xfId="33019"/>
    <cellStyle name="Percent 3 3" xfId="192"/>
    <cellStyle name="Percent 3 3 2" xfId="33029"/>
    <cellStyle name="Percent 3 3 3" xfId="33030"/>
    <cellStyle name="Percent 3 3 3 2" xfId="33031"/>
    <cellStyle name="Percent 3 3 3 2 2" xfId="33032"/>
    <cellStyle name="Percent 3 3 3 3" xfId="33033"/>
    <cellStyle name="Percent 3 3 3 4" xfId="33034"/>
    <cellStyle name="Percent 3 3 4" xfId="33035"/>
    <cellStyle name="Percent 3 3 5" xfId="33028"/>
    <cellStyle name="Percent 3 4" xfId="33036"/>
    <cellStyle name="Percent 3 4 2" xfId="33037"/>
    <cellStyle name="Percent 3 4 2 2" xfId="36080"/>
    <cellStyle name="Percent 3 4 3" xfId="33038"/>
    <cellStyle name="Percent 3 4 3 2" xfId="36081"/>
    <cellStyle name="Percent 3 4 4" xfId="35915"/>
    <cellStyle name="Percent 3 5" xfId="33039"/>
    <cellStyle name="Percent 3 5 2" xfId="33040"/>
    <cellStyle name="Percent 3 6" xfId="35652"/>
    <cellStyle name="Percent 3 7" xfId="33018"/>
    <cellStyle name="Percent 30" xfId="33041"/>
    <cellStyle name="Percent 30 2" xfId="33042"/>
    <cellStyle name="Percent 30 2 2" xfId="33043"/>
    <cellStyle name="Percent 30 3" xfId="33044"/>
    <cellStyle name="Percent 31" xfId="33045"/>
    <cellStyle name="Percent 31 2" xfId="33046"/>
    <cellStyle name="Percent 31 2 2" xfId="33047"/>
    <cellStyle name="Percent 31 3" xfId="33048"/>
    <cellStyle name="Percent 32" xfId="33049"/>
    <cellStyle name="Percent 32 2" xfId="33050"/>
    <cellStyle name="Percent 32 2 2" xfId="33051"/>
    <cellStyle name="Percent 32 3" xfId="33052"/>
    <cellStyle name="Percent 33" xfId="33053"/>
    <cellStyle name="Percent 33 2" xfId="33054"/>
    <cellStyle name="Percent 33 2 2" xfId="33055"/>
    <cellStyle name="Percent 33 3" xfId="33056"/>
    <cellStyle name="Percent 34" xfId="33057"/>
    <cellStyle name="Percent 34 2" xfId="33058"/>
    <cellStyle name="Percent 34 2 2" xfId="33059"/>
    <cellStyle name="Percent 34 3" xfId="33060"/>
    <cellStyle name="Percent 35" xfId="33061"/>
    <cellStyle name="Percent 35 2" xfId="33062"/>
    <cellStyle name="Percent 35 2 2" xfId="33063"/>
    <cellStyle name="Percent 35 3" xfId="33064"/>
    <cellStyle name="Percent 36" xfId="33065"/>
    <cellStyle name="Percent 36 2" xfId="33066"/>
    <cellStyle name="Percent 36 2 2" xfId="33067"/>
    <cellStyle name="Percent 36 3" xfId="33068"/>
    <cellStyle name="Percent 37" xfId="33069"/>
    <cellStyle name="Percent 37 2" xfId="33070"/>
    <cellStyle name="Percent 37 2 2" xfId="33071"/>
    <cellStyle name="Percent 37 3" xfId="33072"/>
    <cellStyle name="Percent 38" xfId="33073"/>
    <cellStyle name="Percent 38 2" xfId="33074"/>
    <cellStyle name="Percent 39" xfId="33075"/>
    <cellStyle name="Percent 39 2" xfId="33076"/>
    <cellStyle name="Percent 4" xfId="194"/>
    <cellStyle name="Percent 4 2" xfId="33077"/>
    <cellStyle name="Percent 4 2 2" xfId="33078"/>
    <cellStyle name="Percent 4 2 3" xfId="33079"/>
    <cellStyle name="Percent 4 2 3 2" xfId="33080"/>
    <cellStyle name="Percent 4 2 3 2 2" xfId="33081"/>
    <cellStyle name="Percent 4 2 3 3" xfId="33082"/>
    <cellStyle name="Percent 4 2 3 4" xfId="33083"/>
    <cellStyle name="Percent 4 3" xfId="33084"/>
    <cellStyle name="Percent 4 4" xfId="33085"/>
    <cellStyle name="Percent 4 5" xfId="33086"/>
    <cellStyle name="Percent 4 6" xfId="33087"/>
    <cellStyle name="Percent 4 7" xfId="33088"/>
    <cellStyle name="Percent 4 8" xfId="33089"/>
    <cellStyle name="Percent 40" xfId="33090"/>
    <cellStyle name="Percent 40 2" xfId="33091"/>
    <cellStyle name="Percent 41" xfId="33092"/>
    <cellStyle name="Percent 41 2" xfId="33093"/>
    <cellStyle name="Percent 42" xfId="33094"/>
    <cellStyle name="Percent 42 2" xfId="33095"/>
    <cellStyle name="Percent 43" xfId="33096"/>
    <cellStyle name="Percent 43 2" xfId="33097"/>
    <cellStyle name="Percent 44" xfId="33098"/>
    <cellStyle name="Percent 44 2" xfId="33099"/>
    <cellStyle name="Percent 45" xfId="33100"/>
    <cellStyle name="Percent 45 2" xfId="33101"/>
    <cellStyle name="Percent 46" xfId="33102"/>
    <cellStyle name="Percent 46 2" xfId="33103"/>
    <cellStyle name="Percent 47" xfId="33104"/>
    <cellStyle name="Percent 47 2" xfId="33105"/>
    <cellStyle name="Percent 48" xfId="33106"/>
    <cellStyle name="Percent 48 2" xfId="33107"/>
    <cellStyle name="Percent 49" xfId="33108"/>
    <cellStyle name="Percent 49 2" xfId="33109"/>
    <cellStyle name="Percent 5" xfId="195"/>
    <cellStyle name="Percent 5 2" xfId="33111"/>
    <cellStyle name="Percent 5 2 2" xfId="36082"/>
    <cellStyle name="Percent 5 3" xfId="33112"/>
    <cellStyle name="Percent 5 3 2" xfId="33113"/>
    <cellStyle name="Percent 5 3 2 2" xfId="33114"/>
    <cellStyle name="Percent 5 3 3" xfId="33115"/>
    <cellStyle name="Percent 5 3 4" xfId="33116"/>
    <cellStyle name="Percent 5 4" xfId="35605"/>
    <cellStyle name="Percent 5 5" xfId="33110"/>
    <cellStyle name="Percent 50" xfId="33117"/>
    <cellStyle name="Percent 50 2" xfId="33118"/>
    <cellStyle name="Percent 51" xfId="33119"/>
    <cellStyle name="Percent 51 2" xfId="33120"/>
    <cellStyle name="Percent 52" xfId="33121"/>
    <cellStyle name="Percent 52 2" xfId="33122"/>
    <cellStyle name="Percent 53" xfId="33123"/>
    <cellStyle name="Percent 53 2" xfId="33124"/>
    <cellStyle name="Percent 54" xfId="33125"/>
    <cellStyle name="Percent 54 2" xfId="33126"/>
    <cellStyle name="Percent 55" xfId="33127"/>
    <cellStyle name="Percent 55 2" xfId="33128"/>
    <cellStyle name="Percent 56" xfId="33129"/>
    <cellStyle name="Percent 56 2" xfId="33130"/>
    <cellStyle name="Percent 57" xfId="33131"/>
    <cellStyle name="Percent 57 2" xfId="33132"/>
    <cellStyle name="Percent 58" xfId="33133"/>
    <cellStyle name="Percent 58 2" xfId="33134"/>
    <cellStyle name="Percent 59" xfId="33135"/>
    <cellStyle name="Percent 59 2" xfId="33136"/>
    <cellStyle name="Percent 6" xfId="307"/>
    <cellStyle name="Percent 6 2" xfId="398"/>
    <cellStyle name="Percent 6 2 2" xfId="33138"/>
    <cellStyle name="Percent 6 2 2 2" xfId="33139"/>
    <cellStyle name="Percent 6 2 2 2 2" xfId="33140"/>
    <cellStyle name="Percent 6 2 2 2 2 2" xfId="33141"/>
    <cellStyle name="Percent 6 2 2 2 3" xfId="33142"/>
    <cellStyle name="Percent 6 2 2 2 4" xfId="33143"/>
    <cellStyle name="Percent 6 2 2 3" xfId="33144"/>
    <cellStyle name="Percent 6 2 2 3 2" xfId="33145"/>
    <cellStyle name="Percent 6 2 2 4" xfId="33146"/>
    <cellStyle name="Percent 6 2 2 5" xfId="33147"/>
    <cellStyle name="Percent 6 2 3" xfId="33148"/>
    <cellStyle name="Percent 6 2 3 2" xfId="33149"/>
    <cellStyle name="Percent 6 2 3 2 2" xfId="33150"/>
    <cellStyle name="Percent 6 2 3 3" xfId="33151"/>
    <cellStyle name="Percent 6 2 3 4" xfId="33152"/>
    <cellStyle name="Percent 6 2 4" xfId="33153"/>
    <cellStyle name="Percent 6 2 4 2" xfId="33154"/>
    <cellStyle name="Percent 6 2 4 2 2" xfId="33155"/>
    <cellStyle name="Percent 6 2 4 3" xfId="33156"/>
    <cellStyle name="Percent 6 2 4 4" xfId="33157"/>
    <cellStyle name="Percent 6 2 5" xfId="33158"/>
    <cellStyle name="Percent 6 2 5 2" xfId="33159"/>
    <cellStyle name="Percent 6 2 6" xfId="33160"/>
    <cellStyle name="Percent 6 2 7" xfId="33161"/>
    <cellStyle name="Percent 6 3" xfId="33162"/>
    <cellStyle name="Percent 6 4" xfId="33137"/>
    <cellStyle name="Percent 60" xfId="33163"/>
    <cellStyle name="Percent 60 2" xfId="33164"/>
    <cellStyle name="Percent 61" xfId="33165"/>
    <cellStyle name="Percent 61 2" xfId="33166"/>
    <cellStyle name="Percent 62" xfId="33167"/>
    <cellStyle name="Percent 62 2" xfId="33168"/>
    <cellStyle name="Percent 63" xfId="33169"/>
    <cellStyle name="Percent 63 2" xfId="33170"/>
    <cellStyle name="Percent 64" xfId="33171"/>
    <cellStyle name="Percent 64 2" xfId="33172"/>
    <cellStyle name="Percent 65" xfId="33173"/>
    <cellStyle name="Percent 65 2" xfId="33174"/>
    <cellStyle name="Percent 66" xfId="33175"/>
    <cellStyle name="Percent 66 2" xfId="33176"/>
    <cellStyle name="Percent 67" xfId="33177"/>
    <cellStyle name="Percent 67 2" xfId="33178"/>
    <cellStyle name="Percent 68" xfId="33179"/>
    <cellStyle name="Percent 68 2" xfId="33180"/>
    <cellStyle name="Percent 69" xfId="33181"/>
    <cellStyle name="Percent 69 2" xfId="33182"/>
    <cellStyle name="Percent 7" xfId="308"/>
    <cellStyle name="Percent 7 2" xfId="399"/>
    <cellStyle name="Percent 7 2 2" xfId="33185"/>
    <cellStyle name="Percent 7 2 3" xfId="35648"/>
    <cellStyle name="Percent 7 2 4" xfId="33184"/>
    <cellStyle name="Percent 7 3" xfId="35606"/>
    <cellStyle name="Percent 7 4" xfId="33183"/>
    <cellStyle name="Percent 70" xfId="33186"/>
    <cellStyle name="Percent 70 2" xfId="33187"/>
    <cellStyle name="Percent 71" xfId="33188"/>
    <cellStyle name="Percent 71 2" xfId="33189"/>
    <cellStyle name="Percent 72" xfId="33190"/>
    <cellStyle name="Percent 72 2" xfId="33191"/>
    <cellStyle name="Percent 73" xfId="33192"/>
    <cellStyle name="Percent 73 2" xfId="33193"/>
    <cellStyle name="Percent 74" xfId="33194"/>
    <cellStyle name="Percent 74 2" xfId="33195"/>
    <cellStyle name="Percent 75" xfId="33196"/>
    <cellStyle name="Percent 75 2" xfId="33197"/>
    <cellStyle name="Percent 76" xfId="33198"/>
    <cellStyle name="Percent 76 2" xfId="33199"/>
    <cellStyle name="Percent 77" xfId="33200"/>
    <cellStyle name="Percent 77 2" xfId="33201"/>
    <cellStyle name="Percent 78" xfId="33202"/>
    <cellStyle name="Percent 78 2" xfId="33203"/>
    <cellStyle name="Percent 79" xfId="33204"/>
    <cellStyle name="Percent 79 2" xfId="33205"/>
    <cellStyle name="Percent 8" xfId="436"/>
    <cellStyle name="Percent 8 10" xfId="36109"/>
    <cellStyle name="Percent 8 2" xfId="33207"/>
    <cellStyle name="Percent 8 3" xfId="33208"/>
    <cellStyle name="Percent 8 3 2" xfId="33209"/>
    <cellStyle name="Percent 8 3 2 2" xfId="33210"/>
    <cellStyle name="Percent 8 3 2 2 2" xfId="33211"/>
    <cellStyle name="Percent 8 3 2 3" xfId="33212"/>
    <cellStyle name="Percent 8 3 2 4" xfId="33213"/>
    <cellStyle name="Percent 8 3 3" xfId="33214"/>
    <cellStyle name="Percent 8 3 3 2" xfId="33215"/>
    <cellStyle name="Percent 8 3 4" xfId="33216"/>
    <cellStyle name="Percent 8 3 5" xfId="33217"/>
    <cellStyle name="Percent 8 4" xfId="33218"/>
    <cellStyle name="Percent 8 4 2" xfId="33219"/>
    <cellStyle name="Percent 8 4 2 2" xfId="33220"/>
    <cellStyle name="Percent 8 4 3" xfId="33221"/>
    <cellStyle name="Percent 8 4 4" xfId="33222"/>
    <cellStyle name="Percent 8 5" xfId="33223"/>
    <cellStyle name="Percent 8 5 2" xfId="33224"/>
    <cellStyle name="Percent 8 6" xfId="33225"/>
    <cellStyle name="Percent 8 7" xfId="33226"/>
    <cellStyle name="Percent 8 8" xfId="35650"/>
    <cellStyle name="Percent 8 9" xfId="33206"/>
    <cellStyle name="Percent 80" xfId="33227"/>
    <cellStyle name="Percent 80 2" xfId="33228"/>
    <cellStyle name="Percent 81" xfId="33229"/>
    <cellStyle name="Percent 81 2" xfId="33230"/>
    <cellStyle name="Percent 82" xfId="33231"/>
    <cellStyle name="Percent 82 2" xfId="33232"/>
    <cellStyle name="Percent 83" xfId="33233"/>
    <cellStyle name="Percent 83 2" xfId="33234"/>
    <cellStyle name="Percent 84" xfId="33235"/>
    <cellStyle name="Percent 84 2" xfId="33236"/>
    <cellStyle name="Percent 84 2 2" xfId="33237"/>
    <cellStyle name="Percent 84 3" xfId="33238"/>
    <cellStyle name="Percent 85" xfId="33239"/>
    <cellStyle name="Percent 85 2" xfId="33240"/>
    <cellStyle name="Percent 85 2 2" xfId="33241"/>
    <cellStyle name="Percent 85 3" xfId="33242"/>
    <cellStyle name="Percent 86" xfId="33243"/>
    <cellStyle name="Percent 86 2" xfId="33244"/>
    <cellStyle name="Percent 86 2 2" xfId="33245"/>
    <cellStyle name="Percent 86 3" xfId="33246"/>
    <cellStyle name="Percent 87" xfId="33247"/>
    <cellStyle name="Percent 87 2" xfId="33248"/>
    <cellStyle name="Percent 88" xfId="33249"/>
    <cellStyle name="Percent 88 2" xfId="33250"/>
    <cellStyle name="Percent 89" xfId="33251"/>
    <cellStyle name="Percent 89 2" xfId="33252"/>
    <cellStyle name="Percent 9" xfId="33253"/>
    <cellStyle name="Percent 9 2" xfId="36110"/>
    <cellStyle name="Percent 90" xfId="33254"/>
    <cellStyle name="Percent 90 2" xfId="33255"/>
    <cellStyle name="Percent 91" xfId="33256"/>
    <cellStyle name="Percent 91 2" xfId="33257"/>
    <cellStyle name="Percent 92" xfId="33258"/>
    <cellStyle name="Percent 92 2" xfId="33259"/>
    <cellStyle name="Percent 93" xfId="33260"/>
    <cellStyle name="Percent 93 2" xfId="33261"/>
    <cellStyle name="Percent 94" xfId="33262"/>
    <cellStyle name="Percent 94 2" xfId="33263"/>
    <cellStyle name="Percent 95" xfId="33264"/>
    <cellStyle name="Percent 95 2" xfId="33265"/>
    <cellStyle name="Percent 96" xfId="33266"/>
    <cellStyle name="Percent 96 2" xfId="33267"/>
    <cellStyle name="Percent 97" xfId="33268"/>
    <cellStyle name="Percent 97 2" xfId="33269"/>
    <cellStyle name="Percent 98" xfId="33270"/>
    <cellStyle name="Percent 98 2" xfId="33271"/>
    <cellStyle name="Percent 99" xfId="33272"/>
    <cellStyle name="Percent 99 2" xfId="33273"/>
    <cellStyle name="Percentage" xfId="35718"/>
    <cellStyle name="Percentage 2" xfId="35854"/>
    <cellStyle name="Percentage Assumptions" xfId="35719"/>
    <cellStyle name="Percentage Input" xfId="35742"/>
    <cellStyle name="Period Title" xfId="35855"/>
    <cellStyle name="PSChar" xfId="33274"/>
    <cellStyle name="PSChar 2" xfId="33275"/>
    <cellStyle name="PSChar 2 2" xfId="33276"/>
    <cellStyle name="PSChar 2 3" xfId="33277"/>
    <cellStyle name="PSChar 2 4" xfId="33278"/>
    <cellStyle name="PSChar 3" xfId="33279"/>
    <cellStyle name="PSChar 3 2" xfId="33280"/>
    <cellStyle name="PSChar 3 3" xfId="33281"/>
    <cellStyle name="PSChar 3 4" xfId="33282"/>
    <cellStyle name="PSChar 4" xfId="33283"/>
    <cellStyle name="PSChar 4 2" xfId="33284"/>
    <cellStyle name="PSChar 5" xfId="33285"/>
    <cellStyle name="PSChar 5 2" xfId="33286"/>
    <cellStyle name="PSChar 6" xfId="33287"/>
    <cellStyle name="PSChar 6 2" xfId="33288"/>
    <cellStyle name="PSChar 7" xfId="33289"/>
    <cellStyle name="PSChar 7 2" xfId="33290"/>
    <cellStyle name="PSChar 8" xfId="33291"/>
    <cellStyle name="PSChar 9" xfId="33292"/>
    <cellStyle name="PSDate" xfId="33293"/>
    <cellStyle name="PSDate 2" xfId="33294"/>
    <cellStyle name="PSDate 3" xfId="33295"/>
    <cellStyle name="PSDate 4" xfId="33296"/>
    <cellStyle name="PSDate 5" xfId="33297"/>
    <cellStyle name="PSDate 5 2" xfId="33298"/>
    <cellStyle name="PSDate 6" xfId="33299"/>
    <cellStyle name="PSDate 6 2" xfId="33300"/>
    <cellStyle name="PSDec" xfId="33301"/>
    <cellStyle name="PSDec 2" xfId="33302"/>
    <cellStyle name="PSDec 3" xfId="33303"/>
    <cellStyle name="PSDec 4" xfId="33304"/>
    <cellStyle name="PSDec 5" xfId="33305"/>
    <cellStyle name="PSDec 5 2" xfId="33306"/>
    <cellStyle name="PSDec 6" xfId="33307"/>
    <cellStyle name="PSDec 6 2" xfId="33308"/>
    <cellStyle name="PSDetail" xfId="35856"/>
    <cellStyle name="PSHeading" xfId="33309"/>
    <cellStyle name="PSHeading 10" xfId="33310"/>
    <cellStyle name="PSHeading 10 2" xfId="33311"/>
    <cellStyle name="PSHeading 10 2 2" xfId="33312"/>
    <cellStyle name="PSHeading 10 3" xfId="33313"/>
    <cellStyle name="PSHeading 11" xfId="33314"/>
    <cellStyle name="PSHeading 11 2" xfId="33315"/>
    <cellStyle name="PSHeading 11 2 2" xfId="33316"/>
    <cellStyle name="PSHeading 11 3" xfId="33317"/>
    <cellStyle name="PSHeading 12" xfId="33318"/>
    <cellStyle name="PSHeading 12 2" xfId="33319"/>
    <cellStyle name="PSHeading 12 2 2" xfId="33320"/>
    <cellStyle name="PSHeading 12 3" xfId="33321"/>
    <cellStyle name="PSHeading 13" xfId="33322"/>
    <cellStyle name="PSHeading 13 2" xfId="33323"/>
    <cellStyle name="PSHeading 13 2 2" xfId="33324"/>
    <cellStyle name="PSHeading 13 3" xfId="33325"/>
    <cellStyle name="PSHeading 14" xfId="33326"/>
    <cellStyle name="PSHeading 14 2" xfId="33327"/>
    <cellStyle name="PSHeading 2" xfId="33328"/>
    <cellStyle name="PSHeading 2 2" xfId="33329"/>
    <cellStyle name="PSHeading 2 2 2" xfId="33330"/>
    <cellStyle name="PSHeading 2 2 2 2" xfId="33331"/>
    <cellStyle name="PSHeading 2 2 2 2 2" xfId="33332"/>
    <cellStyle name="PSHeading 2 2 2 3" xfId="33333"/>
    <cellStyle name="PSHeading 2 2 2 4" xfId="36111"/>
    <cellStyle name="PSHeading 2 2 3" xfId="33334"/>
    <cellStyle name="PSHeading 2 2 3 2" xfId="33335"/>
    <cellStyle name="PSHeading 2 2 4" xfId="36084"/>
    <cellStyle name="PSHeading 2 3" xfId="33336"/>
    <cellStyle name="PSHeading 2 3 2" xfId="33337"/>
    <cellStyle name="PSHeading 2 3 2 2" xfId="33338"/>
    <cellStyle name="PSHeading 2 3 3" xfId="33339"/>
    <cellStyle name="PSHeading 2 3 4" xfId="36112"/>
    <cellStyle name="PSHeading 2 4" xfId="33340"/>
    <cellStyle name="PSHeading 2 4 2" xfId="33341"/>
    <cellStyle name="PSHeading 2 4 2 2" xfId="33342"/>
    <cellStyle name="PSHeading 2 4 3" xfId="33343"/>
    <cellStyle name="PSHeading 2 5" xfId="33344"/>
    <cellStyle name="PSHeading 2 5 2" xfId="33345"/>
    <cellStyle name="PSHeading 2 5 2 2" xfId="33346"/>
    <cellStyle name="PSHeading 2 5 3" xfId="33347"/>
    <cellStyle name="PSHeading 2 6" xfId="33348"/>
    <cellStyle name="PSHeading 2 6 2" xfId="33349"/>
    <cellStyle name="PSHeading 2 6 2 2" xfId="33350"/>
    <cellStyle name="PSHeading 2 6 3" xfId="33351"/>
    <cellStyle name="PSHeading 2 7" xfId="33352"/>
    <cellStyle name="PSHeading 2 7 2" xfId="33353"/>
    <cellStyle name="PSHeading 2 8" xfId="36083"/>
    <cellStyle name="PSHeading 3" xfId="33354"/>
    <cellStyle name="PSHeading 3 2" xfId="33355"/>
    <cellStyle name="PSHeading 3 2 2" xfId="33356"/>
    <cellStyle name="PSHeading 3 2 2 2" xfId="33357"/>
    <cellStyle name="PSHeading 3 2 2 2 2" xfId="36113"/>
    <cellStyle name="PSHeading 3 2 2 3" xfId="36087"/>
    <cellStyle name="PSHeading 3 2 3" xfId="33358"/>
    <cellStyle name="PSHeading 3 2 3 2" xfId="36114"/>
    <cellStyle name="PSHeading 3 2 4" xfId="36086"/>
    <cellStyle name="PSHeading 3 3" xfId="33359"/>
    <cellStyle name="PSHeading 3 3 2" xfId="33360"/>
    <cellStyle name="PSHeading 3 3 2 2" xfId="33361"/>
    <cellStyle name="PSHeading 3 3 3" xfId="33362"/>
    <cellStyle name="PSHeading 3 3 4" xfId="36115"/>
    <cellStyle name="PSHeading 3 4" xfId="33363"/>
    <cellStyle name="PSHeading 3 4 2" xfId="33364"/>
    <cellStyle name="PSHeading 3 4 2 2" xfId="33365"/>
    <cellStyle name="PSHeading 3 4 3" xfId="33366"/>
    <cellStyle name="PSHeading 3 5" xfId="33367"/>
    <cellStyle name="PSHeading 3 5 2" xfId="33368"/>
    <cellStyle name="PSHeading 3 5 2 2" xfId="33369"/>
    <cellStyle name="PSHeading 3 5 3" xfId="33370"/>
    <cellStyle name="PSHeading 3 6" xfId="33371"/>
    <cellStyle name="PSHeading 3 6 2" xfId="33372"/>
    <cellStyle name="PSHeading 3 7" xfId="36085"/>
    <cellStyle name="PSHeading 4" xfId="33373"/>
    <cellStyle name="PSHeading 4 2" xfId="33374"/>
    <cellStyle name="PSHeading 4 2 2" xfId="33375"/>
    <cellStyle name="PSHeading 4 2 2 2" xfId="33376"/>
    <cellStyle name="PSHeading 4 2 3" xfId="33377"/>
    <cellStyle name="PSHeading 4 2 4" xfId="36116"/>
    <cellStyle name="PSHeading 4 3" xfId="33378"/>
    <cellStyle name="PSHeading 4 3 2" xfId="33379"/>
    <cellStyle name="PSHeading 4 3 2 2" xfId="33380"/>
    <cellStyle name="PSHeading 4 3 3" xfId="33381"/>
    <cellStyle name="PSHeading 4 4" xfId="33382"/>
    <cellStyle name="PSHeading 4 4 2" xfId="33383"/>
    <cellStyle name="PSHeading 4 4 2 2" xfId="33384"/>
    <cellStyle name="PSHeading 4 4 3" xfId="33385"/>
    <cellStyle name="PSHeading 4 5" xfId="33386"/>
    <cellStyle name="PSHeading 4 5 2" xfId="33387"/>
    <cellStyle name="PSHeading 4 6" xfId="36088"/>
    <cellStyle name="PSHeading 5" xfId="33388"/>
    <cellStyle name="PSHeading 5 2" xfId="33389"/>
    <cellStyle name="PSHeading 5 2 2" xfId="33390"/>
    <cellStyle name="PSHeading 5 2 2 2" xfId="33391"/>
    <cellStyle name="PSHeading 5 2 3" xfId="33392"/>
    <cellStyle name="PSHeading 5 3" xfId="33393"/>
    <cellStyle name="PSHeading 5 3 2" xfId="33394"/>
    <cellStyle name="PSHeading 5 4" xfId="36117"/>
    <cellStyle name="PSHeading 6" xfId="33395"/>
    <cellStyle name="PSHeading 6 2" xfId="33396"/>
    <cellStyle name="PSHeading 6 2 2" xfId="33397"/>
    <cellStyle name="PSHeading 6 2 2 2" xfId="33398"/>
    <cellStyle name="PSHeading 6 2 2 2 2" xfId="33399"/>
    <cellStyle name="PSHeading 6 2 2 3" xfId="33400"/>
    <cellStyle name="PSHeading 6 2 3" xfId="33401"/>
    <cellStyle name="PSHeading 6 2 3 2" xfId="33402"/>
    <cellStyle name="PSHeading 6 3" xfId="33403"/>
    <cellStyle name="PSHeading 6 3 2" xfId="33404"/>
    <cellStyle name="PSHeading 6 3 2 2" xfId="33405"/>
    <cellStyle name="PSHeading 6 3 3" xfId="33406"/>
    <cellStyle name="PSHeading 6 4" xfId="33407"/>
    <cellStyle name="PSHeading 6 4 2" xfId="33408"/>
    <cellStyle name="PSHeading 7" xfId="33409"/>
    <cellStyle name="PSHeading 7 2" xfId="33410"/>
    <cellStyle name="PSHeading 7 2 2" xfId="33411"/>
    <cellStyle name="PSHeading 7 2 2 2" xfId="33412"/>
    <cellStyle name="PSHeading 7 2 2 2 2" xfId="33413"/>
    <cellStyle name="PSHeading 7 2 2 3" xfId="33414"/>
    <cellStyle name="PSHeading 7 2 3" xfId="33415"/>
    <cellStyle name="PSHeading 7 2 3 2" xfId="33416"/>
    <cellStyle name="PSHeading 7 3" xfId="33417"/>
    <cellStyle name="PSHeading 7 3 2" xfId="33418"/>
    <cellStyle name="PSHeading 7 3 2 2" xfId="33419"/>
    <cellStyle name="PSHeading 7 3 3" xfId="33420"/>
    <cellStyle name="PSHeading 7 4" xfId="33421"/>
    <cellStyle name="PSHeading 7 4 2" xfId="33422"/>
    <cellStyle name="PSHeading 8" xfId="33423"/>
    <cellStyle name="PSHeading 8 2" xfId="33424"/>
    <cellStyle name="PSHeading 8 2 2" xfId="33425"/>
    <cellStyle name="PSHeading 8 2 2 2" xfId="33426"/>
    <cellStyle name="PSHeading 8 2 3" xfId="33427"/>
    <cellStyle name="PSHeading 8 3" xfId="33428"/>
    <cellStyle name="PSHeading 8 3 2" xfId="33429"/>
    <cellStyle name="PSHeading 9" xfId="33430"/>
    <cellStyle name="PSHeading 9 2" xfId="33431"/>
    <cellStyle name="PSHeading 9 2 2" xfId="33432"/>
    <cellStyle name="PSHeading 9 3" xfId="33433"/>
    <cellStyle name="PSHeading_CP Non-Financial Targets" xfId="33434"/>
    <cellStyle name="PSInt" xfId="33435"/>
    <cellStyle name="PSInt 2" xfId="33436"/>
    <cellStyle name="PSInt 3" xfId="33437"/>
    <cellStyle name="PSInt 4" xfId="33438"/>
    <cellStyle name="PSInt 5" xfId="33439"/>
    <cellStyle name="PSInt 5 2" xfId="33440"/>
    <cellStyle name="PSInt 6" xfId="33441"/>
    <cellStyle name="PSInt 6 2" xfId="33442"/>
    <cellStyle name="PSSpacer" xfId="33443"/>
    <cellStyle name="PSSpacer 2" xfId="33444"/>
    <cellStyle name="PSSpacer 2 2" xfId="33445"/>
    <cellStyle name="PSSpacer 2 3" xfId="33446"/>
    <cellStyle name="PSSpacer 2 4" xfId="33447"/>
    <cellStyle name="PSSpacer 3" xfId="33448"/>
    <cellStyle name="PSSpacer 3 2" xfId="33449"/>
    <cellStyle name="PSSpacer 3 3" xfId="33450"/>
    <cellStyle name="PSSpacer 4" xfId="33451"/>
    <cellStyle name="PSSpacer 4 2" xfId="33452"/>
    <cellStyle name="PSSpacer 5" xfId="33453"/>
    <cellStyle name="PSSpacer 6" xfId="33454"/>
    <cellStyle name="PSSpacer 6 2" xfId="33455"/>
    <cellStyle name="PSSpacer 7" xfId="33456"/>
    <cellStyle name="PSSpacer 7 2" xfId="33457"/>
    <cellStyle name="PSSpacer 8" xfId="33458"/>
    <cellStyle name="PSSpacer 9" xfId="33459"/>
    <cellStyle name="Ratio" xfId="35857"/>
    <cellStyle name="Ratio 2" xfId="35858"/>
    <cellStyle name="Ratio_29(d) - Gas extensions -tariffs" xfId="35859"/>
    <cellStyle name="Redaction A" xfId="36128"/>
    <cellStyle name="Redaction A - Remove comments" xfId="91"/>
    <cellStyle name="Redaction A - Remove comments 2" xfId="96"/>
    <cellStyle name="Redaction A - supplementary notes" xfId="78"/>
    <cellStyle name="Redaction A 2" xfId="36130"/>
    <cellStyle name="Redaction B - Calcs maintained" xfId="79"/>
    <cellStyle name="Redaction B - Maintain calculations" xfId="92"/>
    <cellStyle name="Redaction B - maintain calculations 2" xfId="36129"/>
    <cellStyle name="Right Date" xfId="35860"/>
    <cellStyle name="Right Number" xfId="35861"/>
    <cellStyle name="Right Year" xfId="35862"/>
    <cellStyle name="RIN_Input$_3dp" xfId="36089"/>
    <cellStyle name="Row Heading" xfId="33460"/>
    <cellStyle name="Row Heading 2" xfId="33461"/>
    <cellStyle name="Row Heading 3" xfId="33462"/>
    <cellStyle name="Row Heading 4" xfId="33463"/>
    <cellStyle name="Rows" xfId="33464"/>
    <cellStyle name="Rows 2" xfId="33465"/>
    <cellStyle name="Rows 2 2" xfId="33466"/>
    <cellStyle name="Rows 2 2 2" xfId="33467"/>
    <cellStyle name="Rows 2 2 3" xfId="33468"/>
    <cellStyle name="Rows 2 3" xfId="33469"/>
    <cellStyle name="Rows 2 4" xfId="33470"/>
    <cellStyle name="Rows 3" xfId="33471"/>
    <cellStyle name="Rows 3 2" xfId="33472"/>
    <cellStyle name="Rows 3 3" xfId="33473"/>
    <cellStyle name="Rows 3 4" xfId="33474"/>
    <cellStyle name="Rows 4" xfId="33475"/>
    <cellStyle name="SAPBEXHLevel1" xfId="33476"/>
    <cellStyle name="SAPBEXHLevel1 10" xfId="33477"/>
    <cellStyle name="SAPBEXHLevel1 10 2" xfId="33478"/>
    <cellStyle name="SAPBEXHLevel1 10 2 2" xfId="33479"/>
    <cellStyle name="SAPBEXHLevel1 10 2 2 2" xfId="33480"/>
    <cellStyle name="SAPBEXHLevel1 10 2 2 2 2" xfId="33481"/>
    <cellStyle name="SAPBEXHLevel1 10 2 2 3" xfId="33482"/>
    <cellStyle name="SAPBEXHLevel1 10 2 3" xfId="33483"/>
    <cellStyle name="SAPBEXHLevel1 10 3" xfId="33484"/>
    <cellStyle name="SAPBEXHLevel1 10 3 2" xfId="33485"/>
    <cellStyle name="SAPBEXHLevel1 10 3 2 2" xfId="33486"/>
    <cellStyle name="SAPBEXHLevel1 10 3 3" xfId="33487"/>
    <cellStyle name="SAPBEXHLevel1 10 4" xfId="33488"/>
    <cellStyle name="SAPBEXHLevel1 10 4 2" xfId="33489"/>
    <cellStyle name="SAPBEXHLevel1 10 4 2 2" xfId="33490"/>
    <cellStyle name="SAPBEXHLevel1 10 4 3" xfId="33491"/>
    <cellStyle name="SAPBEXHLevel1 10 5" xfId="33492"/>
    <cellStyle name="SAPBEXHLevel1 10 5 2" xfId="33493"/>
    <cellStyle name="SAPBEXHLevel1 10 5 2 2" xfId="33494"/>
    <cellStyle name="SAPBEXHLevel1 10 5 3" xfId="33495"/>
    <cellStyle name="SAPBEXHLevel1 10 6" xfId="33496"/>
    <cellStyle name="SAPBEXHLevel1 11" xfId="33497"/>
    <cellStyle name="SAPBEXHLevel1 11 2" xfId="33498"/>
    <cellStyle name="SAPBEXHLevel1 11 2 2" xfId="33499"/>
    <cellStyle name="SAPBEXHLevel1 11 2 2 2" xfId="33500"/>
    <cellStyle name="SAPBEXHLevel1 11 2 2 2 2" xfId="33501"/>
    <cellStyle name="SAPBEXHLevel1 11 2 2 3" xfId="33502"/>
    <cellStyle name="SAPBEXHLevel1 11 2 3" xfId="33503"/>
    <cellStyle name="SAPBEXHLevel1 11 3" xfId="33504"/>
    <cellStyle name="SAPBEXHLevel1 11 3 2" xfId="33505"/>
    <cellStyle name="SAPBEXHLevel1 11 3 2 2" xfId="33506"/>
    <cellStyle name="SAPBEXHLevel1 11 3 3" xfId="33507"/>
    <cellStyle name="SAPBEXHLevel1 11 4" xfId="33508"/>
    <cellStyle name="SAPBEXHLevel1 11 4 2" xfId="33509"/>
    <cellStyle name="SAPBEXHLevel1 11 4 2 2" xfId="33510"/>
    <cellStyle name="SAPBEXHLevel1 11 4 3" xfId="33511"/>
    <cellStyle name="SAPBEXHLevel1 11 5" xfId="33512"/>
    <cellStyle name="SAPBEXHLevel1 11 5 2" xfId="33513"/>
    <cellStyle name="SAPBEXHLevel1 11 5 2 2" xfId="33514"/>
    <cellStyle name="SAPBEXHLevel1 11 5 3" xfId="33515"/>
    <cellStyle name="SAPBEXHLevel1 11 6" xfId="33516"/>
    <cellStyle name="SAPBEXHLevel1 12" xfId="33517"/>
    <cellStyle name="SAPBEXHLevel1 12 2" xfId="33518"/>
    <cellStyle name="SAPBEXHLevel1 12 2 2" xfId="33519"/>
    <cellStyle name="SAPBEXHLevel1 12 2 2 2" xfId="33520"/>
    <cellStyle name="SAPBEXHLevel1 12 2 3" xfId="33521"/>
    <cellStyle name="SAPBEXHLevel1 12 3" xfId="33522"/>
    <cellStyle name="SAPBEXHLevel1 13" xfId="33523"/>
    <cellStyle name="SAPBEXHLevel1 13 2" xfId="33524"/>
    <cellStyle name="SAPBEXHLevel1 13 2 2" xfId="33525"/>
    <cellStyle name="SAPBEXHLevel1 13 3" xfId="33526"/>
    <cellStyle name="SAPBEXHLevel1 14" xfId="33527"/>
    <cellStyle name="SAPBEXHLevel1 14 2" xfId="33528"/>
    <cellStyle name="SAPBEXHLevel1 14 2 2" xfId="33529"/>
    <cellStyle name="SAPBEXHLevel1 14 3" xfId="33530"/>
    <cellStyle name="SAPBEXHLevel1 15" xfId="33531"/>
    <cellStyle name="SAPBEXHLevel1 2" xfId="33532"/>
    <cellStyle name="SAPBEXHLevel1 2 2" xfId="33533"/>
    <cellStyle name="SAPBEXHLevel1 2 2 2" xfId="33534"/>
    <cellStyle name="SAPBEXHLevel1 2 2 2 2" xfId="33535"/>
    <cellStyle name="SAPBEXHLevel1 2 2 2 2 2" xfId="33536"/>
    <cellStyle name="SAPBEXHLevel1 2 2 2 2 2 2" xfId="33537"/>
    <cellStyle name="SAPBEXHLevel1 2 2 2 2 3" xfId="33538"/>
    <cellStyle name="SAPBEXHLevel1 2 2 2 3" xfId="33539"/>
    <cellStyle name="SAPBEXHLevel1 2 2 3" xfId="33540"/>
    <cellStyle name="SAPBEXHLevel1 2 2 3 2" xfId="33541"/>
    <cellStyle name="SAPBEXHLevel1 2 2 3 2 2" xfId="33542"/>
    <cellStyle name="SAPBEXHLevel1 2 2 3 3" xfId="33543"/>
    <cellStyle name="SAPBEXHLevel1 2 2 4" xfId="33544"/>
    <cellStyle name="SAPBEXHLevel1 2 2 4 2" xfId="33545"/>
    <cellStyle name="SAPBEXHLevel1 2 2 4 2 2" xfId="33546"/>
    <cellStyle name="SAPBEXHLevel1 2 2 4 3" xfId="33547"/>
    <cellStyle name="SAPBEXHLevel1 2 2 5" xfId="33548"/>
    <cellStyle name="SAPBEXHLevel1 2 2 5 2" xfId="33549"/>
    <cellStyle name="SAPBEXHLevel1 2 2 5 2 2" xfId="33550"/>
    <cellStyle name="SAPBEXHLevel1 2 2 5 3" xfId="33551"/>
    <cellStyle name="SAPBEXHLevel1 2 2 6" xfId="33552"/>
    <cellStyle name="SAPBEXHLevel1 2 3" xfId="33553"/>
    <cellStyle name="SAPBEXHLevel1 2 3 2" xfId="33554"/>
    <cellStyle name="SAPBEXHLevel1 2 3 2 2" xfId="33555"/>
    <cellStyle name="SAPBEXHLevel1 2 3 2 2 2" xfId="33556"/>
    <cellStyle name="SAPBEXHLevel1 2 3 2 2 2 2" xfId="33557"/>
    <cellStyle name="SAPBEXHLevel1 2 3 2 2 3" xfId="33558"/>
    <cellStyle name="SAPBEXHLevel1 2 3 2 3" xfId="33559"/>
    <cellStyle name="SAPBEXHLevel1 2 3 3" xfId="33560"/>
    <cellStyle name="SAPBEXHLevel1 2 3 3 2" xfId="33561"/>
    <cellStyle name="SAPBEXHLevel1 2 3 3 2 2" xfId="33562"/>
    <cellStyle name="SAPBEXHLevel1 2 3 3 3" xfId="33563"/>
    <cellStyle name="SAPBEXHLevel1 2 3 4" xfId="33564"/>
    <cellStyle name="SAPBEXHLevel1 2 3 4 2" xfId="33565"/>
    <cellStyle name="SAPBEXHLevel1 2 3 4 2 2" xfId="33566"/>
    <cellStyle name="SAPBEXHLevel1 2 3 4 3" xfId="33567"/>
    <cellStyle name="SAPBEXHLevel1 2 3 5" xfId="33568"/>
    <cellStyle name="SAPBEXHLevel1 2 3 5 2" xfId="33569"/>
    <cellStyle name="SAPBEXHLevel1 2 3 5 2 2" xfId="33570"/>
    <cellStyle name="SAPBEXHLevel1 2 3 5 3" xfId="33571"/>
    <cellStyle name="SAPBEXHLevel1 2 3 6" xfId="33572"/>
    <cellStyle name="SAPBEXHLevel1 2 4" xfId="33573"/>
    <cellStyle name="SAPBEXHLevel1 2 4 2" xfId="33574"/>
    <cellStyle name="SAPBEXHLevel1 2 4 2 2" xfId="33575"/>
    <cellStyle name="SAPBEXHLevel1 2 4 2 2 2" xfId="33576"/>
    <cellStyle name="SAPBEXHLevel1 2 4 2 3" xfId="33577"/>
    <cellStyle name="SAPBEXHLevel1 2 4 3" xfId="33578"/>
    <cellStyle name="SAPBEXHLevel1 2 4 3 2" xfId="33579"/>
    <cellStyle name="SAPBEXHLevel1 2 4 3 2 2" xfId="33580"/>
    <cellStyle name="SAPBEXHLevel1 2 4 3 3" xfId="33581"/>
    <cellStyle name="SAPBEXHLevel1 2 4 4" xfId="33582"/>
    <cellStyle name="SAPBEXHLevel1 2 4 4 2" xfId="33583"/>
    <cellStyle name="SAPBEXHLevel1 2 4 4 2 2" xfId="33584"/>
    <cellStyle name="SAPBEXHLevel1 2 4 4 3" xfId="33585"/>
    <cellStyle name="SAPBEXHLevel1 2 4 5" xfId="33586"/>
    <cellStyle name="SAPBEXHLevel1 2 5" xfId="33587"/>
    <cellStyle name="SAPBEXHLevel1 2 5 2" xfId="33588"/>
    <cellStyle name="SAPBEXHLevel1 2 5 2 2" xfId="33589"/>
    <cellStyle name="SAPBEXHLevel1 2 5 2 2 2" xfId="33590"/>
    <cellStyle name="SAPBEXHLevel1 2 5 2 3" xfId="33591"/>
    <cellStyle name="SAPBEXHLevel1 2 5 3" xfId="33592"/>
    <cellStyle name="SAPBEXHLevel1 2 5 3 2" xfId="33593"/>
    <cellStyle name="SAPBEXHLevel1 2 5 3 2 2" xfId="33594"/>
    <cellStyle name="SAPBEXHLevel1 2 5 3 3" xfId="33595"/>
    <cellStyle name="SAPBEXHLevel1 2 5 4" xfId="33596"/>
    <cellStyle name="SAPBEXHLevel1 2 5 4 2" xfId="33597"/>
    <cellStyle name="SAPBEXHLevel1 2 5 5" xfId="33598"/>
    <cellStyle name="SAPBEXHLevel1 2 6" xfId="33599"/>
    <cellStyle name="SAPBEXHLevel1 2 6 2" xfId="33600"/>
    <cellStyle name="SAPBEXHLevel1 2 6 2 2" xfId="33601"/>
    <cellStyle name="SAPBEXHLevel1 2 6 3" xfId="33602"/>
    <cellStyle name="SAPBEXHLevel1 2 7" xfId="33603"/>
    <cellStyle name="SAPBEXHLevel1 2 7 2" xfId="33604"/>
    <cellStyle name="SAPBEXHLevel1 2 7 2 2" xfId="33605"/>
    <cellStyle name="SAPBEXHLevel1 2 7 3" xfId="33606"/>
    <cellStyle name="SAPBEXHLevel1 2 8" xfId="33607"/>
    <cellStyle name="SAPBEXHLevel1 2 8 2" xfId="33608"/>
    <cellStyle name="SAPBEXHLevel1 2 8 2 2" xfId="33609"/>
    <cellStyle name="SAPBEXHLevel1 2 8 3" xfId="33610"/>
    <cellStyle name="SAPBEXHLevel1 2 9" xfId="33611"/>
    <cellStyle name="SAPBEXHLevel1 3" xfId="33612"/>
    <cellStyle name="SAPBEXHLevel1 3 10" xfId="33613"/>
    <cellStyle name="SAPBEXHLevel1 3 10 2" xfId="33614"/>
    <cellStyle name="SAPBEXHLevel1 3 10 2 2" xfId="33615"/>
    <cellStyle name="SAPBEXHLevel1 3 10 3" xfId="33616"/>
    <cellStyle name="SAPBEXHLevel1 3 11" xfId="33617"/>
    <cellStyle name="SAPBEXHLevel1 3 11 2" xfId="33618"/>
    <cellStyle name="SAPBEXHLevel1 3 12" xfId="33619"/>
    <cellStyle name="SAPBEXHLevel1 3 2" xfId="33620"/>
    <cellStyle name="SAPBEXHLevel1 3 2 2" xfId="33621"/>
    <cellStyle name="SAPBEXHLevel1 3 2 2 2" xfId="33622"/>
    <cellStyle name="SAPBEXHLevel1 3 2 2 2 2" xfId="33623"/>
    <cellStyle name="SAPBEXHLevel1 3 2 2 2 2 2" xfId="33624"/>
    <cellStyle name="SAPBEXHLevel1 3 2 2 2 3" xfId="33625"/>
    <cellStyle name="SAPBEXHLevel1 3 2 2 3" xfId="33626"/>
    <cellStyle name="SAPBEXHLevel1 3 2 3" xfId="33627"/>
    <cellStyle name="SAPBEXHLevel1 3 2 3 2" xfId="33628"/>
    <cellStyle name="SAPBEXHLevel1 3 2 3 2 2" xfId="33629"/>
    <cellStyle name="SAPBEXHLevel1 3 2 3 3" xfId="33630"/>
    <cellStyle name="SAPBEXHLevel1 3 2 4" xfId="33631"/>
    <cellStyle name="SAPBEXHLevel1 3 2 4 2" xfId="33632"/>
    <cellStyle name="SAPBEXHLevel1 3 2 4 2 2" xfId="33633"/>
    <cellStyle name="SAPBEXHLevel1 3 2 4 3" xfId="33634"/>
    <cellStyle name="SAPBEXHLevel1 3 2 5" xfId="33635"/>
    <cellStyle name="SAPBEXHLevel1 3 2 5 2" xfId="33636"/>
    <cellStyle name="SAPBEXHLevel1 3 2 5 2 2" xfId="33637"/>
    <cellStyle name="SAPBEXHLevel1 3 2 5 3" xfId="33638"/>
    <cellStyle name="SAPBEXHLevel1 3 2 6" xfId="33639"/>
    <cellStyle name="SAPBEXHLevel1 3 3" xfId="33640"/>
    <cellStyle name="SAPBEXHLevel1 3 3 2" xfId="33641"/>
    <cellStyle name="SAPBEXHLevel1 3 3 2 2" xfId="33642"/>
    <cellStyle name="SAPBEXHLevel1 3 3 2 2 2" xfId="33643"/>
    <cellStyle name="SAPBEXHLevel1 3 3 2 2 2 2" xfId="33644"/>
    <cellStyle name="SAPBEXHLevel1 3 3 2 2 3" xfId="33645"/>
    <cellStyle name="SAPBEXHLevel1 3 3 2 3" xfId="33646"/>
    <cellStyle name="SAPBEXHLevel1 3 3 3" xfId="33647"/>
    <cellStyle name="SAPBEXHLevel1 3 3 3 2" xfId="33648"/>
    <cellStyle name="SAPBEXHLevel1 3 3 3 2 2" xfId="33649"/>
    <cellStyle name="SAPBEXHLevel1 3 3 3 3" xfId="33650"/>
    <cellStyle name="SAPBEXHLevel1 3 3 4" xfId="33651"/>
    <cellStyle name="SAPBEXHLevel1 3 3 4 2" xfId="33652"/>
    <cellStyle name="SAPBEXHLevel1 3 3 4 2 2" xfId="33653"/>
    <cellStyle name="SAPBEXHLevel1 3 3 4 3" xfId="33654"/>
    <cellStyle name="SAPBEXHLevel1 3 3 5" xfId="33655"/>
    <cellStyle name="SAPBEXHLevel1 3 3 5 2" xfId="33656"/>
    <cellStyle name="SAPBEXHLevel1 3 3 5 2 2" xfId="33657"/>
    <cellStyle name="SAPBEXHLevel1 3 3 5 3" xfId="33658"/>
    <cellStyle name="SAPBEXHLevel1 3 3 6" xfId="33659"/>
    <cellStyle name="SAPBEXHLevel1 3 4" xfId="33660"/>
    <cellStyle name="SAPBEXHLevel1 3 4 2" xfId="33661"/>
    <cellStyle name="SAPBEXHLevel1 3 4 2 2" xfId="33662"/>
    <cellStyle name="SAPBEXHLevel1 3 4 2 2 2" xfId="33663"/>
    <cellStyle name="SAPBEXHLevel1 3 4 2 3" xfId="33664"/>
    <cellStyle name="SAPBEXHLevel1 3 4 3" xfId="33665"/>
    <cellStyle name="SAPBEXHLevel1 3 4 3 2" xfId="33666"/>
    <cellStyle name="SAPBEXHLevel1 3 4 3 2 2" xfId="33667"/>
    <cellStyle name="SAPBEXHLevel1 3 4 3 3" xfId="33668"/>
    <cellStyle name="SAPBEXHLevel1 3 4 4" xfId="33669"/>
    <cellStyle name="SAPBEXHLevel1 3 4 4 2" xfId="33670"/>
    <cellStyle name="SAPBEXHLevel1 3 4 4 2 2" xfId="33671"/>
    <cellStyle name="SAPBEXHLevel1 3 4 4 3" xfId="33672"/>
    <cellStyle name="SAPBEXHLevel1 3 4 5" xfId="33673"/>
    <cellStyle name="SAPBEXHLevel1 3 5" xfId="33674"/>
    <cellStyle name="SAPBEXHLevel1 3 5 2" xfId="33675"/>
    <cellStyle name="SAPBEXHLevel1 3 5 2 2" xfId="33676"/>
    <cellStyle name="SAPBEXHLevel1 3 5 2 2 2" xfId="33677"/>
    <cellStyle name="SAPBEXHLevel1 3 5 2 3" xfId="33678"/>
    <cellStyle name="SAPBEXHLevel1 3 5 3" xfId="33679"/>
    <cellStyle name="SAPBEXHLevel1 3 5 3 2" xfId="33680"/>
    <cellStyle name="SAPBEXHLevel1 3 5 3 2 2" xfId="33681"/>
    <cellStyle name="SAPBEXHLevel1 3 5 3 3" xfId="33682"/>
    <cellStyle name="SAPBEXHLevel1 3 5 4" xfId="33683"/>
    <cellStyle name="SAPBEXHLevel1 3 5 4 2" xfId="33684"/>
    <cellStyle name="SAPBEXHLevel1 3 5 5" xfId="33685"/>
    <cellStyle name="SAPBEXHLevel1 3 6" xfId="33686"/>
    <cellStyle name="SAPBEXHLevel1 3 6 2" xfId="33687"/>
    <cellStyle name="SAPBEXHLevel1 3 6 2 2" xfId="33688"/>
    <cellStyle name="SAPBEXHLevel1 3 6 3" xfId="33689"/>
    <cellStyle name="SAPBEXHLevel1 3 7" xfId="33690"/>
    <cellStyle name="SAPBEXHLevel1 3 7 2" xfId="33691"/>
    <cellStyle name="SAPBEXHLevel1 3 7 2 2" xfId="33692"/>
    <cellStyle name="SAPBEXHLevel1 3 7 3" xfId="33693"/>
    <cellStyle name="SAPBEXHLevel1 3 8" xfId="33694"/>
    <cellStyle name="SAPBEXHLevel1 3 8 2" xfId="33695"/>
    <cellStyle name="SAPBEXHLevel1 3 8 2 2" xfId="33696"/>
    <cellStyle name="SAPBEXHLevel1 3 8 3" xfId="33697"/>
    <cellStyle name="SAPBEXHLevel1 3 9" xfId="33698"/>
    <cellStyle name="SAPBEXHLevel1 3 9 2" xfId="33699"/>
    <cellStyle name="SAPBEXHLevel1 3 9 2 2" xfId="33700"/>
    <cellStyle name="SAPBEXHLevel1 3 9 3" xfId="33701"/>
    <cellStyle name="SAPBEXHLevel1 4" xfId="33702"/>
    <cellStyle name="SAPBEXHLevel1 4 2" xfId="33703"/>
    <cellStyle name="SAPBEXHLevel1 4 2 2" xfId="33704"/>
    <cellStyle name="SAPBEXHLevel1 4 2 2 2" xfId="33705"/>
    <cellStyle name="SAPBEXHLevel1 4 2 2 2 2" xfId="33706"/>
    <cellStyle name="SAPBEXHLevel1 4 2 2 2 2 2" xfId="33707"/>
    <cellStyle name="SAPBEXHLevel1 4 2 2 2 3" xfId="33708"/>
    <cellStyle name="SAPBEXHLevel1 4 2 2 3" xfId="33709"/>
    <cellStyle name="SAPBEXHLevel1 4 2 3" xfId="33710"/>
    <cellStyle name="SAPBEXHLevel1 4 2 3 2" xfId="33711"/>
    <cellStyle name="SAPBEXHLevel1 4 2 3 2 2" xfId="33712"/>
    <cellStyle name="SAPBEXHLevel1 4 2 3 3" xfId="33713"/>
    <cellStyle name="SAPBEXHLevel1 4 2 4" xfId="33714"/>
    <cellStyle name="SAPBEXHLevel1 4 2 4 2" xfId="33715"/>
    <cellStyle name="SAPBEXHLevel1 4 2 4 2 2" xfId="33716"/>
    <cellStyle name="SAPBEXHLevel1 4 2 4 3" xfId="33717"/>
    <cellStyle name="SAPBEXHLevel1 4 2 5" xfId="33718"/>
    <cellStyle name="SAPBEXHLevel1 4 2 5 2" xfId="33719"/>
    <cellStyle name="SAPBEXHLevel1 4 2 5 2 2" xfId="33720"/>
    <cellStyle name="SAPBEXHLevel1 4 2 5 3" xfId="33721"/>
    <cellStyle name="SAPBEXHLevel1 4 2 6" xfId="33722"/>
    <cellStyle name="SAPBEXHLevel1 4 3" xfId="33723"/>
    <cellStyle name="SAPBEXHLevel1 4 3 2" xfId="33724"/>
    <cellStyle name="SAPBEXHLevel1 4 3 2 2" xfId="33725"/>
    <cellStyle name="SAPBEXHLevel1 4 3 2 2 2" xfId="33726"/>
    <cellStyle name="SAPBEXHLevel1 4 3 2 2 2 2" xfId="33727"/>
    <cellStyle name="SAPBEXHLevel1 4 3 2 2 3" xfId="33728"/>
    <cellStyle name="SAPBEXHLevel1 4 3 2 3" xfId="33729"/>
    <cellStyle name="SAPBEXHLevel1 4 3 3" xfId="33730"/>
    <cellStyle name="SAPBEXHLevel1 4 3 3 2" xfId="33731"/>
    <cellStyle name="SAPBEXHLevel1 4 3 3 2 2" xfId="33732"/>
    <cellStyle name="SAPBEXHLevel1 4 3 3 3" xfId="33733"/>
    <cellStyle name="SAPBEXHLevel1 4 3 4" xfId="33734"/>
    <cellStyle name="SAPBEXHLevel1 4 3 4 2" xfId="33735"/>
    <cellStyle name="SAPBEXHLevel1 4 3 4 2 2" xfId="33736"/>
    <cellStyle name="SAPBEXHLevel1 4 3 4 3" xfId="33737"/>
    <cellStyle name="SAPBEXHLevel1 4 3 5" xfId="33738"/>
    <cellStyle name="SAPBEXHLevel1 4 3 5 2" xfId="33739"/>
    <cellStyle name="SAPBEXHLevel1 4 3 5 2 2" xfId="33740"/>
    <cellStyle name="SAPBEXHLevel1 4 3 5 3" xfId="33741"/>
    <cellStyle name="SAPBEXHLevel1 4 3 6" xfId="33742"/>
    <cellStyle name="SAPBEXHLevel1 4 4" xfId="33743"/>
    <cellStyle name="SAPBEXHLevel1 4 4 2" xfId="33744"/>
    <cellStyle name="SAPBEXHLevel1 4 4 2 2" xfId="33745"/>
    <cellStyle name="SAPBEXHLevel1 4 4 2 2 2" xfId="33746"/>
    <cellStyle name="SAPBEXHLevel1 4 4 2 3" xfId="33747"/>
    <cellStyle name="SAPBEXHLevel1 4 4 3" xfId="33748"/>
    <cellStyle name="SAPBEXHLevel1 4 4 3 2" xfId="33749"/>
    <cellStyle name="SAPBEXHLevel1 4 4 3 2 2" xfId="33750"/>
    <cellStyle name="SAPBEXHLevel1 4 4 3 3" xfId="33751"/>
    <cellStyle name="SAPBEXHLevel1 4 4 4" xfId="33752"/>
    <cellStyle name="SAPBEXHLevel1 4 4 4 2" xfId="33753"/>
    <cellStyle name="SAPBEXHLevel1 4 4 4 2 2" xfId="33754"/>
    <cellStyle name="SAPBEXHLevel1 4 4 4 3" xfId="33755"/>
    <cellStyle name="SAPBEXHLevel1 4 4 5" xfId="33756"/>
    <cellStyle name="SAPBEXHLevel1 4 5" xfId="33757"/>
    <cellStyle name="SAPBEXHLevel1 4 5 2" xfId="33758"/>
    <cellStyle name="SAPBEXHLevel1 4 5 2 2" xfId="33759"/>
    <cellStyle name="SAPBEXHLevel1 4 5 2 2 2" xfId="33760"/>
    <cellStyle name="SAPBEXHLevel1 4 5 2 3" xfId="33761"/>
    <cellStyle name="SAPBEXHLevel1 4 5 3" xfId="33762"/>
    <cellStyle name="SAPBEXHLevel1 4 5 3 2" xfId="33763"/>
    <cellStyle name="SAPBEXHLevel1 4 5 3 2 2" xfId="33764"/>
    <cellStyle name="SAPBEXHLevel1 4 5 3 3" xfId="33765"/>
    <cellStyle name="SAPBEXHLevel1 4 5 4" xfId="33766"/>
    <cellStyle name="SAPBEXHLevel1 4 5 4 2" xfId="33767"/>
    <cellStyle name="SAPBEXHLevel1 4 5 5" xfId="33768"/>
    <cellStyle name="SAPBEXHLevel1 4 6" xfId="33769"/>
    <cellStyle name="SAPBEXHLevel1 4 6 2" xfId="33770"/>
    <cellStyle name="SAPBEXHLevel1 4 6 2 2" xfId="33771"/>
    <cellStyle name="SAPBEXHLevel1 4 6 3" xfId="33772"/>
    <cellStyle name="SAPBEXHLevel1 4 7" xfId="33773"/>
    <cellStyle name="SAPBEXHLevel1 4 7 2" xfId="33774"/>
    <cellStyle name="SAPBEXHLevel1 4 7 2 2" xfId="33775"/>
    <cellStyle name="SAPBEXHLevel1 4 7 3" xfId="33776"/>
    <cellStyle name="SAPBEXHLevel1 4 8" xfId="33777"/>
    <cellStyle name="SAPBEXHLevel1 4 8 2" xfId="33778"/>
    <cellStyle name="SAPBEXHLevel1 4 8 2 2" xfId="33779"/>
    <cellStyle name="SAPBEXHLevel1 4 8 3" xfId="33780"/>
    <cellStyle name="SAPBEXHLevel1 4 9" xfId="33781"/>
    <cellStyle name="SAPBEXHLevel1 5" xfId="33782"/>
    <cellStyle name="SAPBEXHLevel1 5 2" xfId="33783"/>
    <cellStyle name="SAPBEXHLevel1 5 2 2" xfId="33784"/>
    <cellStyle name="SAPBEXHLevel1 5 2 2 2" xfId="33785"/>
    <cellStyle name="SAPBEXHLevel1 5 2 2 2 2" xfId="33786"/>
    <cellStyle name="SAPBEXHLevel1 5 2 2 2 2 2" xfId="33787"/>
    <cellStyle name="SAPBEXHLevel1 5 2 2 2 3" xfId="33788"/>
    <cellStyle name="SAPBEXHLevel1 5 2 2 3" xfId="33789"/>
    <cellStyle name="SAPBEXHLevel1 5 2 3" xfId="33790"/>
    <cellStyle name="SAPBEXHLevel1 5 2 3 2" xfId="33791"/>
    <cellStyle name="SAPBEXHLevel1 5 2 3 2 2" xfId="33792"/>
    <cellStyle name="SAPBEXHLevel1 5 2 3 3" xfId="33793"/>
    <cellStyle name="SAPBEXHLevel1 5 2 4" xfId="33794"/>
    <cellStyle name="SAPBEXHLevel1 5 2 4 2" xfId="33795"/>
    <cellStyle name="SAPBEXHLevel1 5 2 4 2 2" xfId="33796"/>
    <cellStyle name="SAPBEXHLevel1 5 2 4 3" xfId="33797"/>
    <cellStyle name="SAPBEXHLevel1 5 2 5" xfId="33798"/>
    <cellStyle name="SAPBEXHLevel1 5 2 5 2" xfId="33799"/>
    <cellStyle name="SAPBEXHLevel1 5 2 5 2 2" xfId="33800"/>
    <cellStyle name="SAPBEXHLevel1 5 2 5 3" xfId="33801"/>
    <cellStyle name="SAPBEXHLevel1 5 2 6" xfId="33802"/>
    <cellStyle name="SAPBEXHLevel1 5 3" xfId="33803"/>
    <cellStyle name="SAPBEXHLevel1 5 3 2" xfId="33804"/>
    <cellStyle name="SAPBEXHLevel1 5 3 2 2" xfId="33805"/>
    <cellStyle name="SAPBEXHLevel1 5 3 2 2 2" xfId="33806"/>
    <cellStyle name="SAPBEXHLevel1 5 3 2 2 2 2" xfId="33807"/>
    <cellStyle name="SAPBEXHLevel1 5 3 2 2 3" xfId="33808"/>
    <cellStyle name="SAPBEXHLevel1 5 3 2 3" xfId="33809"/>
    <cellStyle name="SAPBEXHLevel1 5 3 3" xfId="33810"/>
    <cellStyle name="SAPBEXHLevel1 5 3 3 2" xfId="33811"/>
    <cellStyle name="SAPBEXHLevel1 5 3 3 2 2" xfId="33812"/>
    <cellStyle name="SAPBEXHLevel1 5 3 3 3" xfId="33813"/>
    <cellStyle name="SAPBEXHLevel1 5 3 4" xfId="33814"/>
    <cellStyle name="SAPBEXHLevel1 5 3 4 2" xfId="33815"/>
    <cellStyle name="SAPBEXHLevel1 5 3 4 2 2" xfId="33816"/>
    <cellStyle name="SAPBEXHLevel1 5 3 4 3" xfId="33817"/>
    <cellStyle name="SAPBEXHLevel1 5 3 5" xfId="33818"/>
    <cellStyle name="SAPBEXHLevel1 5 3 5 2" xfId="33819"/>
    <cellStyle name="SAPBEXHLevel1 5 3 5 2 2" xfId="33820"/>
    <cellStyle name="SAPBEXHLevel1 5 3 5 3" xfId="33821"/>
    <cellStyle name="SAPBEXHLevel1 5 3 6" xfId="33822"/>
    <cellStyle name="SAPBEXHLevel1 5 4" xfId="33823"/>
    <cellStyle name="SAPBEXHLevel1 5 4 2" xfId="33824"/>
    <cellStyle name="SAPBEXHLevel1 5 4 2 2" xfId="33825"/>
    <cellStyle name="SAPBEXHLevel1 5 4 2 2 2" xfId="33826"/>
    <cellStyle name="SAPBEXHLevel1 5 4 2 3" xfId="33827"/>
    <cellStyle name="SAPBEXHLevel1 5 4 3" xfId="33828"/>
    <cellStyle name="SAPBEXHLevel1 5 4 3 2" xfId="33829"/>
    <cellStyle name="SAPBEXHLevel1 5 4 3 2 2" xfId="33830"/>
    <cellStyle name="SAPBEXHLevel1 5 4 3 3" xfId="33831"/>
    <cellStyle name="SAPBEXHLevel1 5 4 4" xfId="33832"/>
    <cellStyle name="SAPBEXHLevel1 5 4 4 2" xfId="33833"/>
    <cellStyle name="SAPBEXHLevel1 5 4 4 2 2" xfId="33834"/>
    <cellStyle name="SAPBEXHLevel1 5 4 4 3" xfId="33835"/>
    <cellStyle name="SAPBEXHLevel1 5 4 5" xfId="33836"/>
    <cellStyle name="SAPBEXHLevel1 5 5" xfId="33837"/>
    <cellStyle name="SAPBEXHLevel1 5 5 2" xfId="33838"/>
    <cellStyle name="SAPBEXHLevel1 5 5 2 2" xfId="33839"/>
    <cellStyle name="SAPBEXHLevel1 5 5 2 2 2" xfId="33840"/>
    <cellStyle name="SAPBEXHLevel1 5 5 2 3" xfId="33841"/>
    <cellStyle name="SAPBEXHLevel1 5 5 3" xfId="33842"/>
    <cellStyle name="SAPBEXHLevel1 5 5 3 2" xfId="33843"/>
    <cellStyle name="SAPBEXHLevel1 5 5 3 2 2" xfId="33844"/>
    <cellStyle name="SAPBEXHLevel1 5 5 3 3" xfId="33845"/>
    <cellStyle name="SAPBEXHLevel1 5 5 4" xfId="33846"/>
    <cellStyle name="SAPBEXHLevel1 5 5 4 2" xfId="33847"/>
    <cellStyle name="SAPBEXHLevel1 5 5 5" xfId="33848"/>
    <cellStyle name="SAPBEXHLevel1 5 6" xfId="33849"/>
    <cellStyle name="SAPBEXHLevel1 5 6 2" xfId="33850"/>
    <cellStyle name="SAPBEXHLevel1 5 6 2 2" xfId="33851"/>
    <cellStyle name="SAPBEXHLevel1 5 6 3" xfId="33852"/>
    <cellStyle name="SAPBEXHLevel1 5 7" xfId="33853"/>
    <cellStyle name="SAPBEXHLevel1 5 7 2" xfId="33854"/>
    <cellStyle name="SAPBEXHLevel1 5 7 2 2" xfId="33855"/>
    <cellStyle name="SAPBEXHLevel1 5 7 3" xfId="33856"/>
    <cellStyle name="SAPBEXHLevel1 5 8" xfId="33857"/>
    <cellStyle name="SAPBEXHLevel1 5 8 2" xfId="33858"/>
    <cellStyle name="SAPBEXHLevel1 5 8 2 2" xfId="33859"/>
    <cellStyle name="SAPBEXHLevel1 5 8 3" xfId="33860"/>
    <cellStyle name="SAPBEXHLevel1 5 9" xfId="33861"/>
    <cellStyle name="SAPBEXHLevel1 6" xfId="33862"/>
    <cellStyle name="SAPBEXHLevel1 6 2" xfId="33863"/>
    <cellStyle name="SAPBEXHLevel1 6 2 2" xfId="33864"/>
    <cellStyle name="SAPBEXHLevel1 6 2 2 2" xfId="33865"/>
    <cellStyle name="SAPBEXHLevel1 6 2 2 2 2" xfId="33866"/>
    <cellStyle name="SAPBEXHLevel1 6 2 2 2 2 2" xfId="33867"/>
    <cellStyle name="SAPBEXHLevel1 6 2 2 2 3" xfId="33868"/>
    <cellStyle name="SAPBEXHLevel1 6 2 2 3" xfId="33869"/>
    <cellStyle name="SAPBEXHLevel1 6 2 3" xfId="33870"/>
    <cellStyle name="SAPBEXHLevel1 6 2 3 2" xfId="33871"/>
    <cellStyle name="SAPBEXHLevel1 6 2 3 2 2" xfId="33872"/>
    <cellStyle name="SAPBEXHLevel1 6 2 3 3" xfId="33873"/>
    <cellStyle name="SAPBEXHLevel1 6 2 4" xfId="33874"/>
    <cellStyle name="SAPBEXHLevel1 6 2 4 2" xfId="33875"/>
    <cellStyle name="SAPBEXHLevel1 6 2 4 2 2" xfId="33876"/>
    <cellStyle name="SAPBEXHLevel1 6 2 4 3" xfId="33877"/>
    <cellStyle name="SAPBEXHLevel1 6 2 5" xfId="33878"/>
    <cellStyle name="SAPBEXHLevel1 6 2 5 2" xfId="33879"/>
    <cellStyle name="SAPBEXHLevel1 6 2 5 2 2" xfId="33880"/>
    <cellStyle name="SAPBEXHLevel1 6 2 5 3" xfId="33881"/>
    <cellStyle name="SAPBEXHLevel1 6 2 6" xfId="33882"/>
    <cellStyle name="SAPBEXHLevel1 6 3" xfId="33883"/>
    <cellStyle name="SAPBEXHLevel1 6 3 2" xfId="33884"/>
    <cellStyle name="SAPBEXHLevel1 6 3 2 2" xfId="33885"/>
    <cellStyle name="SAPBEXHLevel1 6 3 2 2 2" xfId="33886"/>
    <cellStyle name="SAPBEXHLevel1 6 3 2 2 2 2" xfId="33887"/>
    <cellStyle name="SAPBEXHLevel1 6 3 2 2 3" xfId="33888"/>
    <cellStyle name="SAPBEXHLevel1 6 3 2 3" xfId="33889"/>
    <cellStyle name="SAPBEXHLevel1 6 3 3" xfId="33890"/>
    <cellStyle name="SAPBEXHLevel1 6 3 3 2" xfId="33891"/>
    <cellStyle name="SAPBEXHLevel1 6 3 3 2 2" xfId="33892"/>
    <cellStyle name="SAPBEXHLevel1 6 3 3 3" xfId="33893"/>
    <cellStyle name="SAPBEXHLevel1 6 3 4" xfId="33894"/>
    <cellStyle name="SAPBEXHLevel1 6 3 4 2" xfId="33895"/>
    <cellStyle name="SAPBEXHLevel1 6 3 4 2 2" xfId="33896"/>
    <cellStyle name="SAPBEXHLevel1 6 3 4 3" xfId="33897"/>
    <cellStyle name="SAPBEXHLevel1 6 3 5" xfId="33898"/>
    <cellStyle name="SAPBEXHLevel1 6 3 5 2" xfId="33899"/>
    <cellStyle name="SAPBEXHLevel1 6 3 5 2 2" xfId="33900"/>
    <cellStyle name="SAPBEXHLevel1 6 3 5 3" xfId="33901"/>
    <cellStyle name="SAPBEXHLevel1 6 3 6" xfId="33902"/>
    <cellStyle name="SAPBEXHLevel1 6 4" xfId="33903"/>
    <cellStyle name="SAPBEXHLevel1 6 4 2" xfId="33904"/>
    <cellStyle name="SAPBEXHLevel1 6 4 2 2" xfId="33905"/>
    <cellStyle name="SAPBEXHLevel1 6 4 2 2 2" xfId="33906"/>
    <cellStyle name="SAPBEXHLevel1 6 4 2 3" xfId="33907"/>
    <cellStyle name="SAPBEXHLevel1 6 4 3" xfId="33908"/>
    <cellStyle name="SAPBEXHLevel1 6 4 3 2" xfId="33909"/>
    <cellStyle name="SAPBEXHLevel1 6 4 3 2 2" xfId="33910"/>
    <cellStyle name="SAPBEXHLevel1 6 4 3 3" xfId="33911"/>
    <cellStyle name="SAPBEXHLevel1 6 4 4" xfId="33912"/>
    <cellStyle name="SAPBEXHLevel1 6 4 4 2" xfId="33913"/>
    <cellStyle name="SAPBEXHLevel1 6 4 4 2 2" xfId="33914"/>
    <cellStyle name="SAPBEXHLevel1 6 4 4 3" xfId="33915"/>
    <cellStyle name="SAPBEXHLevel1 6 4 5" xfId="33916"/>
    <cellStyle name="SAPBEXHLevel1 6 5" xfId="33917"/>
    <cellStyle name="SAPBEXHLevel1 6 5 2" xfId="33918"/>
    <cellStyle name="SAPBEXHLevel1 6 5 2 2" xfId="33919"/>
    <cellStyle name="SAPBEXHLevel1 6 5 2 2 2" xfId="33920"/>
    <cellStyle name="SAPBEXHLevel1 6 5 2 3" xfId="33921"/>
    <cellStyle name="SAPBEXHLevel1 6 5 3" xfId="33922"/>
    <cellStyle name="SAPBEXHLevel1 6 5 3 2" xfId="33923"/>
    <cellStyle name="SAPBEXHLevel1 6 5 3 2 2" xfId="33924"/>
    <cellStyle name="SAPBEXHLevel1 6 5 3 3" xfId="33925"/>
    <cellStyle name="SAPBEXHLevel1 6 5 4" xfId="33926"/>
    <cellStyle name="SAPBEXHLevel1 6 5 4 2" xfId="33927"/>
    <cellStyle name="SAPBEXHLevel1 6 5 5" xfId="33928"/>
    <cellStyle name="SAPBEXHLevel1 6 6" xfId="33929"/>
    <cellStyle name="SAPBEXHLevel1 6 6 2" xfId="33930"/>
    <cellStyle name="SAPBEXHLevel1 6 6 2 2" xfId="33931"/>
    <cellStyle name="SAPBEXHLevel1 6 6 3" xfId="33932"/>
    <cellStyle name="SAPBEXHLevel1 6 7" xfId="33933"/>
    <cellStyle name="SAPBEXHLevel1 6 7 2" xfId="33934"/>
    <cellStyle name="SAPBEXHLevel1 6 7 2 2" xfId="33935"/>
    <cellStyle name="SAPBEXHLevel1 6 7 3" xfId="33936"/>
    <cellStyle name="SAPBEXHLevel1 6 8" xfId="33937"/>
    <cellStyle name="SAPBEXHLevel1 6 8 2" xfId="33938"/>
    <cellStyle name="SAPBEXHLevel1 6 8 2 2" xfId="33939"/>
    <cellStyle name="SAPBEXHLevel1 6 8 3" xfId="33940"/>
    <cellStyle name="SAPBEXHLevel1 6 9" xfId="33941"/>
    <cellStyle name="SAPBEXHLevel1 7" xfId="33942"/>
    <cellStyle name="SAPBEXHLevel1 7 2" xfId="33943"/>
    <cellStyle name="SAPBEXHLevel1 7 2 2" xfId="33944"/>
    <cellStyle name="SAPBEXHLevel1 7 2 2 2" xfId="33945"/>
    <cellStyle name="SAPBEXHLevel1 7 2 2 2 2" xfId="33946"/>
    <cellStyle name="SAPBEXHLevel1 7 2 2 2 2 2" xfId="33947"/>
    <cellStyle name="SAPBEXHLevel1 7 2 2 2 3" xfId="33948"/>
    <cellStyle name="SAPBEXHLevel1 7 2 2 3" xfId="33949"/>
    <cellStyle name="SAPBEXHLevel1 7 2 3" xfId="33950"/>
    <cellStyle name="SAPBEXHLevel1 7 2 3 2" xfId="33951"/>
    <cellStyle name="SAPBEXHLevel1 7 2 3 2 2" xfId="33952"/>
    <cellStyle name="SAPBEXHLevel1 7 2 3 3" xfId="33953"/>
    <cellStyle name="SAPBEXHLevel1 7 2 4" xfId="33954"/>
    <cellStyle name="SAPBEXHLevel1 7 2 4 2" xfId="33955"/>
    <cellStyle name="SAPBEXHLevel1 7 2 4 2 2" xfId="33956"/>
    <cellStyle name="SAPBEXHLevel1 7 2 4 3" xfId="33957"/>
    <cellStyle name="SAPBEXHLevel1 7 2 5" xfId="33958"/>
    <cellStyle name="SAPBEXHLevel1 7 2 5 2" xfId="33959"/>
    <cellStyle name="SAPBEXHLevel1 7 2 5 2 2" xfId="33960"/>
    <cellStyle name="SAPBEXHLevel1 7 2 5 3" xfId="33961"/>
    <cellStyle name="SAPBEXHLevel1 7 2 6" xfId="33962"/>
    <cellStyle name="SAPBEXHLevel1 7 3" xfId="33963"/>
    <cellStyle name="SAPBEXHLevel1 7 3 2" xfId="33964"/>
    <cellStyle name="SAPBEXHLevel1 7 3 2 2" xfId="33965"/>
    <cellStyle name="SAPBEXHLevel1 7 3 2 2 2" xfId="33966"/>
    <cellStyle name="SAPBEXHLevel1 7 3 2 2 2 2" xfId="33967"/>
    <cellStyle name="SAPBEXHLevel1 7 3 2 2 3" xfId="33968"/>
    <cellStyle name="SAPBEXHLevel1 7 3 2 3" xfId="33969"/>
    <cellStyle name="SAPBEXHLevel1 7 3 3" xfId="33970"/>
    <cellStyle name="SAPBEXHLevel1 7 3 3 2" xfId="33971"/>
    <cellStyle name="SAPBEXHLevel1 7 3 3 2 2" xfId="33972"/>
    <cellStyle name="SAPBEXHLevel1 7 3 3 3" xfId="33973"/>
    <cellStyle name="SAPBEXHLevel1 7 3 4" xfId="33974"/>
    <cellStyle name="SAPBEXHLevel1 7 3 4 2" xfId="33975"/>
    <cellStyle name="SAPBEXHLevel1 7 3 4 2 2" xfId="33976"/>
    <cellStyle name="SAPBEXHLevel1 7 3 4 3" xfId="33977"/>
    <cellStyle name="SAPBEXHLevel1 7 3 5" xfId="33978"/>
    <cellStyle name="SAPBEXHLevel1 7 3 5 2" xfId="33979"/>
    <cellStyle name="SAPBEXHLevel1 7 3 5 2 2" xfId="33980"/>
    <cellStyle name="SAPBEXHLevel1 7 3 5 3" xfId="33981"/>
    <cellStyle name="SAPBEXHLevel1 7 3 6" xfId="33982"/>
    <cellStyle name="SAPBEXHLevel1 7 4" xfId="33983"/>
    <cellStyle name="SAPBEXHLevel1 7 4 2" xfId="33984"/>
    <cellStyle name="SAPBEXHLevel1 7 4 2 2" xfId="33985"/>
    <cellStyle name="SAPBEXHLevel1 7 4 2 2 2" xfId="33986"/>
    <cellStyle name="SAPBEXHLevel1 7 4 2 3" xfId="33987"/>
    <cellStyle name="SAPBEXHLevel1 7 4 3" xfId="33988"/>
    <cellStyle name="SAPBEXHLevel1 7 4 3 2" xfId="33989"/>
    <cellStyle name="SAPBEXHLevel1 7 4 3 2 2" xfId="33990"/>
    <cellStyle name="SAPBEXHLevel1 7 4 3 3" xfId="33991"/>
    <cellStyle name="SAPBEXHLevel1 7 4 4" xfId="33992"/>
    <cellStyle name="SAPBEXHLevel1 7 4 4 2" xfId="33993"/>
    <cellStyle name="SAPBEXHLevel1 7 4 4 2 2" xfId="33994"/>
    <cellStyle name="SAPBEXHLevel1 7 4 4 3" xfId="33995"/>
    <cellStyle name="SAPBEXHLevel1 7 4 5" xfId="33996"/>
    <cellStyle name="SAPBEXHLevel1 7 5" xfId="33997"/>
    <cellStyle name="SAPBEXHLevel1 7 5 2" xfId="33998"/>
    <cellStyle name="SAPBEXHLevel1 7 5 2 2" xfId="33999"/>
    <cellStyle name="SAPBEXHLevel1 7 5 2 2 2" xfId="34000"/>
    <cellStyle name="SAPBEXHLevel1 7 5 2 3" xfId="34001"/>
    <cellStyle name="SAPBEXHLevel1 7 5 3" xfId="34002"/>
    <cellStyle name="SAPBEXHLevel1 7 5 3 2" xfId="34003"/>
    <cellStyle name="SAPBEXHLevel1 7 5 3 2 2" xfId="34004"/>
    <cellStyle name="SAPBEXHLevel1 7 5 3 3" xfId="34005"/>
    <cellStyle name="SAPBEXHLevel1 7 5 4" xfId="34006"/>
    <cellStyle name="SAPBEXHLevel1 7 5 4 2" xfId="34007"/>
    <cellStyle name="SAPBEXHLevel1 7 5 5" xfId="34008"/>
    <cellStyle name="SAPBEXHLevel1 7 6" xfId="34009"/>
    <cellStyle name="SAPBEXHLevel1 7 6 2" xfId="34010"/>
    <cellStyle name="SAPBEXHLevel1 7 6 2 2" xfId="34011"/>
    <cellStyle name="SAPBEXHLevel1 7 6 3" xfId="34012"/>
    <cellStyle name="SAPBEXHLevel1 7 7" xfId="34013"/>
    <cellStyle name="SAPBEXHLevel1 7 7 2" xfId="34014"/>
    <cellStyle name="SAPBEXHLevel1 7 7 2 2" xfId="34015"/>
    <cellStyle name="SAPBEXHLevel1 7 7 3" xfId="34016"/>
    <cellStyle name="SAPBEXHLevel1 7 8" xfId="34017"/>
    <cellStyle name="SAPBEXHLevel1 7 8 2" xfId="34018"/>
    <cellStyle name="SAPBEXHLevel1 7 8 2 2" xfId="34019"/>
    <cellStyle name="SAPBEXHLevel1 7 8 3" xfId="34020"/>
    <cellStyle name="SAPBEXHLevel1 7 9" xfId="34021"/>
    <cellStyle name="SAPBEXHLevel1 8" xfId="34022"/>
    <cellStyle name="SAPBEXHLevel1 8 10" xfId="34023"/>
    <cellStyle name="SAPBEXHLevel1 8 2" xfId="34024"/>
    <cellStyle name="SAPBEXHLevel1 8 2 2" xfId="34025"/>
    <cellStyle name="SAPBEXHLevel1 8 2 2 2" xfId="34026"/>
    <cellStyle name="SAPBEXHLevel1 8 2 2 2 2" xfId="34027"/>
    <cellStyle name="SAPBEXHLevel1 8 2 2 2 2 2" xfId="34028"/>
    <cellStyle name="SAPBEXHLevel1 8 2 2 2 3" xfId="34029"/>
    <cellStyle name="SAPBEXHLevel1 8 2 2 3" xfId="34030"/>
    <cellStyle name="SAPBEXHLevel1 8 2 3" xfId="34031"/>
    <cellStyle name="SAPBEXHLevel1 8 2 3 2" xfId="34032"/>
    <cellStyle name="SAPBEXHLevel1 8 2 3 2 2" xfId="34033"/>
    <cellStyle name="SAPBEXHLevel1 8 2 3 3" xfId="34034"/>
    <cellStyle name="SAPBEXHLevel1 8 2 4" xfId="34035"/>
    <cellStyle name="SAPBEXHLevel1 8 2 4 2" xfId="34036"/>
    <cellStyle name="SAPBEXHLevel1 8 2 4 2 2" xfId="34037"/>
    <cellStyle name="SAPBEXHLevel1 8 2 4 3" xfId="34038"/>
    <cellStyle name="SAPBEXHLevel1 8 2 5" xfId="34039"/>
    <cellStyle name="SAPBEXHLevel1 8 2 5 2" xfId="34040"/>
    <cellStyle name="SAPBEXHLevel1 8 2 5 2 2" xfId="34041"/>
    <cellStyle name="SAPBEXHLevel1 8 2 5 3" xfId="34042"/>
    <cellStyle name="SAPBEXHLevel1 8 2 6" xfId="34043"/>
    <cellStyle name="SAPBEXHLevel1 8 3" xfId="34044"/>
    <cellStyle name="SAPBEXHLevel1 8 3 2" xfId="34045"/>
    <cellStyle name="SAPBEXHLevel1 8 3 2 2" xfId="34046"/>
    <cellStyle name="SAPBEXHLevel1 8 3 2 2 2" xfId="34047"/>
    <cellStyle name="SAPBEXHLevel1 8 3 2 2 2 2" xfId="34048"/>
    <cellStyle name="SAPBEXHLevel1 8 3 2 2 3" xfId="34049"/>
    <cellStyle name="SAPBEXHLevel1 8 3 2 3" xfId="34050"/>
    <cellStyle name="SAPBEXHLevel1 8 3 3" xfId="34051"/>
    <cellStyle name="SAPBEXHLevel1 8 3 3 2" xfId="34052"/>
    <cellStyle name="SAPBEXHLevel1 8 3 3 2 2" xfId="34053"/>
    <cellStyle name="SAPBEXHLevel1 8 3 3 3" xfId="34054"/>
    <cellStyle name="SAPBEXHLevel1 8 3 4" xfId="34055"/>
    <cellStyle name="SAPBEXHLevel1 8 3 4 2" xfId="34056"/>
    <cellStyle name="SAPBEXHLevel1 8 3 4 2 2" xfId="34057"/>
    <cellStyle name="SAPBEXHLevel1 8 3 4 3" xfId="34058"/>
    <cellStyle name="SAPBEXHLevel1 8 3 5" xfId="34059"/>
    <cellStyle name="SAPBEXHLevel1 8 3 5 2" xfId="34060"/>
    <cellStyle name="SAPBEXHLevel1 8 3 5 2 2" xfId="34061"/>
    <cellStyle name="SAPBEXHLevel1 8 3 5 3" xfId="34062"/>
    <cellStyle name="SAPBEXHLevel1 8 3 6" xfId="34063"/>
    <cellStyle name="SAPBEXHLevel1 8 4" xfId="34064"/>
    <cellStyle name="SAPBEXHLevel1 8 4 2" xfId="34065"/>
    <cellStyle name="SAPBEXHLevel1 8 4 2 2" xfId="34066"/>
    <cellStyle name="SAPBEXHLevel1 8 4 2 2 2" xfId="34067"/>
    <cellStyle name="SAPBEXHLevel1 8 4 2 3" xfId="34068"/>
    <cellStyle name="SAPBEXHLevel1 8 4 3" xfId="34069"/>
    <cellStyle name="SAPBEXHLevel1 8 4 3 2" xfId="34070"/>
    <cellStyle name="SAPBEXHLevel1 8 4 3 2 2" xfId="34071"/>
    <cellStyle name="SAPBEXHLevel1 8 4 3 3" xfId="34072"/>
    <cellStyle name="SAPBEXHLevel1 8 4 4" xfId="34073"/>
    <cellStyle name="SAPBEXHLevel1 8 4 4 2" xfId="34074"/>
    <cellStyle name="SAPBEXHLevel1 8 4 4 2 2" xfId="34075"/>
    <cellStyle name="SAPBEXHLevel1 8 4 4 3" xfId="34076"/>
    <cellStyle name="SAPBEXHLevel1 8 4 5" xfId="34077"/>
    <cellStyle name="SAPBEXHLevel1 8 5" xfId="34078"/>
    <cellStyle name="SAPBEXHLevel1 8 5 2" xfId="34079"/>
    <cellStyle name="SAPBEXHLevel1 8 5 2 2" xfId="34080"/>
    <cellStyle name="SAPBEXHLevel1 8 5 2 2 2" xfId="34081"/>
    <cellStyle name="SAPBEXHLevel1 8 5 2 3" xfId="34082"/>
    <cellStyle name="SAPBEXHLevel1 8 5 3" xfId="34083"/>
    <cellStyle name="SAPBEXHLevel1 8 5 3 2" xfId="34084"/>
    <cellStyle name="SAPBEXHLevel1 8 5 3 2 2" xfId="34085"/>
    <cellStyle name="SAPBEXHLevel1 8 5 3 3" xfId="34086"/>
    <cellStyle name="SAPBEXHLevel1 8 5 4" xfId="34087"/>
    <cellStyle name="SAPBEXHLevel1 8 5 4 2" xfId="34088"/>
    <cellStyle name="SAPBEXHLevel1 8 5 5" xfId="34089"/>
    <cellStyle name="SAPBEXHLevel1 8 6" xfId="34090"/>
    <cellStyle name="SAPBEXHLevel1 8 6 2" xfId="34091"/>
    <cellStyle name="SAPBEXHLevel1 8 6 2 2" xfId="34092"/>
    <cellStyle name="SAPBEXHLevel1 8 6 3" xfId="34093"/>
    <cellStyle name="SAPBEXHLevel1 8 7" xfId="34094"/>
    <cellStyle name="SAPBEXHLevel1 8 7 2" xfId="34095"/>
    <cellStyle name="SAPBEXHLevel1 8 7 2 2" xfId="34096"/>
    <cellStyle name="SAPBEXHLevel1 8 7 3" xfId="34097"/>
    <cellStyle name="SAPBEXHLevel1 8 8" xfId="34098"/>
    <cellStyle name="SAPBEXHLevel1 8 8 2" xfId="34099"/>
    <cellStyle name="SAPBEXHLevel1 8 8 2 2" xfId="34100"/>
    <cellStyle name="SAPBEXHLevel1 8 8 3" xfId="34101"/>
    <cellStyle name="SAPBEXHLevel1 8 9" xfId="34102"/>
    <cellStyle name="SAPBEXHLevel1 8 9 2" xfId="34103"/>
    <cellStyle name="SAPBEXHLevel1 9" xfId="34104"/>
    <cellStyle name="SAPBEXHLevel1 9 2" xfId="34105"/>
    <cellStyle name="SAPBEXHLevel1 9 2 2" xfId="34106"/>
    <cellStyle name="SAPBEXHLevel1 9 2 2 2" xfId="34107"/>
    <cellStyle name="SAPBEXHLevel1 9 2 2 2 2" xfId="34108"/>
    <cellStyle name="SAPBEXHLevel1 9 2 2 2 2 2" xfId="34109"/>
    <cellStyle name="SAPBEXHLevel1 9 2 2 2 3" xfId="34110"/>
    <cellStyle name="SAPBEXHLevel1 9 2 2 3" xfId="34111"/>
    <cellStyle name="SAPBEXHLevel1 9 2 3" xfId="34112"/>
    <cellStyle name="SAPBEXHLevel1 9 2 3 2" xfId="34113"/>
    <cellStyle name="SAPBEXHLevel1 9 2 3 2 2" xfId="34114"/>
    <cellStyle name="SAPBEXHLevel1 9 2 3 3" xfId="34115"/>
    <cellStyle name="SAPBEXHLevel1 9 2 4" xfId="34116"/>
    <cellStyle name="SAPBEXHLevel1 9 2 4 2" xfId="34117"/>
    <cellStyle name="SAPBEXHLevel1 9 2 4 2 2" xfId="34118"/>
    <cellStyle name="SAPBEXHLevel1 9 2 4 3" xfId="34119"/>
    <cellStyle name="SAPBEXHLevel1 9 2 5" xfId="34120"/>
    <cellStyle name="SAPBEXHLevel1 9 3" xfId="34121"/>
    <cellStyle name="SAPBEXHLevel1 9 3 2" xfId="34122"/>
    <cellStyle name="SAPBEXHLevel1 9 3 2 2" xfId="34123"/>
    <cellStyle name="SAPBEXHLevel1 9 3 2 2 2" xfId="34124"/>
    <cellStyle name="SAPBEXHLevel1 9 3 2 2 2 2" xfId="34125"/>
    <cellStyle name="SAPBEXHLevel1 9 3 2 2 3" xfId="34126"/>
    <cellStyle name="SAPBEXHLevel1 9 3 2 3" xfId="34127"/>
    <cellStyle name="SAPBEXHLevel1 9 3 3" xfId="34128"/>
    <cellStyle name="SAPBEXHLevel1 9 3 3 2" xfId="34129"/>
    <cellStyle name="SAPBEXHLevel1 9 3 3 2 2" xfId="34130"/>
    <cellStyle name="SAPBEXHLevel1 9 3 3 3" xfId="34131"/>
    <cellStyle name="SAPBEXHLevel1 9 3 4" xfId="34132"/>
    <cellStyle name="SAPBEXHLevel1 9 3 4 2" xfId="34133"/>
    <cellStyle name="SAPBEXHLevel1 9 3 4 2 2" xfId="34134"/>
    <cellStyle name="SAPBEXHLevel1 9 3 4 3" xfId="34135"/>
    <cellStyle name="SAPBEXHLevel1 9 3 5" xfId="34136"/>
    <cellStyle name="SAPBEXHLevel1 9 4" xfId="34137"/>
    <cellStyle name="SAPBEXHLevel1 9 4 2" xfId="34138"/>
    <cellStyle name="SAPBEXHLevel1 9 4 2 2" xfId="34139"/>
    <cellStyle name="SAPBEXHLevel1 9 4 2 2 2" xfId="34140"/>
    <cellStyle name="SAPBEXHLevel1 9 4 2 3" xfId="34141"/>
    <cellStyle name="SAPBEXHLevel1 9 4 3" xfId="34142"/>
    <cellStyle name="SAPBEXHLevel1 9 4 3 2" xfId="34143"/>
    <cellStyle name="SAPBEXHLevel1 9 4 3 2 2" xfId="34144"/>
    <cellStyle name="SAPBEXHLevel1 9 4 3 3" xfId="34145"/>
    <cellStyle name="SAPBEXHLevel1 9 4 4" xfId="34146"/>
    <cellStyle name="SAPBEXHLevel1 9 4 4 2" xfId="34147"/>
    <cellStyle name="SAPBEXHLevel1 9 4 4 2 2" xfId="34148"/>
    <cellStyle name="SAPBEXHLevel1 9 4 4 3" xfId="34149"/>
    <cellStyle name="SAPBEXHLevel1 9 4 5" xfId="34150"/>
    <cellStyle name="SAPBEXHLevel1 9 5" xfId="34151"/>
    <cellStyle name="SAPBEXHLevel1 9 5 2" xfId="34152"/>
    <cellStyle name="SAPBEXHLevel1 9 5 2 2" xfId="34153"/>
    <cellStyle name="SAPBEXHLevel1 9 5 3" xfId="34154"/>
    <cellStyle name="SAPBEXHLevel1 9 6" xfId="34155"/>
    <cellStyle name="SAPBEXHLevel1 9 6 2" xfId="34156"/>
    <cellStyle name="SAPBEXHLevel1 9 6 2 2" xfId="34157"/>
    <cellStyle name="SAPBEXHLevel1 9 6 3" xfId="34158"/>
    <cellStyle name="SAPBEXHLevel1 9 7" xfId="34159"/>
    <cellStyle name="SAPBEXHLevel1_ACS May 2012" xfId="34160"/>
    <cellStyle name="SAPBEXstdData" xfId="34161"/>
    <cellStyle name="SAPBEXstdData 10" xfId="34162"/>
    <cellStyle name="SAPBEXstdData 10 2" xfId="34163"/>
    <cellStyle name="SAPBEXstdData 10 2 2" xfId="34164"/>
    <cellStyle name="SAPBEXstdData 10 2 2 2" xfId="34165"/>
    <cellStyle name="SAPBEXstdData 10 2 3" xfId="34166"/>
    <cellStyle name="SAPBEXstdData 10 3" xfId="34167"/>
    <cellStyle name="SAPBEXstdData 10 3 2" xfId="34168"/>
    <cellStyle name="SAPBEXstdData 10 3 2 2" xfId="34169"/>
    <cellStyle name="SAPBEXstdData 10 3 3" xfId="34170"/>
    <cellStyle name="SAPBEXstdData 10 4" xfId="34171"/>
    <cellStyle name="SAPBEXstdData 10 4 2" xfId="34172"/>
    <cellStyle name="SAPBEXstdData 10 4 2 2" xfId="34173"/>
    <cellStyle name="SAPBEXstdData 10 4 3" xfId="34174"/>
    <cellStyle name="SAPBEXstdData 10 5" xfId="34175"/>
    <cellStyle name="SAPBEXstdData 11" xfId="34176"/>
    <cellStyle name="SAPBEXstdData 11 2" xfId="34177"/>
    <cellStyle name="SAPBEXstdData 11 2 2" xfId="34178"/>
    <cellStyle name="SAPBEXstdData 11 3" xfId="34179"/>
    <cellStyle name="SAPBEXstdData 12" xfId="34180"/>
    <cellStyle name="SAPBEXstdData 12 2" xfId="34181"/>
    <cellStyle name="SAPBEXstdData 12 2 2" xfId="34182"/>
    <cellStyle name="SAPBEXstdData 12 3" xfId="34183"/>
    <cellStyle name="SAPBEXstdData 13" xfId="34184"/>
    <cellStyle name="SAPBEXstdData 2" xfId="34185"/>
    <cellStyle name="SAPBEXstdData 2 2" xfId="34186"/>
    <cellStyle name="SAPBEXstdData 2 2 2" xfId="34187"/>
    <cellStyle name="SAPBEXstdData 2 2 2 2" xfId="34188"/>
    <cellStyle name="SAPBEXstdData 2 2 2 2 2" xfId="34189"/>
    <cellStyle name="SAPBEXstdData 2 2 2 2 2 2" xfId="34190"/>
    <cellStyle name="SAPBEXstdData 2 2 2 2 3" xfId="34191"/>
    <cellStyle name="SAPBEXstdData 2 2 2 3" xfId="34192"/>
    <cellStyle name="SAPBEXstdData 2 2 3" xfId="34193"/>
    <cellStyle name="SAPBEXstdData 2 2 3 2" xfId="34194"/>
    <cellStyle name="SAPBEXstdData 2 2 3 2 2" xfId="34195"/>
    <cellStyle name="SAPBEXstdData 2 2 3 3" xfId="34196"/>
    <cellStyle name="SAPBEXstdData 2 2 4" xfId="34197"/>
    <cellStyle name="SAPBEXstdData 2 2 4 2" xfId="34198"/>
    <cellStyle name="SAPBEXstdData 2 2 4 2 2" xfId="34199"/>
    <cellStyle name="SAPBEXstdData 2 2 4 3" xfId="34200"/>
    <cellStyle name="SAPBEXstdData 2 2 5" xfId="34201"/>
    <cellStyle name="SAPBEXstdData 2 3" xfId="34202"/>
    <cellStyle name="SAPBEXstdData 2 3 2" xfId="34203"/>
    <cellStyle name="SAPBEXstdData 2 3 2 2" xfId="34204"/>
    <cellStyle name="SAPBEXstdData 2 3 2 2 2" xfId="34205"/>
    <cellStyle name="SAPBEXstdData 2 3 2 2 2 2" xfId="34206"/>
    <cellStyle name="SAPBEXstdData 2 3 2 2 3" xfId="34207"/>
    <cellStyle name="SAPBEXstdData 2 3 2 3" xfId="34208"/>
    <cellStyle name="SAPBEXstdData 2 3 3" xfId="34209"/>
    <cellStyle name="SAPBEXstdData 2 3 3 2" xfId="34210"/>
    <cellStyle name="SAPBEXstdData 2 3 3 2 2" xfId="34211"/>
    <cellStyle name="SAPBEXstdData 2 3 3 3" xfId="34212"/>
    <cellStyle name="SAPBEXstdData 2 3 4" xfId="34213"/>
    <cellStyle name="SAPBEXstdData 2 3 4 2" xfId="34214"/>
    <cellStyle name="SAPBEXstdData 2 3 4 2 2" xfId="34215"/>
    <cellStyle name="SAPBEXstdData 2 3 4 3" xfId="34216"/>
    <cellStyle name="SAPBEXstdData 2 3 5" xfId="34217"/>
    <cellStyle name="SAPBEXstdData 2 4" xfId="34218"/>
    <cellStyle name="SAPBEXstdData 2 4 2" xfId="34219"/>
    <cellStyle name="SAPBEXstdData 2 4 2 2" xfId="34220"/>
    <cellStyle name="SAPBEXstdData 2 4 2 2 2" xfId="34221"/>
    <cellStyle name="SAPBEXstdData 2 4 2 3" xfId="34222"/>
    <cellStyle name="SAPBEXstdData 2 4 3" xfId="34223"/>
    <cellStyle name="SAPBEXstdData 2 4 3 2" xfId="34224"/>
    <cellStyle name="SAPBEXstdData 2 4 3 2 2" xfId="34225"/>
    <cellStyle name="SAPBEXstdData 2 4 3 3" xfId="34226"/>
    <cellStyle name="SAPBEXstdData 2 4 4" xfId="34227"/>
    <cellStyle name="SAPBEXstdData 2 4 4 2" xfId="34228"/>
    <cellStyle name="SAPBEXstdData 2 4 4 2 2" xfId="34229"/>
    <cellStyle name="SAPBEXstdData 2 4 4 3" xfId="34230"/>
    <cellStyle name="SAPBEXstdData 2 4 5" xfId="34231"/>
    <cellStyle name="SAPBEXstdData 2 5" xfId="34232"/>
    <cellStyle name="SAPBEXstdData 2 5 2" xfId="34233"/>
    <cellStyle name="SAPBEXstdData 2 5 2 2" xfId="34234"/>
    <cellStyle name="SAPBEXstdData 2 5 2 2 2" xfId="34235"/>
    <cellStyle name="SAPBEXstdData 2 5 2 3" xfId="34236"/>
    <cellStyle name="SAPBEXstdData 2 5 3" xfId="34237"/>
    <cellStyle name="SAPBEXstdData 2 5 3 2" xfId="34238"/>
    <cellStyle name="SAPBEXstdData 2 5 3 2 2" xfId="34239"/>
    <cellStyle name="SAPBEXstdData 2 5 3 3" xfId="34240"/>
    <cellStyle name="SAPBEXstdData 2 5 4" xfId="34241"/>
    <cellStyle name="SAPBEXstdData 2 5 4 2" xfId="34242"/>
    <cellStyle name="SAPBEXstdData 2 5 5" xfId="34243"/>
    <cellStyle name="SAPBEXstdData 2 6" xfId="34244"/>
    <cellStyle name="SAPBEXstdData 2 6 2" xfId="34245"/>
    <cellStyle name="SAPBEXstdData 2 6 2 2" xfId="34246"/>
    <cellStyle name="SAPBEXstdData 2 6 3" xfId="34247"/>
    <cellStyle name="SAPBEXstdData 2 7" xfId="34248"/>
    <cellStyle name="SAPBEXstdData 2 7 2" xfId="34249"/>
    <cellStyle name="SAPBEXstdData 2 7 2 2" xfId="34250"/>
    <cellStyle name="SAPBEXstdData 2 7 3" xfId="34251"/>
    <cellStyle name="SAPBEXstdData 2 8" xfId="34252"/>
    <cellStyle name="SAPBEXstdData 3" xfId="34253"/>
    <cellStyle name="SAPBEXstdData 3 2" xfId="34254"/>
    <cellStyle name="SAPBEXstdData 3 2 2" xfId="34255"/>
    <cellStyle name="SAPBEXstdData 3 2 2 2" xfId="34256"/>
    <cellStyle name="SAPBEXstdData 3 2 2 2 2" xfId="34257"/>
    <cellStyle name="SAPBEXstdData 3 2 2 2 2 2" xfId="34258"/>
    <cellStyle name="SAPBEXstdData 3 2 2 2 3" xfId="34259"/>
    <cellStyle name="SAPBEXstdData 3 2 2 3" xfId="34260"/>
    <cellStyle name="SAPBEXstdData 3 2 3" xfId="34261"/>
    <cellStyle name="SAPBEXstdData 3 2 3 2" xfId="34262"/>
    <cellStyle name="SAPBEXstdData 3 2 3 2 2" xfId="34263"/>
    <cellStyle name="SAPBEXstdData 3 2 3 3" xfId="34264"/>
    <cellStyle name="SAPBEXstdData 3 2 4" xfId="34265"/>
    <cellStyle name="SAPBEXstdData 3 2 4 2" xfId="34266"/>
    <cellStyle name="SAPBEXstdData 3 2 4 2 2" xfId="34267"/>
    <cellStyle name="SAPBEXstdData 3 2 4 3" xfId="34268"/>
    <cellStyle name="SAPBEXstdData 3 2 5" xfId="34269"/>
    <cellStyle name="SAPBEXstdData 3 3" xfId="34270"/>
    <cellStyle name="SAPBEXstdData 3 3 2" xfId="34271"/>
    <cellStyle name="SAPBEXstdData 3 3 2 2" xfId="34272"/>
    <cellStyle name="SAPBEXstdData 3 3 2 2 2" xfId="34273"/>
    <cellStyle name="SAPBEXstdData 3 3 2 2 2 2" xfId="34274"/>
    <cellStyle name="SAPBEXstdData 3 3 2 2 3" xfId="34275"/>
    <cellStyle name="SAPBEXstdData 3 3 2 3" xfId="34276"/>
    <cellStyle name="SAPBEXstdData 3 3 3" xfId="34277"/>
    <cellStyle name="SAPBEXstdData 3 3 3 2" xfId="34278"/>
    <cellStyle name="SAPBEXstdData 3 3 3 2 2" xfId="34279"/>
    <cellStyle name="SAPBEXstdData 3 3 3 3" xfId="34280"/>
    <cellStyle name="SAPBEXstdData 3 3 4" xfId="34281"/>
    <cellStyle name="SAPBEXstdData 3 3 4 2" xfId="34282"/>
    <cellStyle name="SAPBEXstdData 3 3 4 2 2" xfId="34283"/>
    <cellStyle name="SAPBEXstdData 3 3 4 3" xfId="34284"/>
    <cellStyle name="SAPBEXstdData 3 3 5" xfId="34285"/>
    <cellStyle name="SAPBEXstdData 3 4" xfId="34286"/>
    <cellStyle name="SAPBEXstdData 3 4 2" xfId="34287"/>
    <cellStyle name="SAPBEXstdData 3 4 2 2" xfId="34288"/>
    <cellStyle name="SAPBEXstdData 3 4 2 2 2" xfId="34289"/>
    <cellStyle name="SAPBEXstdData 3 4 2 3" xfId="34290"/>
    <cellStyle name="SAPBEXstdData 3 4 3" xfId="34291"/>
    <cellStyle name="SAPBEXstdData 3 4 3 2" xfId="34292"/>
    <cellStyle name="SAPBEXstdData 3 4 3 2 2" xfId="34293"/>
    <cellStyle name="SAPBEXstdData 3 4 3 3" xfId="34294"/>
    <cellStyle name="SAPBEXstdData 3 4 4" xfId="34295"/>
    <cellStyle name="SAPBEXstdData 3 4 4 2" xfId="34296"/>
    <cellStyle name="SAPBEXstdData 3 4 4 2 2" xfId="34297"/>
    <cellStyle name="SAPBEXstdData 3 4 4 3" xfId="34298"/>
    <cellStyle name="SAPBEXstdData 3 4 5" xfId="34299"/>
    <cellStyle name="SAPBEXstdData 3 5" xfId="34300"/>
    <cellStyle name="SAPBEXstdData 3 5 2" xfId="34301"/>
    <cellStyle name="SAPBEXstdData 3 5 2 2" xfId="34302"/>
    <cellStyle name="SAPBEXstdData 3 5 2 2 2" xfId="34303"/>
    <cellStyle name="SAPBEXstdData 3 5 2 3" xfId="34304"/>
    <cellStyle name="SAPBEXstdData 3 5 3" xfId="34305"/>
    <cellStyle name="SAPBEXstdData 3 5 3 2" xfId="34306"/>
    <cellStyle name="SAPBEXstdData 3 5 3 2 2" xfId="34307"/>
    <cellStyle name="SAPBEXstdData 3 5 3 3" xfId="34308"/>
    <cellStyle name="SAPBEXstdData 3 5 4" xfId="34309"/>
    <cellStyle name="SAPBEXstdData 3 5 4 2" xfId="34310"/>
    <cellStyle name="SAPBEXstdData 3 5 5" xfId="34311"/>
    <cellStyle name="SAPBEXstdData 3 6" xfId="34312"/>
    <cellStyle name="SAPBEXstdData 3 6 2" xfId="34313"/>
    <cellStyle name="SAPBEXstdData 3 6 2 2" xfId="34314"/>
    <cellStyle name="SAPBEXstdData 3 6 3" xfId="34315"/>
    <cellStyle name="SAPBEXstdData 3 7" xfId="34316"/>
    <cellStyle name="SAPBEXstdData 3 7 2" xfId="34317"/>
    <cellStyle name="SAPBEXstdData 3 7 2 2" xfId="34318"/>
    <cellStyle name="SAPBEXstdData 3 7 3" xfId="34319"/>
    <cellStyle name="SAPBEXstdData 3 8" xfId="34320"/>
    <cellStyle name="SAPBEXstdData 4" xfId="34321"/>
    <cellStyle name="SAPBEXstdData 4 2" xfId="34322"/>
    <cellStyle name="SAPBEXstdData 4 2 2" xfId="34323"/>
    <cellStyle name="SAPBEXstdData 4 2 2 2" xfId="34324"/>
    <cellStyle name="SAPBEXstdData 4 2 2 2 2" xfId="34325"/>
    <cellStyle name="SAPBEXstdData 4 2 2 2 2 2" xfId="34326"/>
    <cellStyle name="SAPBEXstdData 4 2 2 2 3" xfId="34327"/>
    <cellStyle name="SAPBEXstdData 4 2 2 3" xfId="34328"/>
    <cellStyle name="SAPBEXstdData 4 2 3" xfId="34329"/>
    <cellStyle name="SAPBEXstdData 4 2 3 2" xfId="34330"/>
    <cellStyle name="SAPBEXstdData 4 2 3 2 2" xfId="34331"/>
    <cellStyle name="SAPBEXstdData 4 2 3 3" xfId="34332"/>
    <cellStyle name="SAPBEXstdData 4 2 4" xfId="34333"/>
    <cellStyle name="SAPBEXstdData 4 2 4 2" xfId="34334"/>
    <cellStyle name="SAPBEXstdData 4 2 4 2 2" xfId="34335"/>
    <cellStyle name="SAPBEXstdData 4 2 4 3" xfId="34336"/>
    <cellStyle name="SAPBEXstdData 4 2 5" xfId="34337"/>
    <cellStyle name="SAPBEXstdData 4 3" xfId="34338"/>
    <cellStyle name="SAPBEXstdData 4 3 2" xfId="34339"/>
    <cellStyle name="SAPBEXstdData 4 3 2 2" xfId="34340"/>
    <cellStyle name="SAPBEXstdData 4 3 2 2 2" xfId="34341"/>
    <cellStyle name="SAPBEXstdData 4 3 2 2 2 2" xfId="34342"/>
    <cellStyle name="SAPBEXstdData 4 3 2 2 3" xfId="34343"/>
    <cellStyle name="SAPBEXstdData 4 3 2 3" xfId="34344"/>
    <cellStyle name="SAPBEXstdData 4 3 3" xfId="34345"/>
    <cellStyle name="SAPBEXstdData 4 3 3 2" xfId="34346"/>
    <cellStyle name="SAPBEXstdData 4 3 3 2 2" xfId="34347"/>
    <cellStyle name="SAPBEXstdData 4 3 3 3" xfId="34348"/>
    <cellStyle name="SAPBEXstdData 4 3 4" xfId="34349"/>
    <cellStyle name="SAPBEXstdData 4 3 4 2" xfId="34350"/>
    <cellStyle name="SAPBEXstdData 4 3 4 2 2" xfId="34351"/>
    <cellStyle name="SAPBEXstdData 4 3 4 3" xfId="34352"/>
    <cellStyle name="SAPBEXstdData 4 3 5" xfId="34353"/>
    <cellStyle name="SAPBEXstdData 4 4" xfId="34354"/>
    <cellStyle name="SAPBEXstdData 4 4 2" xfId="34355"/>
    <cellStyle name="SAPBEXstdData 4 4 2 2" xfId="34356"/>
    <cellStyle name="SAPBEXstdData 4 4 2 2 2" xfId="34357"/>
    <cellStyle name="SAPBEXstdData 4 4 2 3" xfId="34358"/>
    <cellStyle name="SAPBEXstdData 4 4 3" xfId="34359"/>
    <cellStyle name="SAPBEXstdData 4 4 3 2" xfId="34360"/>
    <cellStyle name="SAPBEXstdData 4 4 3 2 2" xfId="34361"/>
    <cellStyle name="SAPBEXstdData 4 4 3 3" xfId="34362"/>
    <cellStyle name="SAPBEXstdData 4 4 4" xfId="34363"/>
    <cellStyle name="SAPBEXstdData 4 4 4 2" xfId="34364"/>
    <cellStyle name="SAPBEXstdData 4 4 4 2 2" xfId="34365"/>
    <cellStyle name="SAPBEXstdData 4 4 4 3" xfId="34366"/>
    <cellStyle name="SAPBEXstdData 4 4 5" xfId="34367"/>
    <cellStyle name="SAPBEXstdData 4 5" xfId="34368"/>
    <cellStyle name="SAPBEXstdData 4 5 2" xfId="34369"/>
    <cellStyle name="SAPBEXstdData 4 5 2 2" xfId="34370"/>
    <cellStyle name="SAPBEXstdData 4 5 2 2 2" xfId="34371"/>
    <cellStyle name="SAPBEXstdData 4 5 2 3" xfId="34372"/>
    <cellStyle name="SAPBEXstdData 4 5 3" xfId="34373"/>
    <cellStyle name="SAPBEXstdData 4 5 3 2" xfId="34374"/>
    <cellStyle name="SAPBEXstdData 4 5 3 2 2" xfId="34375"/>
    <cellStyle name="SAPBEXstdData 4 5 3 3" xfId="34376"/>
    <cellStyle name="SAPBEXstdData 4 5 4" xfId="34377"/>
    <cellStyle name="SAPBEXstdData 4 5 4 2" xfId="34378"/>
    <cellStyle name="SAPBEXstdData 4 5 5" xfId="34379"/>
    <cellStyle name="SAPBEXstdData 4 6" xfId="34380"/>
    <cellStyle name="SAPBEXstdData 4 6 2" xfId="34381"/>
    <cellStyle name="SAPBEXstdData 4 6 2 2" xfId="34382"/>
    <cellStyle name="SAPBEXstdData 4 6 3" xfId="34383"/>
    <cellStyle name="SAPBEXstdData 4 7" xfId="34384"/>
    <cellStyle name="SAPBEXstdData 4 7 2" xfId="34385"/>
    <cellStyle name="SAPBEXstdData 4 7 2 2" xfId="34386"/>
    <cellStyle name="SAPBEXstdData 4 7 3" xfId="34387"/>
    <cellStyle name="SAPBEXstdData 4 8" xfId="34388"/>
    <cellStyle name="SAPBEXstdData 5" xfId="34389"/>
    <cellStyle name="SAPBEXstdData 5 2" xfId="34390"/>
    <cellStyle name="SAPBEXstdData 5 2 2" xfId="34391"/>
    <cellStyle name="SAPBEXstdData 5 2 2 2" xfId="34392"/>
    <cellStyle name="SAPBEXstdData 5 2 2 2 2" xfId="34393"/>
    <cellStyle name="SAPBEXstdData 5 2 2 2 2 2" xfId="34394"/>
    <cellStyle name="SAPBEXstdData 5 2 2 2 3" xfId="34395"/>
    <cellStyle name="SAPBEXstdData 5 2 2 3" xfId="34396"/>
    <cellStyle name="SAPBEXstdData 5 2 3" xfId="34397"/>
    <cellStyle name="SAPBEXstdData 5 2 3 2" xfId="34398"/>
    <cellStyle name="SAPBEXstdData 5 2 3 2 2" xfId="34399"/>
    <cellStyle name="SAPBEXstdData 5 2 3 3" xfId="34400"/>
    <cellStyle name="SAPBEXstdData 5 2 4" xfId="34401"/>
    <cellStyle name="SAPBEXstdData 5 2 4 2" xfId="34402"/>
    <cellStyle name="SAPBEXstdData 5 2 4 2 2" xfId="34403"/>
    <cellStyle name="SAPBEXstdData 5 2 4 3" xfId="34404"/>
    <cellStyle name="SAPBEXstdData 5 2 5" xfId="34405"/>
    <cellStyle name="SAPBEXstdData 5 3" xfId="34406"/>
    <cellStyle name="SAPBEXstdData 5 3 2" xfId="34407"/>
    <cellStyle name="SAPBEXstdData 5 3 2 2" xfId="34408"/>
    <cellStyle name="SAPBEXstdData 5 3 2 2 2" xfId="34409"/>
    <cellStyle name="SAPBEXstdData 5 3 2 2 2 2" xfId="34410"/>
    <cellStyle name="SAPBEXstdData 5 3 2 2 3" xfId="34411"/>
    <cellStyle name="SAPBEXstdData 5 3 2 3" xfId="34412"/>
    <cellStyle name="SAPBEXstdData 5 3 3" xfId="34413"/>
    <cellStyle name="SAPBEXstdData 5 3 3 2" xfId="34414"/>
    <cellStyle name="SAPBEXstdData 5 3 3 2 2" xfId="34415"/>
    <cellStyle name="SAPBEXstdData 5 3 3 3" xfId="34416"/>
    <cellStyle name="SAPBEXstdData 5 3 4" xfId="34417"/>
    <cellStyle name="SAPBEXstdData 5 3 4 2" xfId="34418"/>
    <cellStyle name="SAPBEXstdData 5 3 4 2 2" xfId="34419"/>
    <cellStyle name="SAPBEXstdData 5 3 4 3" xfId="34420"/>
    <cellStyle name="SAPBEXstdData 5 3 5" xfId="34421"/>
    <cellStyle name="SAPBEXstdData 5 4" xfId="34422"/>
    <cellStyle name="SAPBEXstdData 5 4 2" xfId="34423"/>
    <cellStyle name="SAPBEXstdData 5 4 2 2" xfId="34424"/>
    <cellStyle name="SAPBEXstdData 5 4 2 2 2" xfId="34425"/>
    <cellStyle name="SAPBEXstdData 5 4 2 3" xfId="34426"/>
    <cellStyle name="SAPBEXstdData 5 4 3" xfId="34427"/>
    <cellStyle name="SAPBEXstdData 5 4 3 2" xfId="34428"/>
    <cellStyle name="SAPBEXstdData 5 4 3 2 2" xfId="34429"/>
    <cellStyle name="SAPBEXstdData 5 4 3 3" xfId="34430"/>
    <cellStyle name="SAPBEXstdData 5 4 4" xfId="34431"/>
    <cellStyle name="SAPBEXstdData 5 4 4 2" xfId="34432"/>
    <cellStyle name="SAPBEXstdData 5 4 4 2 2" xfId="34433"/>
    <cellStyle name="SAPBEXstdData 5 4 4 3" xfId="34434"/>
    <cellStyle name="SAPBEXstdData 5 4 5" xfId="34435"/>
    <cellStyle name="SAPBEXstdData 5 5" xfId="34436"/>
    <cellStyle name="SAPBEXstdData 5 5 2" xfId="34437"/>
    <cellStyle name="SAPBEXstdData 5 5 2 2" xfId="34438"/>
    <cellStyle name="SAPBEXstdData 5 5 2 2 2" xfId="34439"/>
    <cellStyle name="SAPBEXstdData 5 5 2 3" xfId="34440"/>
    <cellStyle name="SAPBEXstdData 5 5 3" xfId="34441"/>
    <cellStyle name="SAPBEXstdData 5 5 3 2" xfId="34442"/>
    <cellStyle name="SAPBEXstdData 5 5 3 2 2" xfId="34443"/>
    <cellStyle name="SAPBEXstdData 5 5 3 3" xfId="34444"/>
    <cellStyle name="SAPBEXstdData 5 5 4" xfId="34445"/>
    <cellStyle name="SAPBEXstdData 5 5 4 2" xfId="34446"/>
    <cellStyle name="SAPBEXstdData 5 5 5" xfId="34447"/>
    <cellStyle name="SAPBEXstdData 5 6" xfId="34448"/>
    <cellStyle name="SAPBEXstdData 5 6 2" xfId="34449"/>
    <cellStyle name="SAPBEXstdData 5 6 2 2" xfId="34450"/>
    <cellStyle name="SAPBEXstdData 5 6 3" xfId="34451"/>
    <cellStyle name="SAPBEXstdData 5 7" xfId="34452"/>
    <cellStyle name="SAPBEXstdData 5 7 2" xfId="34453"/>
    <cellStyle name="SAPBEXstdData 5 7 2 2" xfId="34454"/>
    <cellStyle name="SAPBEXstdData 5 7 3" xfId="34455"/>
    <cellStyle name="SAPBEXstdData 5 8" xfId="34456"/>
    <cellStyle name="SAPBEXstdData 6" xfId="34457"/>
    <cellStyle name="SAPBEXstdData 6 2" xfId="34458"/>
    <cellStyle name="SAPBEXstdData 6 2 2" xfId="34459"/>
    <cellStyle name="SAPBEXstdData 6 2 2 2" xfId="34460"/>
    <cellStyle name="SAPBEXstdData 6 2 2 2 2" xfId="34461"/>
    <cellStyle name="SAPBEXstdData 6 2 2 2 2 2" xfId="34462"/>
    <cellStyle name="SAPBEXstdData 6 2 2 2 3" xfId="34463"/>
    <cellStyle name="SAPBEXstdData 6 2 2 3" xfId="34464"/>
    <cellStyle name="SAPBEXstdData 6 2 3" xfId="34465"/>
    <cellStyle name="SAPBEXstdData 6 2 3 2" xfId="34466"/>
    <cellStyle name="SAPBEXstdData 6 2 3 2 2" xfId="34467"/>
    <cellStyle name="SAPBEXstdData 6 2 3 3" xfId="34468"/>
    <cellStyle name="SAPBEXstdData 6 2 4" xfId="34469"/>
    <cellStyle name="SAPBEXstdData 6 2 4 2" xfId="34470"/>
    <cellStyle name="SAPBEXstdData 6 2 4 2 2" xfId="34471"/>
    <cellStyle name="SAPBEXstdData 6 2 4 3" xfId="34472"/>
    <cellStyle name="SAPBEXstdData 6 2 5" xfId="34473"/>
    <cellStyle name="SAPBEXstdData 6 3" xfId="34474"/>
    <cellStyle name="SAPBEXstdData 6 3 2" xfId="34475"/>
    <cellStyle name="SAPBEXstdData 6 3 2 2" xfId="34476"/>
    <cellStyle name="SAPBEXstdData 6 3 2 2 2" xfId="34477"/>
    <cellStyle name="SAPBEXstdData 6 3 2 2 2 2" xfId="34478"/>
    <cellStyle name="SAPBEXstdData 6 3 2 2 3" xfId="34479"/>
    <cellStyle name="SAPBEXstdData 6 3 2 3" xfId="34480"/>
    <cellStyle name="SAPBEXstdData 6 3 3" xfId="34481"/>
    <cellStyle name="SAPBEXstdData 6 3 3 2" xfId="34482"/>
    <cellStyle name="SAPBEXstdData 6 3 3 2 2" xfId="34483"/>
    <cellStyle name="SAPBEXstdData 6 3 3 3" xfId="34484"/>
    <cellStyle name="SAPBEXstdData 6 3 4" xfId="34485"/>
    <cellStyle name="SAPBEXstdData 6 3 4 2" xfId="34486"/>
    <cellStyle name="SAPBEXstdData 6 3 4 2 2" xfId="34487"/>
    <cellStyle name="SAPBEXstdData 6 3 4 3" xfId="34488"/>
    <cellStyle name="SAPBEXstdData 6 3 5" xfId="34489"/>
    <cellStyle name="SAPBEXstdData 6 4" xfId="34490"/>
    <cellStyle name="SAPBEXstdData 6 4 2" xfId="34491"/>
    <cellStyle name="SAPBEXstdData 6 4 2 2" xfId="34492"/>
    <cellStyle name="SAPBEXstdData 6 4 2 2 2" xfId="34493"/>
    <cellStyle name="SAPBEXstdData 6 4 2 3" xfId="34494"/>
    <cellStyle name="SAPBEXstdData 6 4 3" xfId="34495"/>
    <cellStyle name="SAPBEXstdData 6 4 3 2" xfId="34496"/>
    <cellStyle name="SAPBEXstdData 6 4 3 2 2" xfId="34497"/>
    <cellStyle name="SAPBEXstdData 6 4 3 3" xfId="34498"/>
    <cellStyle name="SAPBEXstdData 6 4 4" xfId="34499"/>
    <cellStyle name="SAPBEXstdData 6 4 4 2" xfId="34500"/>
    <cellStyle name="SAPBEXstdData 6 4 4 2 2" xfId="34501"/>
    <cellStyle name="SAPBEXstdData 6 4 4 3" xfId="34502"/>
    <cellStyle name="SAPBEXstdData 6 4 5" xfId="34503"/>
    <cellStyle name="SAPBEXstdData 6 5" xfId="34504"/>
    <cellStyle name="SAPBEXstdData 6 5 2" xfId="34505"/>
    <cellStyle name="SAPBEXstdData 6 5 2 2" xfId="34506"/>
    <cellStyle name="SAPBEXstdData 6 5 2 2 2" xfId="34507"/>
    <cellStyle name="SAPBEXstdData 6 5 2 3" xfId="34508"/>
    <cellStyle name="SAPBEXstdData 6 5 3" xfId="34509"/>
    <cellStyle name="SAPBEXstdData 6 5 3 2" xfId="34510"/>
    <cellStyle name="SAPBEXstdData 6 5 3 2 2" xfId="34511"/>
    <cellStyle name="SAPBEXstdData 6 5 3 3" xfId="34512"/>
    <cellStyle name="SAPBEXstdData 6 5 4" xfId="34513"/>
    <cellStyle name="SAPBEXstdData 6 5 4 2" xfId="34514"/>
    <cellStyle name="SAPBEXstdData 6 5 5" xfId="34515"/>
    <cellStyle name="SAPBEXstdData 6 6" xfId="34516"/>
    <cellStyle name="SAPBEXstdData 6 6 2" xfId="34517"/>
    <cellStyle name="SAPBEXstdData 6 6 2 2" xfId="34518"/>
    <cellStyle name="SAPBEXstdData 6 6 3" xfId="34519"/>
    <cellStyle name="SAPBEXstdData 6 7" xfId="34520"/>
    <cellStyle name="SAPBEXstdData 6 7 2" xfId="34521"/>
    <cellStyle name="SAPBEXstdData 6 7 2 2" xfId="34522"/>
    <cellStyle name="SAPBEXstdData 6 7 3" xfId="34523"/>
    <cellStyle name="SAPBEXstdData 6 8" xfId="34524"/>
    <cellStyle name="SAPBEXstdData 7" xfId="34525"/>
    <cellStyle name="SAPBEXstdData 7 2" xfId="34526"/>
    <cellStyle name="SAPBEXstdData 7 2 2" xfId="34527"/>
    <cellStyle name="SAPBEXstdData 7 2 2 2" xfId="34528"/>
    <cellStyle name="SAPBEXstdData 7 2 2 2 2" xfId="34529"/>
    <cellStyle name="SAPBEXstdData 7 2 2 2 2 2" xfId="34530"/>
    <cellStyle name="SAPBEXstdData 7 2 2 2 3" xfId="34531"/>
    <cellStyle name="SAPBEXstdData 7 2 2 3" xfId="34532"/>
    <cellStyle name="SAPBEXstdData 7 2 3" xfId="34533"/>
    <cellStyle name="SAPBEXstdData 7 2 3 2" xfId="34534"/>
    <cellStyle name="SAPBEXstdData 7 2 3 2 2" xfId="34535"/>
    <cellStyle name="SAPBEXstdData 7 2 3 3" xfId="34536"/>
    <cellStyle name="SAPBEXstdData 7 2 4" xfId="34537"/>
    <cellStyle name="SAPBEXstdData 7 2 4 2" xfId="34538"/>
    <cellStyle name="SAPBEXstdData 7 2 4 2 2" xfId="34539"/>
    <cellStyle name="SAPBEXstdData 7 2 4 3" xfId="34540"/>
    <cellStyle name="SAPBEXstdData 7 2 5" xfId="34541"/>
    <cellStyle name="SAPBEXstdData 7 3" xfId="34542"/>
    <cellStyle name="SAPBEXstdData 7 3 2" xfId="34543"/>
    <cellStyle name="SAPBEXstdData 7 3 2 2" xfId="34544"/>
    <cellStyle name="SAPBEXstdData 7 3 2 2 2" xfId="34545"/>
    <cellStyle name="SAPBEXstdData 7 3 2 2 2 2" xfId="34546"/>
    <cellStyle name="SAPBEXstdData 7 3 2 2 3" xfId="34547"/>
    <cellStyle name="SAPBEXstdData 7 3 2 3" xfId="34548"/>
    <cellStyle name="SAPBEXstdData 7 3 3" xfId="34549"/>
    <cellStyle name="SAPBEXstdData 7 3 3 2" xfId="34550"/>
    <cellStyle name="SAPBEXstdData 7 3 3 2 2" xfId="34551"/>
    <cellStyle name="SAPBEXstdData 7 3 3 3" xfId="34552"/>
    <cellStyle name="SAPBEXstdData 7 3 4" xfId="34553"/>
    <cellStyle name="SAPBEXstdData 7 3 4 2" xfId="34554"/>
    <cellStyle name="SAPBEXstdData 7 3 4 2 2" xfId="34555"/>
    <cellStyle name="SAPBEXstdData 7 3 4 3" xfId="34556"/>
    <cellStyle name="SAPBEXstdData 7 3 5" xfId="34557"/>
    <cellStyle name="SAPBEXstdData 7 4" xfId="34558"/>
    <cellStyle name="SAPBEXstdData 7 4 2" xfId="34559"/>
    <cellStyle name="SAPBEXstdData 7 4 2 2" xfId="34560"/>
    <cellStyle name="SAPBEXstdData 7 4 2 2 2" xfId="34561"/>
    <cellStyle name="SAPBEXstdData 7 4 2 3" xfId="34562"/>
    <cellStyle name="SAPBEXstdData 7 4 3" xfId="34563"/>
    <cellStyle name="SAPBEXstdData 7 4 3 2" xfId="34564"/>
    <cellStyle name="SAPBEXstdData 7 4 3 2 2" xfId="34565"/>
    <cellStyle name="SAPBEXstdData 7 4 3 3" xfId="34566"/>
    <cellStyle name="SAPBEXstdData 7 4 4" xfId="34567"/>
    <cellStyle name="SAPBEXstdData 7 4 4 2" xfId="34568"/>
    <cellStyle name="SAPBEXstdData 7 4 4 2 2" xfId="34569"/>
    <cellStyle name="SAPBEXstdData 7 4 4 3" xfId="34570"/>
    <cellStyle name="SAPBEXstdData 7 4 5" xfId="34571"/>
    <cellStyle name="SAPBEXstdData 7 5" xfId="34572"/>
    <cellStyle name="SAPBEXstdData 7 5 2" xfId="34573"/>
    <cellStyle name="SAPBEXstdData 7 5 2 2" xfId="34574"/>
    <cellStyle name="SAPBEXstdData 7 5 2 2 2" xfId="34575"/>
    <cellStyle name="SAPBEXstdData 7 5 2 3" xfId="34576"/>
    <cellStyle name="SAPBEXstdData 7 5 3" xfId="34577"/>
    <cellStyle name="SAPBEXstdData 7 5 3 2" xfId="34578"/>
    <cellStyle name="SAPBEXstdData 7 5 3 2 2" xfId="34579"/>
    <cellStyle name="SAPBEXstdData 7 5 3 3" xfId="34580"/>
    <cellStyle name="SAPBEXstdData 7 5 4" xfId="34581"/>
    <cellStyle name="SAPBEXstdData 7 5 4 2" xfId="34582"/>
    <cellStyle name="SAPBEXstdData 7 5 5" xfId="34583"/>
    <cellStyle name="SAPBEXstdData 7 6" xfId="34584"/>
    <cellStyle name="SAPBEXstdData 7 6 2" xfId="34585"/>
    <cellStyle name="SAPBEXstdData 7 6 2 2" xfId="34586"/>
    <cellStyle name="SAPBEXstdData 7 6 3" xfId="34587"/>
    <cellStyle name="SAPBEXstdData 7 7" xfId="34588"/>
    <cellStyle name="SAPBEXstdData 7 7 2" xfId="34589"/>
    <cellStyle name="SAPBEXstdData 7 7 2 2" xfId="34590"/>
    <cellStyle name="SAPBEXstdData 7 7 3" xfId="34591"/>
    <cellStyle name="SAPBEXstdData 7 8" xfId="34592"/>
    <cellStyle name="SAPBEXstdData 8" xfId="34593"/>
    <cellStyle name="SAPBEXstdData 8 2" xfId="34594"/>
    <cellStyle name="SAPBEXstdData 8 2 2" xfId="34595"/>
    <cellStyle name="SAPBEXstdData 8 2 2 2" xfId="34596"/>
    <cellStyle name="SAPBEXstdData 8 2 2 2 2" xfId="34597"/>
    <cellStyle name="SAPBEXstdData 8 2 2 2 2 2" xfId="34598"/>
    <cellStyle name="SAPBEXstdData 8 2 2 2 3" xfId="34599"/>
    <cellStyle name="SAPBEXstdData 8 2 2 3" xfId="34600"/>
    <cellStyle name="SAPBEXstdData 8 2 3" xfId="34601"/>
    <cellStyle name="SAPBEXstdData 8 2 3 2" xfId="34602"/>
    <cellStyle name="SAPBEXstdData 8 2 3 2 2" xfId="34603"/>
    <cellStyle name="SAPBEXstdData 8 2 3 3" xfId="34604"/>
    <cellStyle name="SAPBEXstdData 8 2 4" xfId="34605"/>
    <cellStyle name="SAPBEXstdData 8 2 4 2" xfId="34606"/>
    <cellStyle name="SAPBEXstdData 8 2 4 2 2" xfId="34607"/>
    <cellStyle name="SAPBEXstdData 8 2 4 3" xfId="34608"/>
    <cellStyle name="SAPBEXstdData 8 2 5" xfId="34609"/>
    <cellStyle name="SAPBEXstdData 8 3" xfId="34610"/>
    <cellStyle name="SAPBEXstdData 8 3 2" xfId="34611"/>
    <cellStyle name="SAPBEXstdData 8 3 2 2" xfId="34612"/>
    <cellStyle name="SAPBEXstdData 8 3 2 2 2" xfId="34613"/>
    <cellStyle name="SAPBEXstdData 8 3 2 2 2 2" xfId="34614"/>
    <cellStyle name="SAPBEXstdData 8 3 2 2 3" xfId="34615"/>
    <cellStyle name="SAPBEXstdData 8 3 2 3" xfId="34616"/>
    <cellStyle name="SAPBEXstdData 8 3 3" xfId="34617"/>
    <cellStyle name="SAPBEXstdData 8 3 3 2" xfId="34618"/>
    <cellStyle name="SAPBEXstdData 8 3 3 2 2" xfId="34619"/>
    <cellStyle name="SAPBEXstdData 8 3 3 3" xfId="34620"/>
    <cellStyle name="SAPBEXstdData 8 3 4" xfId="34621"/>
    <cellStyle name="SAPBEXstdData 8 3 4 2" xfId="34622"/>
    <cellStyle name="SAPBEXstdData 8 3 4 2 2" xfId="34623"/>
    <cellStyle name="SAPBEXstdData 8 3 4 3" xfId="34624"/>
    <cellStyle name="SAPBEXstdData 8 3 5" xfId="34625"/>
    <cellStyle name="SAPBEXstdData 8 4" xfId="34626"/>
    <cellStyle name="SAPBEXstdData 8 4 2" xfId="34627"/>
    <cellStyle name="SAPBEXstdData 8 4 2 2" xfId="34628"/>
    <cellStyle name="SAPBEXstdData 8 4 2 2 2" xfId="34629"/>
    <cellStyle name="SAPBEXstdData 8 4 2 3" xfId="34630"/>
    <cellStyle name="SAPBEXstdData 8 4 3" xfId="34631"/>
    <cellStyle name="SAPBEXstdData 8 4 3 2" xfId="34632"/>
    <cellStyle name="SAPBEXstdData 8 4 3 2 2" xfId="34633"/>
    <cellStyle name="SAPBEXstdData 8 4 3 3" xfId="34634"/>
    <cellStyle name="SAPBEXstdData 8 4 4" xfId="34635"/>
    <cellStyle name="SAPBEXstdData 8 4 4 2" xfId="34636"/>
    <cellStyle name="SAPBEXstdData 8 4 4 2 2" xfId="34637"/>
    <cellStyle name="SAPBEXstdData 8 4 4 3" xfId="34638"/>
    <cellStyle name="SAPBEXstdData 8 4 5" xfId="34639"/>
    <cellStyle name="SAPBEXstdData 8 5" xfId="34640"/>
    <cellStyle name="SAPBEXstdData 8 5 2" xfId="34641"/>
    <cellStyle name="SAPBEXstdData 8 5 2 2" xfId="34642"/>
    <cellStyle name="SAPBEXstdData 8 5 2 2 2" xfId="34643"/>
    <cellStyle name="SAPBEXstdData 8 5 2 3" xfId="34644"/>
    <cellStyle name="SAPBEXstdData 8 5 3" xfId="34645"/>
    <cellStyle name="SAPBEXstdData 8 5 3 2" xfId="34646"/>
    <cellStyle name="SAPBEXstdData 8 5 3 2 2" xfId="34647"/>
    <cellStyle name="SAPBEXstdData 8 5 3 3" xfId="34648"/>
    <cellStyle name="SAPBEXstdData 8 5 4" xfId="34649"/>
    <cellStyle name="SAPBEXstdData 8 5 4 2" xfId="34650"/>
    <cellStyle name="SAPBEXstdData 8 5 5" xfId="34651"/>
    <cellStyle name="SAPBEXstdData 8 6" xfId="34652"/>
    <cellStyle name="SAPBEXstdData 8 6 2" xfId="34653"/>
    <cellStyle name="SAPBEXstdData 8 6 2 2" xfId="34654"/>
    <cellStyle name="SAPBEXstdData 8 6 3" xfId="34655"/>
    <cellStyle name="SAPBEXstdData 8 7" xfId="34656"/>
    <cellStyle name="SAPBEXstdData 8 7 2" xfId="34657"/>
    <cellStyle name="SAPBEXstdData 8 7 2 2" xfId="34658"/>
    <cellStyle name="SAPBEXstdData 8 7 3" xfId="34659"/>
    <cellStyle name="SAPBEXstdData 8 8" xfId="34660"/>
    <cellStyle name="SAPBEXstdData 9" xfId="34661"/>
    <cellStyle name="SAPBEXstdData 9 2" xfId="34662"/>
    <cellStyle name="SAPBEXstdData 9 2 2" xfId="34663"/>
    <cellStyle name="SAPBEXstdData 9 2 2 2" xfId="34664"/>
    <cellStyle name="SAPBEXstdData 9 2 2 2 2" xfId="34665"/>
    <cellStyle name="SAPBEXstdData 9 2 2 3" xfId="34666"/>
    <cellStyle name="SAPBEXstdData 9 2 3" xfId="34667"/>
    <cellStyle name="SAPBEXstdData 9 3" xfId="34668"/>
    <cellStyle name="SAPBEXstdData 9 3 2" xfId="34669"/>
    <cellStyle name="SAPBEXstdData 9 3 2 2" xfId="34670"/>
    <cellStyle name="SAPBEXstdData 9 3 3" xfId="34671"/>
    <cellStyle name="SAPBEXstdData 9 4" xfId="34672"/>
    <cellStyle name="SAPBEXstdData 9 4 2" xfId="34673"/>
    <cellStyle name="SAPBEXstdData 9 4 2 2" xfId="34674"/>
    <cellStyle name="SAPBEXstdData 9 4 3" xfId="34675"/>
    <cellStyle name="SAPBEXstdData 9 5" xfId="34676"/>
    <cellStyle name="SAPBEXstdData_ACS May 2012" xfId="34677"/>
    <cellStyle name="SAPError" xfId="35863"/>
    <cellStyle name="SAPError 2" xfId="35864"/>
    <cellStyle name="SAPKey" xfId="35865"/>
    <cellStyle name="SAPKey 2" xfId="35866"/>
    <cellStyle name="SAPLocked" xfId="35867"/>
    <cellStyle name="SAPLocked 2" xfId="35868"/>
    <cellStyle name="SAPOutput" xfId="35869"/>
    <cellStyle name="SAPOutput 2" xfId="35870"/>
    <cellStyle name="SAPSpace" xfId="35871"/>
    <cellStyle name="SAPSpace 2" xfId="35872"/>
    <cellStyle name="SAPText" xfId="35873"/>
    <cellStyle name="SAPText 2" xfId="35874"/>
    <cellStyle name="SAPUnLocked" xfId="35875"/>
    <cellStyle name="SAPUnLocked 2" xfId="35876"/>
    <cellStyle name="Sheet Title" xfId="35877"/>
    <cellStyle name="Sheet Title 2" xfId="36120"/>
    <cellStyle name="Sheet Title Input" xfId="35723"/>
    <cellStyle name="Sheet Title Input 2" xfId="35749"/>
    <cellStyle name="Sheet Title Output" xfId="35725"/>
    <cellStyle name="SheetHeader1" xfId="196"/>
    <cellStyle name="SheetHeading" xfId="309"/>
    <cellStyle name="SheetlHeading" xfId="310"/>
    <cellStyle name="Smoothed Series" xfId="34678"/>
    <cellStyle name="Smoothed Series 2" xfId="34679"/>
    <cellStyle name="Smoothed Series 2 10" xfId="34680"/>
    <cellStyle name="Smoothed Series 2 2" xfId="34681"/>
    <cellStyle name="Smoothed Series 2 2 2" xfId="34682"/>
    <cellStyle name="Smoothed Series 2 2 2 2" xfId="34683"/>
    <cellStyle name="Smoothed Series 2 2 3" xfId="34684"/>
    <cellStyle name="Smoothed Series 2 2 4" xfId="34685"/>
    <cellStyle name="Smoothed Series 2 2 5" xfId="34686"/>
    <cellStyle name="Smoothed Series 2 2 6" xfId="34687"/>
    <cellStyle name="Smoothed Series 2 2 7" xfId="34688"/>
    <cellStyle name="Smoothed Series 2 2 8" xfId="34689"/>
    <cellStyle name="Smoothed Series 2 2 9" xfId="34690"/>
    <cellStyle name="Smoothed Series 2 3" xfId="34691"/>
    <cellStyle name="Smoothed Series 2 3 2" xfId="34692"/>
    <cellStyle name="Smoothed Series 2 3 2 2" xfId="34693"/>
    <cellStyle name="Smoothed Series 2 3 3" xfId="34694"/>
    <cellStyle name="Smoothed Series 2 3 4" xfId="34695"/>
    <cellStyle name="Smoothed Series 2 3 5" xfId="34696"/>
    <cellStyle name="Smoothed Series 2 3 6" xfId="34697"/>
    <cellStyle name="Smoothed Series 2 3 7" xfId="34698"/>
    <cellStyle name="Smoothed Series 2 3 8" xfId="34699"/>
    <cellStyle name="Smoothed Series 2 4" xfId="34700"/>
    <cellStyle name="Smoothed Series 2 5" xfId="34701"/>
    <cellStyle name="Smoothed Series 2 6" xfId="34702"/>
    <cellStyle name="Smoothed Series 2 7" xfId="34703"/>
    <cellStyle name="Smoothed Series 2 8" xfId="34704"/>
    <cellStyle name="Smoothed Series 2 9" xfId="34705"/>
    <cellStyle name="Smoothed Series 3" xfId="34706"/>
    <cellStyle name="Smoothed Series 3 2" xfId="34707"/>
    <cellStyle name="Smoothed Series 3 2 2" xfId="34708"/>
    <cellStyle name="Smoothed Series 3 3" xfId="34709"/>
    <cellStyle name="Smoothed Series 3 4" xfId="34710"/>
    <cellStyle name="Smoothed Series 3 5" xfId="34711"/>
    <cellStyle name="Smoothed Series 3 6" xfId="34712"/>
    <cellStyle name="Smoothed Series 3 7" xfId="34713"/>
    <cellStyle name="Smoothed Series 3 8" xfId="34714"/>
    <cellStyle name="Smoothed Series 3 9" xfId="34715"/>
    <cellStyle name="Smoothed Series 4" xfId="34716"/>
    <cellStyle name="Smoothed Series 4 2" xfId="34717"/>
    <cellStyle name="Smoothed Series 4 2 2" xfId="34718"/>
    <cellStyle name="Smoothed Series 4 3" xfId="34719"/>
    <cellStyle name="Smoothed Series 4 4" xfId="34720"/>
    <cellStyle name="Smoothed Series 4 5" xfId="34721"/>
    <cellStyle name="Smoothed Series 4 6" xfId="34722"/>
    <cellStyle name="Smoothed Series 4 7" xfId="34723"/>
    <cellStyle name="Smoothed Series 4 8" xfId="34724"/>
    <cellStyle name="Smoothed Series 5" xfId="34725"/>
    <cellStyle name="Smoothed Series 5 2" xfId="34726"/>
    <cellStyle name="Smoothed Series 5 2 2" xfId="34727"/>
    <cellStyle name="Smoothed Series 5 3" xfId="34728"/>
    <cellStyle name="Smoothed Series 5 4" xfId="34729"/>
    <cellStyle name="Smoothed Series 5 5" xfId="34730"/>
    <cellStyle name="Smoothed Series 5 6" xfId="34731"/>
    <cellStyle name="Smoothed Series 5 7" xfId="34732"/>
    <cellStyle name="Smoothed Series 6" xfId="34733"/>
    <cellStyle name="SRS Input" xfId="34734"/>
    <cellStyle name="SRS Input 2" xfId="34735"/>
    <cellStyle name="SRS Locked" xfId="34736"/>
    <cellStyle name="SRS Percent" xfId="34737"/>
    <cellStyle name="SRS Percent 2" xfId="34738"/>
    <cellStyle name="SRS Perimeter" xfId="34739"/>
    <cellStyle name="SRS Perimeter 2" xfId="34740"/>
    <cellStyle name="Style 1" xfId="197"/>
    <cellStyle name="Style 1 10" xfId="34742"/>
    <cellStyle name="Style 1 10 2" xfId="34743"/>
    <cellStyle name="Style 1 11" xfId="34744"/>
    <cellStyle name="Style 1 12" xfId="34741"/>
    <cellStyle name="Style 1 2" xfId="198"/>
    <cellStyle name="Style 1 2 2" xfId="34745"/>
    <cellStyle name="Style 1 2 2 2" xfId="36090"/>
    <cellStyle name="Style 1 2 3" xfId="34746"/>
    <cellStyle name="Style 1 2 4" xfId="34747"/>
    <cellStyle name="Style 1 3" xfId="199"/>
    <cellStyle name="Style 1 3 2" xfId="34749"/>
    <cellStyle name="Style 1 3 2 2" xfId="34750"/>
    <cellStyle name="Style 1 3 3" xfId="34751"/>
    <cellStyle name="Style 1 3 4" xfId="34752"/>
    <cellStyle name="Style 1 3 5" xfId="34753"/>
    <cellStyle name="Style 1 3 6" xfId="34748"/>
    <cellStyle name="Style 1 4" xfId="200"/>
    <cellStyle name="Style 1 4 2" xfId="34755"/>
    <cellStyle name="Style 1 4 3" xfId="34756"/>
    <cellStyle name="Style 1 4 4" xfId="34757"/>
    <cellStyle name="Style 1 4 5" xfId="35607"/>
    <cellStyle name="Style 1 4 6" xfId="34754"/>
    <cellStyle name="Style 1 5" xfId="34758"/>
    <cellStyle name="Style 1 5 2" xfId="34759"/>
    <cellStyle name="Style 1 5 2 2" xfId="34760"/>
    <cellStyle name="Style 1 5 3" xfId="34761"/>
    <cellStyle name="Style 1 5 3 2" xfId="34762"/>
    <cellStyle name="Style 1 6" xfId="34763"/>
    <cellStyle name="Style 1 6 2" xfId="34764"/>
    <cellStyle name="Style 1 6 2 2" xfId="34765"/>
    <cellStyle name="Style 1 6 3" xfId="34766"/>
    <cellStyle name="Style 1 6 3 2" xfId="34767"/>
    <cellStyle name="Style 1 7" xfId="34768"/>
    <cellStyle name="Style 1 7 2" xfId="34769"/>
    <cellStyle name="Style 1 7 2 2" xfId="34770"/>
    <cellStyle name="Style 1 7 3" xfId="34771"/>
    <cellStyle name="Style 1 8" xfId="34772"/>
    <cellStyle name="Style 1 8 2" xfId="34773"/>
    <cellStyle name="Style 1 8 2 2" xfId="34774"/>
    <cellStyle name="Style 1 8 3" xfId="34775"/>
    <cellStyle name="Style 1 9" xfId="34776"/>
    <cellStyle name="Style 1 9 2" xfId="34777"/>
    <cellStyle name="Style 1_29(d) - Gas extensions -tariffs" xfId="35878"/>
    <cellStyle name="Style2" xfId="35879"/>
    <cellStyle name="Style3" xfId="35880"/>
    <cellStyle name="Style4" xfId="35881"/>
    <cellStyle name="Style4 2" xfId="35882"/>
    <cellStyle name="Style4_29(d) - Gas extensions -tariffs" xfId="35883"/>
    <cellStyle name="Style5" xfId="35884"/>
    <cellStyle name="Style5 2" xfId="35885"/>
    <cellStyle name="Style5_29(d) - Gas extensions -tariffs" xfId="35886"/>
    <cellStyle name="Sub-heading" xfId="34778"/>
    <cellStyle name="Sub-heading 2" xfId="34779"/>
    <cellStyle name="Sub-heading 3" xfId="34780"/>
    <cellStyle name="Sub-heading 4" xfId="34781"/>
    <cellStyle name="Sub-major Heading" xfId="34782"/>
    <cellStyle name="Sub-major Heading 2" xfId="34783"/>
    <cellStyle name="Sub-major Heading 3" xfId="34784"/>
    <cellStyle name="Sub-major Heading 4" xfId="34785"/>
    <cellStyle name="Sub-Sub_Heading" xfId="34786"/>
    <cellStyle name="sub-sub-heading" xfId="34787"/>
    <cellStyle name="sub-sub-heading 2" xfId="34788"/>
    <cellStyle name="sub-sub-heading 2 2" xfId="34789"/>
    <cellStyle name="sub-sub-heading 2 2 10" xfId="34790"/>
    <cellStyle name="sub-sub-heading 2 2 2" xfId="34791"/>
    <cellStyle name="sub-sub-heading 2 2 2 2" xfId="34792"/>
    <cellStyle name="sub-sub-heading 2 2 2 2 2" xfId="34793"/>
    <cellStyle name="sub-sub-heading 2 2 2 3" xfId="34794"/>
    <cellStyle name="sub-sub-heading 2 2 2 4" xfId="34795"/>
    <cellStyle name="sub-sub-heading 2 2 2 5" xfId="34796"/>
    <cellStyle name="sub-sub-heading 2 2 2 6" xfId="34797"/>
    <cellStyle name="sub-sub-heading 2 2 2 7" xfId="34798"/>
    <cellStyle name="sub-sub-heading 2 2 2 8" xfId="34799"/>
    <cellStyle name="sub-sub-heading 2 2 2 9" xfId="34800"/>
    <cellStyle name="sub-sub-heading 2 2 3" xfId="34801"/>
    <cellStyle name="sub-sub-heading 2 2 3 2" xfId="34802"/>
    <cellStyle name="sub-sub-heading 2 2 3 2 2" xfId="34803"/>
    <cellStyle name="sub-sub-heading 2 2 3 3" xfId="34804"/>
    <cellStyle name="sub-sub-heading 2 2 3 4" xfId="34805"/>
    <cellStyle name="sub-sub-heading 2 2 3 5" xfId="34806"/>
    <cellStyle name="sub-sub-heading 2 2 3 6" xfId="34807"/>
    <cellStyle name="sub-sub-heading 2 2 3 7" xfId="34808"/>
    <cellStyle name="sub-sub-heading 2 2 3 8" xfId="34809"/>
    <cellStyle name="sub-sub-heading 2 2 4" xfId="34810"/>
    <cellStyle name="sub-sub-heading 2 2 5" xfId="34811"/>
    <cellStyle name="sub-sub-heading 2 2 6" xfId="34812"/>
    <cellStyle name="sub-sub-heading 2 2 7" xfId="34813"/>
    <cellStyle name="sub-sub-heading 2 2 8" xfId="34814"/>
    <cellStyle name="sub-sub-heading 2 2 9" xfId="34815"/>
    <cellStyle name="sub-sub-heading 2 3" xfId="34816"/>
    <cellStyle name="sub-sub-heading 2 3 2" xfId="34817"/>
    <cellStyle name="sub-sub-heading 2 3 2 2" xfId="34818"/>
    <cellStyle name="sub-sub-heading 2 3 3" xfId="34819"/>
    <cellStyle name="sub-sub-heading 2 3 4" xfId="34820"/>
    <cellStyle name="sub-sub-heading 2 3 5" xfId="34821"/>
    <cellStyle name="sub-sub-heading 2 3 6" xfId="34822"/>
    <cellStyle name="sub-sub-heading 2 3 7" xfId="34823"/>
    <cellStyle name="sub-sub-heading 2 3 8" xfId="34824"/>
    <cellStyle name="sub-sub-heading 2 3 9" xfId="34825"/>
    <cellStyle name="sub-sub-heading 2 4" xfId="34826"/>
    <cellStyle name="sub-sub-heading 2 4 2" xfId="34827"/>
    <cellStyle name="sub-sub-heading 2 4 2 2" xfId="34828"/>
    <cellStyle name="sub-sub-heading 2 4 3" xfId="34829"/>
    <cellStyle name="sub-sub-heading 2 4 4" xfId="34830"/>
    <cellStyle name="sub-sub-heading 2 4 5" xfId="34831"/>
    <cellStyle name="sub-sub-heading 2 4 6" xfId="34832"/>
    <cellStyle name="sub-sub-heading 2 4 7" xfId="34833"/>
    <cellStyle name="sub-sub-heading 2 4 8" xfId="34834"/>
    <cellStyle name="sub-sub-heading 2 5" xfId="34835"/>
    <cellStyle name="sub-sub-heading 2 5 2" xfId="34836"/>
    <cellStyle name="sub-sub-heading 2 5 2 2" xfId="34837"/>
    <cellStyle name="sub-sub-heading 2 5 3" xfId="34838"/>
    <cellStyle name="sub-sub-heading 2 5 4" xfId="34839"/>
    <cellStyle name="sub-sub-heading 2 5 5" xfId="34840"/>
    <cellStyle name="sub-sub-heading 2 5 6" xfId="34841"/>
    <cellStyle name="sub-sub-heading 2 5 7" xfId="34842"/>
    <cellStyle name="sub-sub-heading 2 6" xfId="34843"/>
    <cellStyle name="sub-sub-heading 3" xfId="34844"/>
    <cellStyle name="sub-sub-heading 3 10" xfId="34845"/>
    <cellStyle name="sub-sub-heading 3 11" xfId="34846"/>
    <cellStyle name="sub-sub-heading 3 2" xfId="34847"/>
    <cellStyle name="sub-sub-heading 3 2 2" xfId="34848"/>
    <cellStyle name="sub-sub-heading 3 2 2 2" xfId="34849"/>
    <cellStyle name="sub-sub-heading 3 2 2 3" xfId="34850"/>
    <cellStyle name="sub-sub-heading 3 2 2 4" xfId="34851"/>
    <cellStyle name="sub-sub-heading 3 2 2 5" xfId="34852"/>
    <cellStyle name="sub-sub-heading 3 2 2 6" xfId="34853"/>
    <cellStyle name="sub-sub-heading 3 2 2 7" xfId="34854"/>
    <cellStyle name="sub-sub-heading 3 2 2 8" xfId="34855"/>
    <cellStyle name="sub-sub-heading 3 2 2 9" xfId="34856"/>
    <cellStyle name="sub-sub-heading 3 2 3" xfId="34857"/>
    <cellStyle name="sub-sub-heading 3 2 3 2" xfId="34858"/>
    <cellStyle name="sub-sub-heading 3 2 3 2 2" xfId="34859"/>
    <cellStyle name="sub-sub-heading 3 2 3 3" xfId="34860"/>
    <cellStyle name="sub-sub-heading 3 2 3 4" xfId="34861"/>
    <cellStyle name="sub-sub-heading 3 2 3 5" xfId="34862"/>
    <cellStyle name="sub-sub-heading 3 2 3 6" xfId="34863"/>
    <cellStyle name="sub-sub-heading 3 2 3 7" xfId="34864"/>
    <cellStyle name="sub-sub-heading 3 2 3 8" xfId="34865"/>
    <cellStyle name="sub-sub-heading 3 2 4" xfId="34866"/>
    <cellStyle name="sub-sub-heading 3 2 4 2" xfId="34867"/>
    <cellStyle name="sub-sub-heading 3 2 4 2 2" xfId="34868"/>
    <cellStyle name="sub-sub-heading 3 2 4 3" xfId="34869"/>
    <cellStyle name="sub-sub-heading 3 2 4 4" xfId="34870"/>
    <cellStyle name="sub-sub-heading 3 2 4 5" xfId="34871"/>
    <cellStyle name="sub-sub-heading 3 2 4 6" xfId="34872"/>
    <cellStyle name="sub-sub-heading 3 2 4 7" xfId="34873"/>
    <cellStyle name="sub-sub-heading 3 2 5" xfId="34874"/>
    <cellStyle name="sub-sub-heading 3 3" xfId="34875"/>
    <cellStyle name="sub-sub-heading 3 3 2" xfId="34876"/>
    <cellStyle name="sub-sub-heading 3 3 2 2" xfId="34877"/>
    <cellStyle name="sub-sub-heading 3 3 3" xfId="34878"/>
    <cellStyle name="sub-sub-heading 3 3 4" xfId="34879"/>
    <cellStyle name="sub-sub-heading 3 3 5" xfId="34880"/>
    <cellStyle name="sub-sub-heading 3 3 6" xfId="34881"/>
    <cellStyle name="sub-sub-heading 3 3 7" xfId="34882"/>
    <cellStyle name="sub-sub-heading 3 3 8" xfId="34883"/>
    <cellStyle name="sub-sub-heading 3 3 9" xfId="34884"/>
    <cellStyle name="sub-sub-heading 3 4" xfId="34885"/>
    <cellStyle name="sub-sub-heading 3 4 2" xfId="34886"/>
    <cellStyle name="sub-sub-heading 3 4 2 2" xfId="34887"/>
    <cellStyle name="sub-sub-heading 3 4 3" xfId="34888"/>
    <cellStyle name="sub-sub-heading 3 4 4" xfId="34889"/>
    <cellStyle name="sub-sub-heading 3 4 5" xfId="34890"/>
    <cellStyle name="sub-sub-heading 3 4 6" xfId="34891"/>
    <cellStyle name="sub-sub-heading 3 4 7" xfId="34892"/>
    <cellStyle name="sub-sub-heading 3 4 8" xfId="34893"/>
    <cellStyle name="sub-sub-heading 3 5" xfId="34894"/>
    <cellStyle name="sub-sub-heading 3 6" xfId="34895"/>
    <cellStyle name="sub-sub-heading 3 7" xfId="34896"/>
    <cellStyle name="sub-sub-heading 3 8" xfId="34897"/>
    <cellStyle name="sub-sub-heading 3 9" xfId="34898"/>
    <cellStyle name="sub-sub-heading 4" xfId="34899"/>
    <cellStyle name="sub-sub-heading 4 2" xfId="34900"/>
    <cellStyle name="sub-sub-heading 4 2 2" xfId="34901"/>
    <cellStyle name="sub-sub-heading 4 2 3" xfId="34902"/>
    <cellStyle name="sub-sub-heading 4 2 4" xfId="34903"/>
    <cellStyle name="sub-sub-heading 4 2 5" xfId="34904"/>
    <cellStyle name="sub-sub-heading 4 2 6" xfId="34905"/>
    <cellStyle name="sub-sub-heading 4 2 7" xfId="34906"/>
    <cellStyle name="sub-sub-heading 4 2 8" xfId="34907"/>
    <cellStyle name="sub-sub-heading 4 2 9" xfId="34908"/>
    <cellStyle name="sub-sub-heading 4 3" xfId="34909"/>
    <cellStyle name="sub-sub-heading 4 3 2" xfId="34910"/>
    <cellStyle name="sub-sub-heading 4 3 2 2" xfId="34911"/>
    <cellStyle name="sub-sub-heading 4 3 3" xfId="34912"/>
    <cellStyle name="sub-sub-heading 4 3 4" xfId="34913"/>
    <cellStyle name="sub-sub-heading 4 3 5" xfId="34914"/>
    <cellStyle name="sub-sub-heading 4 3 6" xfId="34915"/>
    <cellStyle name="sub-sub-heading 4 3 7" xfId="34916"/>
    <cellStyle name="sub-sub-heading 4 3 8" xfId="34917"/>
    <cellStyle name="sub-sub-heading 4 4" xfId="34918"/>
    <cellStyle name="sub-sub-heading 4 4 2" xfId="34919"/>
    <cellStyle name="sub-sub-heading 4 4 2 2" xfId="34920"/>
    <cellStyle name="sub-sub-heading 4 4 3" xfId="34921"/>
    <cellStyle name="sub-sub-heading 4 4 4" xfId="34922"/>
    <cellStyle name="sub-sub-heading 4 4 5" xfId="34923"/>
    <cellStyle name="sub-sub-heading 4 4 6" xfId="34924"/>
    <cellStyle name="sub-sub-heading 4 4 7" xfId="34925"/>
    <cellStyle name="sub-sub-heading 4 5" xfId="34926"/>
    <cellStyle name="sub-sub-heading 5" xfId="34927"/>
    <cellStyle name="sub-sub-heading 5 2" xfId="34928"/>
    <cellStyle name="sub-sub-heading 5 2 2" xfId="34929"/>
    <cellStyle name="sub-sub-heading 5 3" xfId="34930"/>
    <cellStyle name="sub-sub-heading 5 4" xfId="34931"/>
    <cellStyle name="sub-sub-heading 5 5" xfId="34932"/>
    <cellStyle name="sub-sub-heading 5 6" xfId="34933"/>
    <cellStyle name="sub-sub-heading 5 7" xfId="34934"/>
    <cellStyle name="sub-sub-heading 5 8" xfId="34935"/>
    <cellStyle name="sub-sub-heading 5 9" xfId="34936"/>
    <cellStyle name="sub-sub-heading 6" xfId="34937"/>
    <cellStyle name="sub-sub-heading 6 2" xfId="34938"/>
    <cellStyle name="sub-sub-heading 6 2 2" xfId="34939"/>
    <cellStyle name="sub-sub-heading 6 3" xfId="34940"/>
    <cellStyle name="sub-sub-heading 6 4" xfId="34941"/>
    <cellStyle name="sub-sub-heading 6 5" xfId="34942"/>
    <cellStyle name="sub-sub-heading 6 6" xfId="34943"/>
    <cellStyle name="sub-sub-heading 6 7" xfId="34944"/>
    <cellStyle name="sub-sub-heading 6 8" xfId="34945"/>
    <cellStyle name="sub-sub-heading 7" xfId="34946"/>
    <cellStyle name="sub-sub-heading 7 2" xfId="34947"/>
    <cellStyle name="sub-sub-heading 7 2 2" xfId="34948"/>
    <cellStyle name="sub-sub-heading 7 3" xfId="34949"/>
    <cellStyle name="sub-sub-heading 7 4" xfId="34950"/>
    <cellStyle name="sub-sub-heading 7 5" xfId="34951"/>
    <cellStyle name="sub-sub-heading 7 6" xfId="34952"/>
    <cellStyle name="sub-sub-heading 7 7" xfId="34953"/>
    <cellStyle name="sub-sub-heading 8" xfId="34954"/>
    <cellStyle name="Sub-total" xfId="34955"/>
    <cellStyle name="Sub-total 2" xfId="34956"/>
    <cellStyle name="Sub-total 2 2" xfId="34957"/>
    <cellStyle name="Sub-total 2 2 2" xfId="34958"/>
    <cellStyle name="Sub-total 2 2 2 2" xfId="34959"/>
    <cellStyle name="Sub-total 2 2 2 3" xfId="34960"/>
    <cellStyle name="Sub-total 2 2 2 4" xfId="34961"/>
    <cellStyle name="Sub-total 2 2 2 5" xfId="34962"/>
    <cellStyle name="Sub-total 2 2 2 6" xfId="34963"/>
    <cellStyle name="Sub-total 2 2 2 7" xfId="34964"/>
    <cellStyle name="Sub-total 2 2 2 8" xfId="34965"/>
    <cellStyle name="Sub-total 2 2 3" xfId="34966"/>
    <cellStyle name="Sub-total 2 2 3 2" xfId="34967"/>
    <cellStyle name="Sub-total 2 2 3 3" xfId="34968"/>
    <cellStyle name="Sub-total 2 2 3 4" xfId="34969"/>
    <cellStyle name="Sub-total 2 2 3 5" xfId="34970"/>
    <cellStyle name="Sub-total 2 2 3 6" xfId="34971"/>
    <cellStyle name="Sub-total 2 2 3 7" xfId="34972"/>
    <cellStyle name="Sub-total 2 2 3 8" xfId="34973"/>
    <cellStyle name="Sub-total 2 2 4" xfId="34974"/>
    <cellStyle name="Sub-total 2 2 4 2" xfId="34975"/>
    <cellStyle name="Sub-total 2 2 4 3" xfId="34976"/>
    <cellStyle name="Sub-total 2 2 4 4" xfId="34977"/>
    <cellStyle name="Sub-total 2 2 4 5" xfId="34978"/>
    <cellStyle name="Sub-total 2 2 4 6" xfId="34979"/>
    <cellStyle name="Sub-total 2 2 4 7" xfId="34980"/>
    <cellStyle name="Sub-total 2 2 4 8" xfId="34981"/>
    <cellStyle name="Sub-total 2 3" xfId="34982"/>
    <cellStyle name="Sub-total 2 3 2" xfId="34983"/>
    <cellStyle name="Sub-total 2 3 3" xfId="34984"/>
    <cellStyle name="Sub-total 2 3 4" xfId="34985"/>
    <cellStyle name="Sub-total 2 3 5" xfId="34986"/>
    <cellStyle name="Sub-total 2 3 6" xfId="34987"/>
    <cellStyle name="Sub-total 2 3 7" xfId="34988"/>
    <cellStyle name="Sub-total 3" xfId="34989"/>
    <cellStyle name="Sub-total 3 2" xfId="34990"/>
    <cellStyle name="Sub-total 3 2 2" xfId="34991"/>
    <cellStyle name="Sub-total 3 2 2 2" xfId="34992"/>
    <cellStyle name="Sub-total 3 2 2 3" xfId="34993"/>
    <cellStyle name="Sub-total 3 2 2 4" xfId="34994"/>
    <cellStyle name="Sub-total 3 2 2 5" xfId="34995"/>
    <cellStyle name="Sub-total 3 2 2 6" xfId="34996"/>
    <cellStyle name="Sub-total 3 2 2 7" xfId="34997"/>
    <cellStyle name="Sub-total 3 2 2 8" xfId="34998"/>
    <cellStyle name="Sub-total 3 2 3" xfId="34999"/>
    <cellStyle name="Sub-total 3 2 3 2" xfId="35000"/>
    <cellStyle name="Sub-total 3 2 3 3" xfId="35001"/>
    <cellStyle name="Sub-total 3 2 3 4" xfId="35002"/>
    <cellStyle name="Sub-total 3 2 3 5" xfId="35003"/>
    <cellStyle name="Sub-total 3 2 3 6" xfId="35004"/>
    <cellStyle name="Sub-total 3 2 3 7" xfId="35005"/>
    <cellStyle name="Sub-total 3 2 3 8" xfId="35006"/>
    <cellStyle name="Sub-total 3 2 4" xfId="35007"/>
    <cellStyle name="Sub-total 3 2 4 2" xfId="35008"/>
    <cellStyle name="Sub-total 3 2 4 3" xfId="35009"/>
    <cellStyle name="Sub-total 3 2 4 4" xfId="35010"/>
    <cellStyle name="Sub-total 3 2 4 5" xfId="35011"/>
    <cellStyle name="Sub-total 3 2 4 6" xfId="35012"/>
    <cellStyle name="Sub-total 3 2 4 7" xfId="35013"/>
    <cellStyle name="Sub-total 3 2 4 8" xfId="35014"/>
    <cellStyle name="Sub-total 3 3" xfId="35015"/>
    <cellStyle name="Sub-total 3 3 2" xfId="35016"/>
    <cellStyle name="Sub-total 3 3 2 2" xfId="35017"/>
    <cellStyle name="Sub-total 3 3 2 3" xfId="35018"/>
    <cellStyle name="Sub-total 3 3 2 4" xfId="35019"/>
    <cellStyle name="Sub-total 3 3 2 5" xfId="35020"/>
    <cellStyle name="Sub-total 3 3 2 6" xfId="35021"/>
    <cellStyle name="Sub-total 3 3 2 7" xfId="35022"/>
    <cellStyle name="Sub-total 3 3 3" xfId="35023"/>
    <cellStyle name="Sub-total 3 3 3 2" xfId="35024"/>
    <cellStyle name="Sub-total 3 3 3 3" xfId="35025"/>
    <cellStyle name="Sub-total 3 3 3 4" xfId="35026"/>
    <cellStyle name="Sub-total 3 3 3 5" xfId="35027"/>
    <cellStyle name="Sub-total 3 3 3 6" xfId="35028"/>
    <cellStyle name="Sub-total 3 3 3 7" xfId="35029"/>
    <cellStyle name="Sub-total 3 3 3 8" xfId="35030"/>
    <cellStyle name="Sub-total 3 3 4" xfId="35031"/>
    <cellStyle name="Sub-total 3 3 4 2" xfId="35032"/>
    <cellStyle name="Sub-total 3 3 4 3" xfId="35033"/>
    <cellStyle name="Sub-total 3 3 4 4" xfId="35034"/>
    <cellStyle name="Sub-total 3 3 4 5" xfId="35035"/>
    <cellStyle name="Sub-total 3 3 4 6" xfId="35036"/>
    <cellStyle name="Sub-total 3 3 4 7" xfId="35037"/>
    <cellStyle name="Sub-total 3 3 4 8" xfId="35038"/>
    <cellStyle name="Sub-total 3 4" xfId="35039"/>
    <cellStyle name="Sub-total 3 4 2" xfId="35040"/>
    <cellStyle name="Sub-total 3 4 3" xfId="35041"/>
    <cellStyle name="Sub-total 3 4 4" xfId="35042"/>
    <cellStyle name="Sub-total 3 4 5" xfId="35043"/>
    <cellStyle name="Sub-total 3 4 6" xfId="35044"/>
    <cellStyle name="Sub-total 3 4 7" xfId="35045"/>
    <cellStyle name="Sub-total 3 4 8" xfId="35046"/>
    <cellStyle name="Sub-total 3 5" xfId="35047"/>
    <cellStyle name="Sub-total 3 5 2" xfId="35048"/>
    <cellStyle name="Sub-total 3 5 3" xfId="35049"/>
    <cellStyle name="Sub-total 3 5 4" xfId="35050"/>
    <cellStyle name="Sub-total 3 5 5" xfId="35051"/>
    <cellStyle name="Sub-total 3 5 6" xfId="35052"/>
    <cellStyle name="Sub-total 3 5 7" xfId="35053"/>
    <cellStyle name="Sub-total 3 5 8" xfId="35054"/>
    <cellStyle name="Sub-total 3 6" xfId="35055"/>
    <cellStyle name="Sub-total 3 6 2" xfId="35056"/>
    <cellStyle name="Sub-total 3 6 3" xfId="35057"/>
    <cellStyle name="Sub-total 3 6 4" xfId="35058"/>
    <cellStyle name="Sub-total 3 6 5" xfId="35059"/>
    <cellStyle name="Sub-total 3 6 6" xfId="35060"/>
    <cellStyle name="Sub-total 3 6 7" xfId="35061"/>
    <cellStyle name="Sub-total 3 6 8" xfId="35062"/>
    <cellStyle name="Sub-total 4" xfId="35063"/>
    <cellStyle name="Sub-total 4 2" xfId="35064"/>
    <cellStyle name="Sub-total 4 2 2" xfId="35065"/>
    <cellStyle name="Sub-total 4 2 3" xfId="35066"/>
    <cellStyle name="Sub-total 4 2 4" xfId="35067"/>
    <cellStyle name="Sub-total 4 2 5" xfId="35068"/>
    <cellStyle name="Sub-total 4 2 6" xfId="35069"/>
    <cellStyle name="Sub-total 4 2 7" xfId="35070"/>
    <cellStyle name="Sub-total 4 3" xfId="35071"/>
    <cellStyle name="Sub-total 4 3 2" xfId="35072"/>
    <cellStyle name="Sub-total 4 3 3" xfId="35073"/>
    <cellStyle name="Sub-total 4 3 4" xfId="35074"/>
    <cellStyle name="Sub-total 4 3 5" xfId="35075"/>
    <cellStyle name="Sub-total 4 3 6" xfId="35076"/>
    <cellStyle name="Sub-total 4 3 7" xfId="35077"/>
    <cellStyle name="Sub-total 4 3 8" xfId="35078"/>
    <cellStyle name="Sub-total 4 4" xfId="35079"/>
    <cellStyle name="Sub-total 4 4 2" xfId="35080"/>
    <cellStyle name="Sub-total 4 4 3" xfId="35081"/>
    <cellStyle name="Sub-total 4 4 4" xfId="35082"/>
    <cellStyle name="Sub-total 4 4 5" xfId="35083"/>
    <cellStyle name="Sub-total 4 4 6" xfId="35084"/>
    <cellStyle name="Sub-total 4 4 7" xfId="35085"/>
    <cellStyle name="Sub-total 4 4 8" xfId="35086"/>
    <cellStyle name="Table Head Green" xfId="35887"/>
    <cellStyle name="Table Head Green 2" xfId="35907"/>
    <cellStyle name="Table Head_pldt" xfId="35888"/>
    <cellStyle name="Table Header 1" xfId="35733"/>
    <cellStyle name="Table Header 2" xfId="35734"/>
    <cellStyle name="Table Source" xfId="35889"/>
    <cellStyle name="Table Units" xfId="35890"/>
    <cellStyle name="TableCells" xfId="35087"/>
    <cellStyle name="TableCells 2" xfId="35088"/>
    <cellStyle name="TableCells 2 2" xfId="35089"/>
    <cellStyle name="TableCells 2 2 2" xfId="35090"/>
    <cellStyle name="TableCells 2 3" xfId="35091"/>
    <cellStyle name="TableCells 2 3 2" xfId="35092"/>
    <cellStyle name="TableCells 3" xfId="35093"/>
    <cellStyle name="TableCells 3 2" xfId="35094"/>
    <cellStyle name="TableCells_ACS Overall" xfId="35095"/>
    <cellStyle name="TableLvl2" xfId="201"/>
    <cellStyle name="TableLvl3" xfId="202"/>
    <cellStyle name="Text" xfId="35891"/>
    <cellStyle name="Text 2" xfId="35892"/>
    <cellStyle name="Text 3" xfId="35893"/>
    <cellStyle name="Text Head 1" xfId="35894"/>
    <cellStyle name="Text Head 2" xfId="35895"/>
    <cellStyle name="Text Indent 2" xfId="35896"/>
    <cellStyle name="Theirs" xfId="35897"/>
    <cellStyle name="Times New Roman" xfId="35096"/>
    <cellStyle name="Title" xfId="2" builtinId="15" customBuiltin="1"/>
    <cellStyle name="Title - grey" xfId="311"/>
    <cellStyle name="Title 1" xfId="312"/>
    <cellStyle name="Title 2" xfId="75"/>
    <cellStyle name="Title 2 2" xfId="35098"/>
    <cellStyle name="Title 2 2 2" xfId="35099"/>
    <cellStyle name="Title 2 2 3" xfId="35100"/>
    <cellStyle name="Title 2 2 4" xfId="35101"/>
    <cellStyle name="Title 2 3" xfId="35102"/>
    <cellStyle name="Title 2 3 2" xfId="35103"/>
    <cellStyle name="Title 2 4" xfId="35104"/>
    <cellStyle name="Title 2 5" xfId="35105"/>
    <cellStyle name="Title 2 6" xfId="35106"/>
    <cellStyle name="Title 2 7" xfId="35107"/>
    <cellStyle name="Title 2 8" xfId="35097"/>
    <cellStyle name="Title 3" xfId="204"/>
    <cellStyle name="Title 3 2" xfId="35109"/>
    <cellStyle name="Title 3 3" xfId="35110"/>
    <cellStyle name="Title 3 4" xfId="35111"/>
    <cellStyle name="Title 3 5" xfId="35108"/>
    <cellStyle name="Title 4" xfId="313"/>
    <cellStyle name="Title 4 2" xfId="35113"/>
    <cellStyle name="Title 4 3" xfId="35114"/>
    <cellStyle name="Title 4 4" xfId="35608"/>
    <cellStyle name="Title 4 5" xfId="35112"/>
    <cellStyle name="Title 5" xfId="35115"/>
    <cellStyle name="Title 6" xfId="35116"/>
    <cellStyle name="Title 7" xfId="35117"/>
    <cellStyle name="Title 8" xfId="35118"/>
    <cellStyle name="Titleheadding" xfId="35119"/>
    <cellStyle name="Titleheadding 2" xfId="35120"/>
    <cellStyle name="TOC 1" xfId="35898"/>
    <cellStyle name="TOC 2" xfId="35899"/>
    <cellStyle name="TOC 3" xfId="35900"/>
    <cellStyle name="Total" xfId="35682" builtinId="25" customBuiltin="1"/>
    <cellStyle name="Total - General" xfId="314"/>
    <cellStyle name="Total - Grand" xfId="315"/>
    <cellStyle name="Total - Sub" xfId="316"/>
    <cellStyle name="Total 2" xfId="76"/>
    <cellStyle name="Total 2 10" xfId="35122"/>
    <cellStyle name="Total 2 10 2" xfId="35123"/>
    <cellStyle name="Total 2 10 2 2" xfId="35124"/>
    <cellStyle name="Total 2 10 3" xfId="35125"/>
    <cellStyle name="Total 2 11" xfId="35126"/>
    <cellStyle name="Total 2 11 2" xfId="35127"/>
    <cellStyle name="Total 2 11 2 2" xfId="35128"/>
    <cellStyle name="Total 2 11 3" xfId="35129"/>
    <cellStyle name="Total 2 12" xfId="35609"/>
    <cellStyle name="Total 2 13" xfId="35121"/>
    <cellStyle name="Total 2 2" xfId="85"/>
    <cellStyle name="Total 2 2 10" xfId="35131"/>
    <cellStyle name="Total 2 2 10 2" xfId="35132"/>
    <cellStyle name="Total 2 2 11" xfId="35133"/>
    <cellStyle name="Total 2 2 12" xfId="35130"/>
    <cellStyle name="Total 2 2 13" xfId="36091"/>
    <cellStyle name="Total 2 2 2" xfId="35134"/>
    <cellStyle name="Total 2 2 2 2" xfId="35135"/>
    <cellStyle name="Total 2 2 2 2 2" xfId="35136"/>
    <cellStyle name="Total 2 2 2 2 2 2" xfId="35137"/>
    <cellStyle name="Total 2 2 2 2 2 2 2" xfId="35138"/>
    <cellStyle name="Total 2 2 2 2 2 3" xfId="35139"/>
    <cellStyle name="Total 2 2 2 2 3" xfId="35140"/>
    <cellStyle name="Total 2 2 2 3" xfId="35141"/>
    <cellStyle name="Total 2 2 2 3 2" xfId="35142"/>
    <cellStyle name="Total 2 2 2 3 2 2" xfId="35143"/>
    <cellStyle name="Total 2 2 2 3 3" xfId="35144"/>
    <cellStyle name="Total 2 2 2 4" xfId="35145"/>
    <cellStyle name="Total 2 2 2 4 2" xfId="35146"/>
    <cellStyle name="Total 2 2 2 4 2 2" xfId="35147"/>
    <cellStyle name="Total 2 2 2 4 3" xfId="35148"/>
    <cellStyle name="Total 2 2 2 5" xfId="35149"/>
    <cellStyle name="Total 2 2 3" xfId="35150"/>
    <cellStyle name="Total 2 2 3 2" xfId="35151"/>
    <cellStyle name="Total 2 2 3 2 2" xfId="35152"/>
    <cellStyle name="Total 2 2 3 2 2 2" xfId="35153"/>
    <cellStyle name="Total 2 2 3 2 2 2 2" xfId="35154"/>
    <cellStyle name="Total 2 2 3 2 2 3" xfId="35155"/>
    <cellStyle name="Total 2 2 3 2 3" xfId="35156"/>
    <cellStyle name="Total 2 2 3 3" xfId="35157"/>
    <cellStyle name="Total 2 2 3 3 2" xfId="35158"/>
    <cellStyle name="Total 2 2 3 3 2 2" xfId="35159"/>
    <cellStyle name="Total 2 2 3 3 3" xfId="35160"/>
    <cellStyle name="Total 2 2 3 4" xfId="35161"/>
    <cellStyle name="Total 2 2 3 4 2" xfId="35162"/>
    <cellStyle name="Total 2 2 3 4 2 2" xfId="35163"/>
    <cellStyle name="Total 2 2 3 4 3" xfId="35164"/>
    <cellStyle name="Total 2 2 3 5" xfId="35165"/>
    <cellStyle name="Total 2 2 4" xfId="35166"/>
    <cellStyle name="Total 2 2 4 2" xfId="35167"/>
    <cellStyle name="Total 2 2 4 2 2" xfId="35168"/>
    <cellStyle name="Total 2 2 4 2 2 2" xfId="35169"/>
    <cellStyle name="Total 2 2 4 2 3" xfId="35170"/>
    <cellStyle name="Total 2 2 4 3" xfId="35171"/>
    <cellStyle name="Total 2 2 4 3 2" xfId="35172"/>
    <cellStyle name="Total 2 2 4 3 2 2" xfId="35173"/>
    <cellStyle name="Total 2 2 4 3 3" xfId="35174"/>
    <cellStyle name="Total 2 2 4 4" xfId="35175"/>
    <cellStyle name="Total 2 2 4 4 2" xfId="35176"/>
    <cellStyle name="Total 2 2 4 4 2 2" xfId="35177"/>
    <cellStyle name="Total 2 2 4 4 3" xfId="35178"/>
    <cellStyle name="Total 2 2 4 5" xfId="35179"/>
    <cellStyle name="Total 2 2 5" xfId="35180"/>
    <cellStyle name="Total 2 2 5 2" xfId="35181"/>
    <cellStyle name="Total 2 2 5 2 2" xfId="35182"/>
    <cellStyle name="Total 2 2 5 2 2 2" xfId="35183"/>
    <cellStyle name="Total 2 2 5 2 3" xfId="35184"/>
    <cellStyle name="Total 2 2 5 3" xfId="35185"/>
    <cellStyle name="Total 2 2 5 3 2" xfId="35186"/>
    <cellStyle name="Total 2 2 5 3 2 2" xfId="35187"/>
    <cellStyle name="Total 2 2 5 3 3" xfId="35188"/>
    <cellStyle name="Total 2 2 5 4" xfId="35189"/>
    <cellStyle name="Total 2 2 5 4 2" xfId="35190"/>
    <cellStyle name="Total 2 2 5 5" xfId="35191"/>
    <cellStyle name="Total 2 2 6" xfId="35192"/>
    <cellStyle name="Total 2 2 6 2" xfId="35193"/>
    <cellStyle name="Total 2 2 6 2 2" xfId="35194"/>
    <cellStyle name="Total 2 2 6 3" xfId="35195"/>
    <cellStyle name="Total 2 2 7" xfId="35196"/>
    <cellStyle name="Total 2 2 7 2" xfId="35197"/>
    <cellStyle name="Total 2 2 7 2 2" xfId="35198"/>
    <cellStyle name="Total 2 2 7 3" xfId="35199"/>
    <cellStyle name="Total 2 2 8" xfId="35200"/>
    <cellStyle name="Total 2 2 8 2" xfId="35201"/>
    <cellStyle name="Total 2 2 8 2 2" xfId="35202"/>
    <cellStyle name="Total 2 2 8 3" xfId="35203"/>
    <cellStyle name="Total 2 2 9" xfId="35204"/>
    <cellStyle name="Total 2 2 9 2" xfId="35205"/>
    <cellStyle name="Total 2 2 9 2 2" xfId="35206"/>
    <cellStyle name="Total 2 2 9 3" xfId="35207"/>
    <cellStyle name="Total 2 3" xfId="441"/>
    <cellStyle name="Total 2 3 10" xfId="35208"/>
    <cellStyle name="Total 2 3 10 2" xfId="35209"/>
    <cellStyle name="Total 2 3 10 2 2" xfId="35210"/>
    <cellStyle name="Total 2 3 10 3" xfId="35211"/>
    <cellStyle name="Total 2 3 11" xfId="35212"/>
    <cellStyle name="Total 2 3 11 2" xfId="35213"/>
    <cellStyle name="Total 2 3 12" xfId="36092"/>
    <cellStyle name="Total 2 3 2" xfId="35214"/>
    <cellStyle name="Total 2 3 2 2" xfId="35215"/>
    <cellStyle name="Total 2 3 2 2 2" xfId="35216"/>
    <cellStyle name="Total 2 3 2 2 2 2" xfId="35217"/>
    <cellStyle name="Total 2 3 2 2 2 2 2" xfId="35218"/>
    <cellStyle name="Total 2 3 2 2 2 3" xfId="35219"/>
    <cellStyle name="Total 2 3 2 2 3" xfId="35220"/>
    <cellStyle name="Total 2 3 2 3" xfId="35221"/>
    <cellStyle name="Total 2 3 2 3 2" xfId="35222"/>
    <cellStyle name="Total 2 3 2 3 2 2" xfId="35223"/>
    <cellStyle name="Total 2 3 2 3 3" xfId="35224"/>
    <cellStyle name="Total 2 3 2 4" xfId="35225"/>
    <cellStyle name="Total 2 3 2 4 2" xfId="35226"/>
    <cellStyle name="Total 2 3 2 4 2 2" xfId="35227"/>
    <cellStyle name="Total 2 3 2 4 3" xfId="35228"/>
    <cellStyle name="Total 2 3 2 5" xfId="35229"/>
    <cellStyle name="Total 2 3 3" xfId="35230"/>
    <cellStyle name="Total 2 3 3 2" xfId="35231"/>
    <cellStyle name="Total 2 3 3 2 2" xfId="35232"/>
    <cellStyle name="Total 2 3 3 2 2 2" xfId="35233"/>
    <cellStyle name="Total 2 3 3 2 2 2 2" xfId="35234"/>
    <cellStyle name="Total 2 3 3 2 2 3" xfId="35235"/>
    <cellStyle name="Total 2 3 3 2 3" xfId="35236"/>
    <cellStyle name="Total 2 3 3 3" xfId="35237"/>
    <cellStyle name="Total 2 3 3 3 2" xfId="35238"/>
    <cellStyle name="Total 2 3 3 3 2 2" xfId="35239"/>
    <cellStyle name="Total 2 3 3 3 3" xfId="35240"/>
    <cellStyle name="Total 2 3 3 4" xfId="35241"/>
    <cellStyle name="Total 2 3 3 4 2" xfId="35242"/>
    <cellStyle name="Total 2 3 3 4 2 2" xfId="35243"/>
    <cellStyle name="Total 2 3 3 4 3" xfId="35244"/>
    <cellStyle name="Total 2 3 3 5" xfId="35245"/>
    <cellStyle name="Total 2 3 4" xfId="35246"/>
    <cellStyle name="Total 2 3 4 2" xfId="35247"/>
    <cellStyle name="Total 2 3 4 2 2" xfId="35248"/>
    <cellStyle name="Total 2 3 4 2 2 2" xfId="35249"/>
    <cellStyle name="Total 2 3 4 2 3" xfId="35250"/>
    <cellStyle name="Total 2 3 4 3" xfId="35251"/>
    <cellStyle name="Total 2 3 4 3 2" xfId="35252"/>
    <cellStyle name="Total 2 3 4 3 2 2" xfId="35253"/>
    <cellStyle name="Total 2 3 4 3 3" xfId="35254"/>
    <cellStyle name="Total 2 3 4 4" xfId="35255"/>
    <cellStyle name="Total 2 3 4 4 2" xfId="35256"/>
    <cellStyle name="Total 2 3 4 4 2 2" xfId="35257"/>
    <cellStyle name="Total 2 3 4 4 3" xfId="35258"/>
    <cellStyle name="Total 2 3 4 5" xfId="35259"/>
    <cellStyle name="Total 2 3 5" xfId="35260"/>
    <cellStyle name="Total 2 3 5 2" xfId="35261"/>
    <cellStyle name="Total 2 3 5 2 2" xfId="35262"/>
    <cellStyle name="Total 2 3 5 2 2 2" xfId="35263"/>
    <cellStyle name="Total 2 3 5 2 3" xfId="35264"/>
    <cellStyle name="Total 2 3 5 3" xfId="35265"/>
    <cellStyle name="Total 2 3 5 3 2" xfId="35266"/>
    <cellStyle name="Total 2 3 5 3 2 2" xfId="35267"/>
    <cellStyle name="Total 2 3 5 3 3" xfId="35268"/>
    <cellStyle name="Total 2 3 5 4" xfId="35269"/>
    <cellStyle name="Total 2 3 5 4 2" xfId="35270"/>
    <cellStyle name="Total 2 3 5 5" xfId="35271"/>
    <cellStyle name="Total 2 3 6" xfId="35272"/>
    <cellStyle name="Total 2 3 6 2" xfId="35273"/>
    <cellStyle name="Total 2 3 6 2 2" xfId="35274"/>
    <cellStyle name="Total 2 3 6 3" xfId="35275"/>
    <cellStyle name="Total 2 3 7" xfId="35276"/>
    <cellStyle name="Total 2 3 7 2" xfId="35277"/>
    <cellStyle name="Total 2 3 7 2 2" xfId="35278"/>
    <cellStyle name="Total 2 3 7 3" xfId="35279"/>
    <cellStyle name="Total 2 3 8" xfId="35280"/>
    <cellStyle name="Total 2 3 9" xfId="35281"/>
    <cellStyle name="Total 2 3 9 2" xfId="35282"/>
    <cellStyle name="Total 2 3 9 2 2" xfId="35283"/>
    <cellStyle name="Total 2 3 9 3" xfId="35284"/>
    <cellStyle name="Total 2 4" xfId="35285"/>
    <cellStyle name="Total 2 4 2" xfId="35286"/>
    <cellStyle name="Total 2 4 2 2" xfId="35287"/>
    <cellStyle name="Total 2 4 2 2 2" xfId="35288"/>
    <cellStyle name="Total 2 4 2 2 2 2" xfId="35289"/>
    <cellStyle name="Total 2 4 2 2 3" xfId="35290"/>
    <cellStyle name="Total 2 4 2 3" xfId="35291"/>
    <cellStyle name="Total 2 4 2 3 2" xfId="35292"/>
    <cellStyle name="Total 2 4 2 3 2 2" xfId="35293"/>
    <cellStyle name="Total 2 4 2 3 3" xfId="35294"/>
    <cellStyle name="Total 2 4 2 4" xfId="35295"/>
    <cellStyle name="Total 2 4 2 4 2" xfId="35296"/>
    <cellStyle name="Total 2 4 2 4 2 2" xfId="35297"/>
    <cellStyle name="Total 2 4 2 4 3" xfId="35298"/>
    <cellStyle name="Total 2 4 2 5" xfId="35299"/>
    <cellStyle name="Total 2 4 3" xfId="35300"/>
    <cellStyle name="Total 2 4 3 2" xfId="35301"/>
    <cellStyle name="Total 2 4 3 2 2" xfId="35302"/>
    <cellStyle name="Total 2 4 3 2 2 2" xfId="35303"/>
    <cellStyle name="Total 2 4 3 2 3" xfId="35304"/>
    <cellStyle name="Total 2 4 3 3" xfId="35305"/>
    <cellStyle name="Total 2 4 3 3 2" xfId="35306"/>
    <cellStyle name="Total 2 4 3 3 2 2" xfId="35307"/>
    <cellStyle name="Total 2 4 3 3 3" xfId="35308"/>
    <cellStyle name="Total 2 4 3 4" xfId="35309"/>
    <cellStyle name="Total 2 4 3 4 2" xfId="35310"/>
    <cellStyle name="Total 2 4 3 5" xfId="35311"/>
    <cellStyle name="Total 2 4 4" xfId="35312"/>
    <cellStyle name="Total 2 4 4 2" xfId="35313"/>
    <cellStyle name="Total 2 4 4 2 2" xfId="35314"/>
    <cellStyle name="Total 2 4 4 3" xfId="35315"/>
    <cellStyle name="Total 2 4 5" xfId="35316"/>
    <cellStyle name="Total 2 4 5 2" xfId="35317"/>
    <cellStyle name="Total 2 4 5 2 2" xfId="35318"/>
    <cellStyle name="Total 2 4 5 3" xfId="35319"/>
    <cellStyle name="Total 2 4 6" xfId="35320"/>
    <cellStyle name="Total 2 4 6 2" xfId="35321"/>
    <cellStyle name="Total 2 4 6 2 2" xfId="35322"/>
    <cellStyle name="Total 2 4 6 3" xfId="35323"/>
    <cellStyle name="Total 2 4 7" xfId="35324"/>
    <cellStyle name="Total 2 4 7 2" xfId="35325"/>
    <cellStyle name="Total 2 4 8" xfId="35326"/>
    <cellStyle name="Total 2 5" xfId="35327"/>
    <cellStyle name="Total 2 5 2" xfId="35328"/>
    <cellStyle name="Total 2 5 2 2" xfId="35329"/>
    <cellStyle name="Total 2 5 2 2 2" xfId="35330"/>
    <cellStyle name="Total 2 5 2 2 2 2" xfId="35331"/>
    <cellStyle name="Total 2 5 2 2 3" xfId="35332"/>
    <cellStyle name="Total 2 5 2 3" xfId="35333"/>
    <cellStyle name="Total 2 5 3" xfId="35334"/>
    <cellStyle name="Total 2 5 3 2" xfId="35335"/>
    <cellStyle name="Total 2 5 3 2 2" xfId="35336"/>
    <cellStyle name="Total 2 5 3 3" xfId="35337"/>
    <cellStyle name="Total 2 5 4" xfId="35338"/>
    <cellStyle name="Total 2 5 5" xfId="35339"/>
    <cellStyle name="Total 2 5 5 2" xfId="35340"/>
    <cellStyle name="Total 2 5 5 2 2" xfId="35341"/>
    <cellStyle name="Total 2 5 5 3" xfId="35342"/>
    <cellStyle name="Total 2 5 6" xfId="35343"/>
    <cellStyle name="Total 2 5 6 2" xfId="35344"/>
    <cellStyle name="Total 2 6" xfId="35345"/>
    <cellStyle name="Total 2 6 2" xfId="35346"/>
    <cellStyle name="Total 2 6 2 2" xfId="35347"/>
    <cellStyle name="Total 2 6 2 2 2" xfId="35348"/>
    <cellStyle name="Total 2 6 2 2 2 2" xfId="35349"/>
    <cellStyle name="Total 2 6 2 2 3" xfId="35350"/>
    <cellStyle name="Total 2 6 2 3" xfId="35351"/>
    <cellStyle name="Total 2 6 3" xfId="35352"/>
    <cellStyle name="Total 2 6 3 2" xfId="35353"/>
    <cellStyle name="Total 2 6 3 2 2" xfId="35354"/>
    <cellStyle name="Total 2 6 3 3" xfId="35355"/>
    <cellStyle name="Total 2 6 4" xfId="35356"/>
    <cellStyle name="Total 2 6 4 2" xfId="35357"/>
    <cellStyle name="Total 2 6 4 2 2" xfId="35358"/>
    <cellStyle name="Total 2 6 4 3" xfId="35359"/>
    <cellStyle name="Total 2 6 5" xfId="35360"/>
    <cellStyle name="Total 2 6 5 2" xfId="35361"/>
    <cellStyle name="Total 2 6 5 2 2" xfId="35362"/>
    <cellStyle name="Total 2 6 5 3" xfId="35363"/>
    <cellStyle name="Total 2 6 6" xfId="35364"/>
    <cellStyle name="Total 2 6 6 2" xfId="35365"/>
    <cellStyle name="Total 2 6 7" xfId="35366"/>
    <cellStyle name="Total 2 7" xfId="35367"/>
    <cellStyle name="Total 2 7 2" xfId="35368"/>
    <cellStyle name="Total 2 7 3" xfId="35369"/>
    <cellStyle name="Total 2 8" xfId="35370"/>
    <cellStyle name="Total 2 8 2" xfId="35371"/>
    <cellStyle name="Total 2 8 2 2" xfId="35372"/>
    <cellStyle name="Total 2 8 2 2 2" xfId="35373"/>
    <cellStyle name="Total 2 8 2 3" xfId="35374"/>
    <cellStyle name="Total 2 8 3" xfId="35375"/>
    <cellStyle name="Total 2 8 3 2" xfId="35376"/>
    <cellStyle name="Total 2 8 3 2 2" xfId="35377"/>
    <cellStyle name="Total 2 8 3 3" xfId="35378"/>
    <cellStyle name="Total 2 8 4" xfId="35379"/>
    <cellStyle name="Total 2 8 4 2" xfId="35380"/>
    <cellStyle name="Total 2 8 5" xfId="35381"/>
    <cellStyle name="Total 2 9" xfId="35382"/>
    <cellStyle name="Total 2 9 2" xfId="35383"/>
    <cellStyle name="Total 2 9 2 2" xfId="35384"/>
    <cellStyle name="Total 2 9 3" xfId="35385"/>
    <cellStyle name="Total 3" xfId="205"/>
    <cellStyle name="Total 3 10" xfId="35386"/>
    <cellStyle name="Total 3 2" xfId="35387"/>
    <cellStyle name="Total 3 2 2" xfId="35388"/>
    <cellStyle name="Total 3 2 2 2" xfId="35389"/>
    <cellStyle name="Total 3 2 2 2 2" xfId="35390"/>
    <cellStyle name="Total 3 2 2 2 2 2" xfId="35391"/>
    <cellStyle name="Total 3 2 2 2 3" xfId="35392"/>
    <cellStyle name="Total 3 2 2 3" xfId="35393"/>
    <cellStyle name="Total 3 2 3" xfId="35394"/>
    <cellStyle name="Total 3 2 3 2" xfId="35395"/>
    <cellStyle name="Total 3 2 3 2 2" xfId="35396"/>
    <cellStyle name="Total 3 2 3 3" xfId="35397"/>
    <cellStyle name="Total 3 2 4" xfId="35398"/>
    <cellStyle name="Total 3 2 4 2" xfId="35399"/>
    <cellStyle name="Total 3 2 4 2 2" xfId="35400"/>
    <cellStyle name="Total 3 2 4 3" xfId="35401"/>
    <cellStyle name="Total 3 2 5" xfId="35402"/>
    <cellStyle name="Total 3 3" xfId="35403"/>
    <cellStyle name="Total 3 3 2" xfId="35404"/>
    <cellStyle name="Total 3 3 2 2" xfId="35405"/>
    <cellStyle name="Total 3 3 2 2 2" xfId="35406"/>
    <cellStyle name="Total 3 3 2 2 2 2" xfId="35407"/>
    <cellStyle name="Total 3 3 2 2 3" xfId="35408"/>
    <cellStyle name="Total 3 3 2 3" xfId="35409"/>
    <cellStyle name="Total 3 3 3" xfId="35410"/>
    <cellStyle name="Total 3 3 3 2" xfId="35411"/>
    <cellStyle name="Total 3 3 3 2 2" xfId="35412"/>
    <cellStyle name="Total 3 3 3 3" xfId="35413"/>
    <cellStyle name="Total 3 3 4" xfId="35414"/>
    <cellStyle name="Total 3 3 4 2" xfId="35415"/>
    <cellStyle name="Total 3 3 4 2 2" xfId="35416"/>
    <cellStyle name="Total 3 3 4 3" xfId="35417"/>
    <cellStyle name="Total 3 3 5" xfId="35418"/>
    <cellStyle name="Total 3 4" xfId="35419"/>
    <cellStyle name="Total 3 4 2" xfId="35420"/>
    <cellStyle name="Total 3 4 2 2" xfId="35421"/>
    <cellStyle name="Total 3 4 2 2 2" xfId="35422"/>
    <cellStyle name="Total 3 4 2 3" xfId="35423"/>
    <cellStyle name="Total 3 4 3" xfId="35424"/>
    <cellStyle name="Total 3 4 3 2" xfId="35425"/>
    <cellStyle name="Total 3 4 3 2 2" xfId="35426"/>
    <cellStyle name="Total 3 4 3 3" xfId="35427"/>
    <cellStyle name="Total 3 4 4" xfId="35428"/>
    <cellStyle name="Total 3 4 4 2" xfId="35429"/>
    <cellStyle name="Total 3 4 4 2 2" xfId="35430"/>
    <cellStyle name="Total 3 4 4 3" xfId="35431"/>
    <cellStyle name="Total 3 4 5" xfId="35432"/>
    <cellStyle name="Total 3 5" xfId="35433"/>
    <cellStyle name="Total 3 5 2" xfId="35434"/>
    <cellStyle name="Total 3 5 2 2" xfId="35435"/>
    <cellStyle name="Total 3 5 3" xfId="35436"/>
    <cellStyle name="Total 3 6" xfId="35437"/>
    <cellStyle name="Total 3 6 2" xfId="35438"/>
    <cellStyle name="Total 3 6 2 2" xfId="35439"/>
    <cellStyle name="Total 3 6 3" xfId="35440"/>
    <cellStyle name="Total 3 7" xfId="35441"/>
    <cellStyle name="Total 3 7 2" xfId="35442"/>
    <cellStyle name="Total 3 7 2 2" xfId="35443"/>
    <cellStyle name="Total 3 7 3" xfId="35444"/>
    <cellStyle name="Total 3 8" xfId="35445"/>
    <cellStyle name="Total 3 9" xfId="35610"/>
    <cellStyle name="Total 4" xfId="317"/>
    <cellStyle name="Total 4 2" xfId="35447"/>
    <cellStyle name="Total 4 3" xfId="35448"/>
    <cellStyle name="Total 4 3 2" xfId="35449"/>
    <cellStyle name="Total 4 3 2 2" xfId="35450"/>
    <cellStyle name="Total 4 3 3" xfId="35451"/>
    <cellStyle name="Total 4 4" xfId="35452"/>
    <cellStyle name="Total 4 5" xfId="35611"/>
    <cellStyle name="Total 4 6" xfId="35446"/>
    <cellStyle name="Total 5" xfId="35453"/>
    <cellStyle name="Total 5 2" xfId="35454"/>
    <cellStyle name="Total 6" xfId="35455"/>
    <cellStyle name="Total 6 2" xfId="35456"/>
    <cellStyle name="Total 6 3" xfId="35457"/>
    <cellStyle name="Total 6 3 2" xfId="35458"/>
    <cellStyle name="Total 6 4" xfId="35459"/>
    <cellStyle name="Total 7" xfId="35460"/>
    <cellStyle name="Total 7 2" xfId="35461"/>
    <cellStyle name="Total 7 2 2" xfId="35462"/>
    <cellStyle name="Total 7 3" xfId="35463"/>
    <cellStyle name="Total 8" xfId="35464"/>
    <cellStyle name="Total 8 2" xfId="35465"/>
    <cellStyle name="Total 8 2 2" xfId="35466"/>
    <cellStyle name="Total 9" xfId="35467"/>
    <cellStyle name="Trigger Assumption GreenRedGrey" xfId="35736"/>
    <cellStyle name="Trigger GreenRedGrey" xfId="35737"/>
    <cellStyle name="Units" xfId="318"/>
    <cellStyle name="Warning Text" xfId="35679" builtinId="11" customBuiltin="1"/>
    <cellStyle name="Warning Text 2" xfId="77"/>
    <cellStyle name="Warning Text 2 2" xfId="35468"/>
    <cellStyle name="Warning Text 2 2 2" xfId="35469"/>
    <cellStyle name="Warning Text 2 3" xfId="35470"/>
    <cellStyle name="Warning Text 2 3 2" xfId="35471"/>
    <cellStyle name="Warning Text 2 4" xfId="35472"/>
    <cellStyle name="Warning Text 2 4 2" xfId="35473"/>
    <cellStyle name="Warning Text 2 5" xfId="35474"/>
    <cellStyle name="Warning Text 3" xfId="206"/>
    <cellStyle name="Warning Text 3 2" xfId="35476"/>
    <cellStyle name="Warning Text 3 3" xfId="35477"/>
    <cellStyle name="Warning Text 3 4" xfId="35478"/>
    <cellStyle name="Warning Text 3 5" xfId="35475"/>
    <cellStyle name="Warning Text 4" xfId="35479"/>
    <cellStyle name="Warning Text 4 2" xfId="35480"/>
    <cellStyle name="Warning Text 4 2 2" xfId="35481"/>
    <cellStyle name="Warning Text 4 3" xfId="35482"/>
    <cellStyle name="Warning Text 5" xfId="35483"/>
    <cellStyle name="Warning Text 6" xfId="35484"/>
    <cellStyle name="Warning Text 7" xfId="35485"/>
    <cellStyle name="Year" xfId="35712"/>
    <cellStyle name="year 2" xfId="35902"/>
    <cellStyle name="year 2 2" xfId="35909"/>
    <cellStyle name="year 3" xfId="35908"/>
    <cellStyle name="year 4" xfId="35901"/>
    <cellStyle name="Year Assumptions" xfId="35713"/>
    <cellStyle name="Year Input" xfId="35743"/>
    <cellStyle name="year_29(d) - Gas extensions -tariffs" xfId="35903"/>
    <cellStyle name="표준_KZ-DRAWING-NO" xfId="35486"/>
  </cellStyles>
  <dxfs count="0"/>
  <tableStyles count="0" defaultTableStyle="TableStyleMedium2" defaultPivotStyle="PivotStyleLight16"/>
  <colors>
    <mruColors>
      <color rgb="FF000000"/>
      <color rgb="FFFFFFCC"/>
      <color rgb="FFB08600"/>
      <color rgb="FFDDFCFF"/>
      <color rgb="FFCCFFCC"/>
      <color rgb="FF66CCFF"/>
      <color rgb="FF0000FF"/>
      <color rgb="FF008390"/>
      <color rgb="FF99FFCC"/>
      <color rgb="FF00B1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292554</xdr:colOff>
      <xdr:row>49</xdr:row>
      <xdr:rowOff>95250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8429625" cy="9980839"/>
        </a:xfrm>
        <a:prstGeom prst="rect">
          <a:avLst/>
        </a:prstGeom>
        <a:noFill/>
      </xdr:spPr>
    </xdr:pic>
    <xdr:clientData/>
  </xdr:twoCellAnchor>
  <xdr:twoCellAnchor>
    <xdr:from>
      <xdr:col>0</xdr:col>
      <xdr:colOff>2209799</xdr:colOff>
      <xdr:row>0</xdr:row>
      <xdr:rowOff>28575</xdr:rowOff>
    </xdr:from>
    <xdr:to>
      <xdr:col>7</xdr:col>
      <xdr:colOff>47625</xdr:colOff>
      <xdr:row>8</xdr:row>
      <xdr:rowOff>47625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799" y="28575"/>
          <a:ext cx="6572251"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t>Fee-based and</a:t>
          </a:r>
          <a:r>
            <a:rPr lang="en-AU" sz="2400" b="1" baseline="0"/>
            <a:t> quoted services </a:t>
          </a:r>
          <a:r>
            <a:rPr lang="en-AU" sz="2400" b="1"/>
            <a:t>pricing model for Ergon Energy and Energex</a:t>
          </a:r>
        </a:p>
        <a:p>
          <a:endParaRPr lang="en-AU" sz="1100" baseline="0"/>
        </a:p>
        <a:p>
          <a:r>
            <a:rPr lang="en-AU" sz="1600" b="1" baseline="0"/>
            <a:t>Regulatory control period 1 July 2020 to 30 June 2025</a:t>
          </a:r>
        </a:p>
        <a:p>
          <a:endParaRPr lang="en-AU" sz="1100" baseline="0"/>
        </a:p>
      </xdr:txBody>
    </xdr:sp>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S4"/>
  <sheetViews>
    <sheetView tabSelected="1" zoomScale="70" zoomScaleNormal="70" workbookViewId="0">
      <selection activeCell="H1" sqref="H1"/>
    </sheetView>
  </sheetViews>
  <sheetFormatPr defaultColWidth="8.85546875" defaultRowHeight="15"/>
  <cols>
    <col min="1" max="1" width="46.140625" customWidth="1"/>
    <col min="2" max="2" width="39.140625" customWidth="1"/>
  </cols>
  <sheetData>
    <row r="1" spans="3:19" ht="31.5">
      <c r="C1" s="27"/>
      <c r="R1" s="28"/>
      <c r="S1" s="27"/>
    </row>
    <row r="2" spans="3:19" ht="33.75">
      <c r="R2" s="218"/>
    </row>
    <row r="3" spans="3:19" s="122" customFormat="1"/>
    <row r="4" spans="3:19" ht="23.25">
      <c r="C4" s="26"/>
      <c r="D4" s="26"/>
      <c r="E4" s="26"/>
      <c r="R4" s="29"/>
      <c r="S4" s="2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104"/>
  <sheetViews>
    <sheetView topLeftCell="B1" zoomScale="70" zoomScaleNormal="70" workbookViewId="0">
      <selection activeCell="B1" sqref="B1"/>
    </sheetView>
  </sheetViews>
  <sheetFormatPr defaultColWidth="8.85546875" defaultRowHeight="15"/>
  <cols>
    <col min="1" max="1" width="255.7109375" style="269" hidden="1" customWidth="1"/>
    <col min="2" max="2" width="38.42578125" style="269" customWidth="1"/>
    <col min="3" max="3" width="68" style="269" customWidth="1"/>
    <col min="4" max="4" width="23.85546875" style="269" customWidth="1"/>
    <col min="5" max="5" width="11.42578125" style="269" customWidth="1"/>
    <col min="6" max="6" width="12" style="269" customWidth="1"/>
    <col min="7" max="7" width="15.42578125" style="269" customWidth="1"/>
    <col min="8" max="8" width="17.7109375" style="269" customWidth="1"/>
    <col min="9" max="9" width="18.42578125" style="269" customWidth="1"/>
    <col min="10" max="11" width="8.85546875" style="269"/>
    <col min="12" max="12" width="12.42578125" style="269" customWidth="1"/>
    <col min="13" max="13" width="9" style="269" customWidth="1"/>
    <col min="14" max="14" width="13" style="269" customWidth="1"/>
    <col min="15" max="16384" width="8.85546875" style="269"/>
  </cols>
  <sheetData>
    <row r="1" spans="1:11">
      <c r="B1" s="81" t="s">
        <v>1466</v>
      </c>
    </row>
    <row r="2" spans="1:11">
      <c r="B2" s="81" t="s">
        <v>10</v>
      </c>
      <c r="C2" s="7"/>
      <c r="D2" s="81"/>
      <c r="E2" s="81"/>
    </row>
    <row r="3" spans="1:11">
      <c r="B3" s="269">
        <v>2</v>
      </c>
      <c r="D3" s="269">
        <v>4</v>
      </c>
      <c r="F3" s="269">
        <v>6</v>
      </c>
      <c r="G3" s="269">
        <v>7</v>
      </c>
      <c r="H3" s="269">
        <v>8</v>
      </c>
      <c r="I3" s="269">
        <v>9</v>
      </c>
    </row>
    <row r="4" spans="1:11">
      <c r="B4" s="272" t="s">
        <v>1319</v>
      </c>
      <c r="C4" s="272" t="s">
        <v>34</v>
      </c>
      <c r="D4" s="272" t="s">
        <v>1320</v>
      </c>
      <c r="E4" s="272"/>
      <c r="F4" s="273" t="s">
        <v>577</v>
      </c>
      <c r="G4" s="273" t="s">
        <v>81</v>
      </c>
      <c r="H4" s="273" t="s">
        <v>1</v>
      </c>
      <c r="I4" s="273" t="s">
        <v>2</v>
      </c>
    </row>
    <row r="5" spans="1:11" ht="66" customHeight="1">
      <c r="A5" s="269" t="s">
        <v>1468</v>
      </c>
      <c r="B5" s="270" t="s">
        <v>159</v>
      </c>
      <c r="C5" s="317" t="s">
        <v>247</v>
      </c>
      <c r="D5" s="270" t="s">
        <v>105</v>
      </c>
      <c r="E5" s="270"/>
      <c r="F5" s="363"/>
      <c r="G5" s="364"/>
      <c r="H5" s="364"/>
      <c r="I5" s="364"/>
    </row>
    <row r="6" spans="1:11" ht="30">
      <c r="A6" s="269" t="s">
        <v>1469</v>
      </c>
      <c r="B6" s="94" t="s">
        <v>159</v>
      </c>
      <c r="C6" s="90" t="s">
        <v>247</v>
      </c>
      <c r="D6" s="270" t="s">
        <v>112</v>
      </c>
      <c r="E6" s="94"/>
      <c r="F6" s="363"/>
      <c r="G6" s="364"/>
      <c r="H6" s="364"/>
      <c r="I6" s="364"/>
    </row>
    <row r="7" spans="1:11">
      <c r="A7" s="269" t="s">
        <v>1470</v>
      </c>
      <c r="B7" s="270" t="s">
        <v>160</v>
      </c>
      <c r="C7" s="317" t="s">
        <v>248</v>
      </c>
      <c r="D7" s="270" t="s">
        <v>105</v>
      </c>
      <c r="E7" s="270"/>
      <c r="F7" s="363"/>
      <c r="G7" s="364"/>
      <c r="H7" s="364"/>
      <c r="I7" s="364"/>
    </row>
    <row r="8" spans="1:11">
      <c r="A8" s="269" t="s">
        <v>1471</v>
      </c>
      <c r="B8" s="270" t="s">
        <v>160</v>
      </c>
      <c r="C8" s="317" t="s">
        <v>248</v>
      </c>
      <c r="D8" s="270" t="s">
        <v>112</v>
      </c>
      <c r="E8" s="270"/>
      <c r="F8" s="363"/>
      <c r="G8" s="364"/>
      <c r="H8" s="364"/>
      <c r="I8" s="364"/>
    </row>
    <row r="9" spans="1:11">
      <c r="A9" s="269" t="s">
        <v>1472</v>
      </c>
      <c r="B9" s="270" t="s">
        <v>160</v>
      </c>
      <c r="C9" s="317" t="s">
        <v>1439</v>
      </c>
      <c r="D9" s="270" t="s">
        <v>105</v>
      </c>
      <c r="E9" s="270"/>
      <c r="F9" s="363"/>
      <c r="G9" s="364"/>
      <c r="H9" s="364"/>
      <c r="I9" s="364"/>
    </row>
    <row r="10" spans="1:11">
      <c r="A10" s="269" t="s">
        <v>1473</v>
      </c>
      <c r="B10" s="270" t="s">
        <v>160</v>
      </c>
      <c r="C10" s="317" t="s">
        <v>1439</v>
      </c>
      <c r="D10" s="270" t="s">
        <v>112</v>
      </c>
      <c r="E10" s="270"/>
      <c r="F10" s="363"/>
      <c r="G10" s="364"/>
      <c r="H10" s="364"/>
      <c r="I10" s="364"/>
    </row>
    <row r="11" spans="1:11">
      <c r="A11" s="269" t="s">
        <v>1474</v>
      </c>
      <c r="B11" s="269" t="s">
        <v>161</v>
      </c>
      <c r="C11" s="317" t="s">
        <v>1441</v>
      </c>
      <c r="D11" s="270" t="s">
        <v>105</v>
      </c>
      <c r="E11" s="270"/>
      <c r="F11" s="363"/>
      <c r="G11" s="364"/>
      <c r="H11" s="364"/>
      <c r="I11" s="364"/>
    </row>
    <row r="12" spans="1:11" ht="30.75" customHeight="1">
      <c r="A12" s="269" t="s">
        <v>1475</v>
      </c>
      <c r="B12" s="269" t="s">
        <v>161</v>
      </c>
      <c r="C12" s="317" t="s">
        <v>1441</v>
      </c>
      <c r="D12" s="270" t="s">
        <v>112</v>
      </c>
      <c r="E12" s="270"/>
      <c r="F12" s="363"/>
      <c r="G12" s="364"/>
      <c r="H12" s="364"/>
      <c r="I12" s="364"/>
    </row>
    <row r="13" spans="1:11">
      <c r="A13" s="269" t="s">
        <v>1476</v>
      </c>
      <c r="B13" s="94" t="s">
        <v>179</v>
      </c>
      <c r="C13" s="90" t="s">
        <v>1360</v>
      </c>
      <c r="D13" s="94" t="s">
        <v>127</v>
      </c>
      <c r="E13" s="94"/>
      <c r="F13" s="363"/>
      <c r="G13" s="364"/>
      <c r="H13" s="364"/>
      <c r="I13" s="364"/>
    </row>
    <row r="14" spans="1:11">
      <c r="A14" s="269" t="s">
        <v>1477</v>
      </c>
      <c r="B14" s="94" t="s">
        <v>179</v>
      </c>
      <c r="C14" s="90" t="s">
        <v>1361</v>
      </c>
      <c r="D14" s="94" t="s">
        <v>127</v>
      </c>
      <c r="E14" s="94"/>
      <c r="F14" s="363"/>
      <c r="G14" s="364"/>
      <c r="H14" s="364"/>
      <c r="I14" s="364"/>
    </row>
    <row r="15" spans="1:11">
      <c r="A15" s="269" t="s">
        <v>1478</v>
      </c>
      <c r="B15" s="94" t="s">
        <v>179</v>
      </c>
      <c r="C15" s="90" t="s">
        <v>1362</v>
      </c>
      <c r="D15" s="94" t="s">
        <v>127</v>
      </c>
      <c r="E15" s="94"/>
      <c r="F15" s="363"/>
      <c r="G15" s="364"/>
      <c r="H15" s="364"/>
      <c r="I15" s="364"/>
    </row>
    <row r="16" spans="1:11">
      <c r="A16" s="269" t="s">
        <v>1479</v>
      </c>
      <c r="B16" s="94" t="s">
        <v>312</v>
      </c>
      <c r="C16" s="90" t="s">
        <v>1358</v>
      </c>
      <c r="D16" s="94" t="s">
        <v>127</v>
      </c>
      <c r="E16" s="94"/>
      <c r="F16" s="363"/>
      <c r="G16" s="364"/>
      <c r="H16" s="364"/>
      <c r="I16" s="364"/>
      <c r="K16" s="19"/>
    </row>
    <row r="17" spans="1:9">
      <c r="A17" s="269" t="s">
        <v>1480</v>
      </c>
      <c r="B17" s="94" t="s">
        <v>312</v>
      </c>
      <c r="C17" s="90" t="s">
        <v>1358</v>
      </c>
      <c r="D17" s="94" t="s">
        <v>122</v>
      </c>
      <c r="E17" s="94"/>
      <c r="F17" s="120"/>
      <c r="G17" s="365"/>
      <c r="H17" s="365"/>
      <c r="I17" s="365"/>
    </row>
    <row r="18" spans="1:9">
      <c r="A18" s="269" t="s">
        <v>1481</v>
      </c>
      <c r="B18" s="94" t="s">
        <v>103</v>
      </c>
      <c r="C18" s="90" t="s">
        <v>182</v>
      </c>
      <c r="D18" s="94" t="s">
        <v>105</v>
      </c>
      <c r="E18" s="380"/>
      <c r="F18" s="120"/>
      <c r="G18" s="366"/>
      <c r="H18" s="365"/>
      <c r="I18" s="365"/>
    </row>
    <row r="19" spans="1:9">
      <c r="A19" s="269" t="s">
        <v>1482</v>
      </c>
      <c r="B19" s="94" t="s">
        <v>103</v>
      </c>
      <c r="C19" s="90" t="s">
        <v>182</v>
      </c>
      <c r="D19" s="94" t="s">
        <v>112</v>
      </c>
      <c r="E19" s="380"/>
      <c r="F19" s="120"/>
      <c r="G19" s="365"/>
      <c r="H19" s="365"/>
      <c r="I19" s="365"/>
    </row>
    <row r="20" spans="1:9">
      <c r="A20" s="269" t="s">
        <v>1483</v>
      </c>
      <c r="B20" s="94" t="s">
        <v>103</v>
      </c>
      <c r="C20" s="90" t="s">
        <v>182</v>
      </c>
      <c r="D20" s="94" t="s">
        <v>124</v>
      </c>
      <c r="E20" s="380"/>
      <c r="F20" s="120"/>
      <c r="G20" s="366"/>
      <c r="H20" s="365"/>
      <c r="I20" s="365"/>
    </row>
    <row r="21" spans="1:9">
      <c r="A21" s="269" t="s">
        <v>1484</v>
      </c>
      <c r="B21" s="94" t="s">
        <v>103</v>
      </c>
      <c r="C21" s="90" t="s">
        <v>126</v>
      </c>
      <c r="D21" s="94" t="s">
        <v>127</v>
      </c>
      <c r="E21" s="380"/>
      <c r="F21" s="120"/>
      <c r="G21" s="366"/>
      <c r="H21" s="365"/>
      <c r="I21" s="365"/>
    </row>
    <row r="22" spans="1:9">
      <c r="A22" s="269" t="s">
        <v>1485</v>
      </c>
      <c r="B22" s="94" t="s">
        <v>103</v>
      </c>
      <c r="C22" s="90" t="s">
        <v>126</v>
      </c>
      <c r="D22" s="94" t="s">
        <v>122</v>
      </c>
      <c r="E22" s="380"/>
      <c r="F22" s="120"/>
      <c r="G22" s="365"/>
      <c r="H22" s="365"/>
      <c r="I22" s="365"/>
    </row>
    <row r="23" spans="1:9">
      <c r="A23" s="269" t="s">
        <v>1486</v>
      </c>
      <c r="B23" s="94" t="s">
        <v>103</v>
      </c>
      <c r="C23" s="90" t="s">
        <v>126</v>
      </c>
      <c r="D23" s="94" t="s">
        <v>1460</v>
      </c>
      <c r="E23" s="380"/>
      <c r="F23" s="120"/>
      <c r="G23" s="366"/>
      <c r="H23" s="365"/>
      <c r="I23" s="365"/>
    </row>
    <row r="24" spans="1:9">
      <c r="A24" s="269" t="s">
        <v>1487</v>
      </c>
      <c r="B24" s="94" t="s">
        <v>117</v>
      </c>
      <c r="C24" s="90" t="s">
        <v>389</v>
      </c>
      <c r="D24" s="94" t="s">
        <v>105</v>
      </c>
      <c r="E24" s="380"/>
      <c r="F24" s="120"/>
      <c r="G24" s="366"/>
      <c r="H24" s="365"/>
      <c r="I24" s="365"/>
    </row>
    <row r="25" spans="1:9">
      <c r="A25" s="269" t="s">
        <v>1488</v>
      </c>
      <c r="B25" s="94" t="s">
        <v>117</v>
      </c>
      <c r="C25" s="90" t="s">
        <v>389</v>
      </c>
      <c r="D25" s="94" t="s">
        <v>112</v>
      </c>
      <c r="E25" s="380"/>
      <c r="F25" s="120"/>
      <c r="G25" s="365"/>
      <c r="H25" s="365"/>
      <c r="I25" s="365"/>
    </row>
    <row r="26" spans="1:9">
      <c r="A26" s="269" t="s">
        <v>1489</v>
      </c>
      <c r="B26" s="94" t="s">
        <v>117</v>
      </c>
      <c r="C26" s="90" t="s">
        <v>389</v>
      </c>
      <c r="D26" s="94" t="s">
        <v>111</v>
      </c>
      <c r="E26" s="380"/>
      <c r="F26" s="120"/>
      <c r="G26" s="366"/>
      <c r="H26" s="365"/>
      <c r="I26" s="365"/>
    </row>
    <row r="27" spans="1:9">
      <c r="A27" s="269" t="s">
        <v>1490</v>
      </c>
      <c r="B27" s="94" t="s">
        <v>117</v>
      </c>
      <c r="C27" s="90" t="s">
        <v>389</v>
      </c>
      <c r="D27" s="94" t="s">
        <v>121</v>
      </c>
      <c r="E27" s="380"/>
      <c r="F27" s="120"/>
      <c r="G27" s="365"/>
      <c r="H27" s="365"/>
      <c r="I27" s="365"/>
    </row>
    <row r="28" spans="1:9">
      <c r="A28" s="269" t="s">
        <v>1491</v>
      </c>
      <c r="B28" s="94" t="s">
        <v>117</v>
      </c>
      <c r="C28" s="90" t="s">
        <v>389</v>
      </c>
      <c r="D28" s="94" t="s">
        <v>119</v>
      </c>
      <c r="E28" s="380"/>
      <c r="F28" s="120"/>
      <c r="G28" s="365"/>
      <c r="H28" s="365"/>
      <c r="I28" s="365"/>
    </row>
    <row r="29" spans="1:9">
      <c r="A29" s="269" t="s">
        <v>1492</v>
      </c>
      <c r="B29" s="94" t="s">
        <v>117</v>
      </c>
      <c r="C29" s="90" t="s">
        <v>389</v>
      </c>
      <c r="D29" s="94" t="s">
        <v>123</v>
      </c>
      <c r="E29" s="380"/>
      <c r="F29" s="120"/>
      <c r="G29" s="365"/>
      <c r="H29" s="365"/>
      <c r="I29" s="365"/>
    </row>
    <row r="30" spans="1:9">
      <c r="A30" s="269" t="s">
        <v>1493</v>
      </c>
      <c r="B30" s="94" t="s">
        <v>117</v>
      </c>
      <c r="C30" s="90" t="s">
        <v>390</v>
      </c>
      <c r="D30" s="94" t="s">
        <v>127</v>
      </c>
      <c r="E30" s="380"/>
      <c r="F30" s="120"/>
      <c r="G30" s="366"/>
      <c r="H30" s="365"/>
      <c r="I30" s="365"/>
    </row>
    <row r="31" spans="1:9">
      <c r="A31" s="269" t="s">
        <v>1494</v>
      </c>
      <c r="B31" s="94" t="s">
        <v>117</v>
      </c>
      <c r="C31" s="90" t="s">
        <v>390</v>
      </c>
      <c r="D31" s="94" t="s">
        <v>122</v>
      </c>
      <c r="E31" s="380"/>
      <c r="F31" s="120"/>
      <c r="G31" s="366"/>
      <c r="H31" s="365"/>
      <c r="I31" s="365"/>
    </row>
    <row r="32" spans="1:9">
      <c r="A32" s="269" t="s">
        <v>1495</v>
      </c>
      <c r="B32" s="94" t="s">
        <v>117</v>
      </c>
      <c r="C32" s="90" t="s">
        <v>390</v>
      </c>
      <c r="D32" s="94" t="s">
        <v>128</v>
      </c>
      <c r="E32" s="380"/>
      <c r="F32" s="120"/>
      <c r="G32" s="366"/>
      <c r="H32" s="365"/>
      <c r="I32" s="365"/>
    </row>
    <row r="33" spans="1:9">
      <c r="A33" s="269" t="s">
        <v>1496</v>
      </c>
      <c r="B33" s="94" t="s">
        <v>117</v>
      </c>
      <c r="C33" s="90" t="s">
        <v>390</v>
      </c>
      <c r="D33" s="94" t="s">
        <v>1460</v>
      </c>
      <c r="E33" s="380"/>
      <c r="F33" s="120"/>
      <c r="G33" s="366"/>
      <c r="H33" s="365"/>
      <c r="I33" s="365"/>
    </row>
    <row r="34" spans="1:9">
      <c r="A34" s="269" t="s">
        <v>1497</v>
      </c>
      <c r="B34" s="94" t="s">
        <v>117</v>
      </c>
      <c r="C34" s="90" t="s">
        <v>381</v>
      </c>
      <c r="D34" s="94" t="s">
        <v>105</v>
      </c>
      <c r="E34" s="380"/>
      <c r="F34" s="120"/>
      <c r="G34" s="366"/>
      <c r="H34" s="365"/>
      <c r="I34" s="365"/>
    </row>
    <row r="35" spans="1:9">
      <c r="A35" s="269" t="s">
        <v>1498</v>
      </c>
      <c r="B35" s="94" t="s">
        <v>117</v>
      </c>
      <c r="C35" s="90" t="s">
        <v>381</v>
      </c>
      <c r="D35" s="94" t="s">
        <v>111</v>
      </c>
      <c r="E35" s="380"/>
      <c r="F35" s="120"/>
      <c r="G35" s="366"/>
      <c r="H35" s="365"/>
      <c r="I35" s="365"/>
    </row>
    <row r="36" spans="1:9">
      <c r="A36" s="269" t="s">
        <v>1499</v>
      </c>
      <c r="B36" s="94" t="s">
        <v>117</v>
      </c>
      <c r="C36" s="90" t="s">
        <v>381</v>
      </c>
      <c r="D36" s="94" t="s">
        <v>112</v>
      </c>
      <c r="E36" s="380"/>
      <c r="F36" s="120"/>
      <c r="G36" s="366"/>
      <c r="H36" s="365"/>
      <c r="I36" s="365"/>
    </row>
    <row r="37" spans="1:9">
      <c r="A37" s="269" t="s">
        <v>1500</v>
      </c>
      <c r="B37" s="94" t="s">
        <v>117</v>
      </c>
      <c r="C37" s="90" t="s">
        <v>381</v>
      </c>
      <c r="D37" s="94" t="s">
        <v>121</v>
      </c>
      <c r="E37" s="380"/>
      <c r="F37" s="120"/>
      <c r="G37" s="366"/>
      <c r="H37" s="365"/>
      <c r="I37" s="365"/>
    </row>
    <row r="38" spans="1:9">
      <c r="A38" s="269" t="s">
        <v>1501</v>
      </c>
      <c r="B38" s="94" t="s">
        <v>117</v>
      </c>
      <c r="C38" s="90" t="s">
        <v>381</v>
      </c>
      <c r="D38" s="94" t="s">
        <v>119</v>
      </c>
      <c r="E38" s="380"/>
      <c r="F38" s="120"/>
      <c r="G38" s="366"/>
      <c r="H38" s="365"/>
      <c r="I38" s="365"/>
    </row>
    <row r="39" spans="1:9">
      <c r="A39" s="269" t="s">
        <v>1502</v>
      </c>
      <c r="B39" s="94" t="s">
        <v>117</v>
      </c>
      <c r="C39" s="90" t="s">
        <v>381</v>
      </c>
      <c r="D39" s="94" t="s">
        <v>123</v>
      </c>
      <c r="E39" s="380"/>
      <c r="F39" s="120"/>
      <c r="G39" s="366"/>
      <c r="H39" s="365"/>
      <c r="I39" s="365"/>
    </row>
    <row r="40" spans="1:9">
      <c r="A40" s="269" t="s">
        <v>1503</v>
      </c>
      <c r="B40" s="94" t="s">
        <v>117</v>
      </c>
      <c r="C40" s="90" t="s">
        <v>130</v>
      </c>
      <c r="D40" s="94" t="s">
        <v>105</v>
      </c>
      <c r="E40" s="380"/>
      <c r="F40" s="120"/>
      <c r="G40" s="366"/>
      <c r="H40" s="365"/>
      <c r="I40" s="365"/>
    </row>
    <row r="41" spans="1:9">
      <c r="A41" s="269" t="s">
        <v>1504</v>
      </c>
      <c r="B41" s="94" t="s">
        <v>117</v>
      </c>
      <c r="C41" s="90" t="s">
        <v>130</v>
      </c>
      <c r="D41" s="94" t="s">
        <v>112</v>
      </c>
      <c r="E41" s="380"/>
      <c r="F41" s="120"/>
      <c r="G41" s="365"/>
      <c r="H41" s="365"/>
      <c r="I41" s="365"/>
    </row>
    <row r="42" spans="1:9">
      <c r="A42" s="269" t="s">
        <v>1505</v>
      </c>
      <c r="B42" s="94" t="s">
        <v>117</v>
      </c>
      <c r="C42" s="90" t="s">
        <v>130</v>
      </c>
      <c r="D42" s="94" t="s">
        <v>119</v>
      </c>
      <c r="E42" s="380"/>
      <c r="F42" s="120"/>
      <c r="G42" s="365"/>
      <c r="H42" s="365"/>
      <c r="I42" s="365"/>
    </row>
    <row r="43" spans="1:9">
      <c r="A43" s="269" t="s">
        <v>1506</v>
      </c>
      <c r="B43" s="94" t="s">
        <v>117</v>
      </c>
      <c r="C43" s="90" t="s">
        <v>130</v>
      </c>
      <c r="D43" s="94" t="s">
        <v>111</v>
      </c>
      <c r="E43" s="380"/>
      <c r="F43" s="120"/>
      <c r="G43" s="366"/>
      <c r="H43" s="365"/>
      <c r="I43" s="365"/>
    </row>
    <row r="44" spans="1:9">
      <c r="A44" s="269" t="s">
        <v>1507</v>
      </c>
      <c r="B44" s="94" t="s">
        <v>117</v>
      </c>
      <c r="C44" s="90" t="s">
        <v>130</v>
      </c>
      <c r="D44" s="94" t="s">
        <v>121</v>
      </c>
      <c r="E44" s="380"/>
      <c r="F44" s="120"/>
      <c r="G44" s="365"/>
      <c r="H44" s="365"/>
      <c r="I44" s="365"/>
    </row>
    <row r="45" spans="1:9">
      <c r="A45" s="269" t="s">
        <v>1508</v>
      </c>
      <c r="B45" s="94" t="s">
        <v>117</v>
      </c>
      <c r="C45" s="90" t="s">
        <v>130</v>
      </c>
      <c r="D45" s="94" t="s">
        <v>123</v>
      </c>
      <c r="E45" s="380"/>
      <c r="F45" s="120"/>
      <c r="G45" s="365"/>
      <c r="H45" s="365"/>
      <c r="I45" s="365"/>
    </row>
    <row r="46" spans="1:9">
      <c r="A46" s="269" t="s">
        <v>1509</v>
      </c>
      <c r="B46" s="94" t="s">
        <v>199</v>
      </c>
      <c r="C46" s="90" t="s">
        <v>200</v>
      </c>
      <c r="D46" s="94" t="s">
        <v>127</v>
      </c>
      <c r="F46" s="120"/>
      <c r="G46" s="365"/>
      <c r="H46" s="366"/>
      <c r="I46" s="365"/>
    </row>
    <row r="47" spans="1:9">
      <c r="A47" s="269" t="s">
        <v>1510</v>
      </c>
      <c r="B47" s="90" t="s">
        <v>157</v>
      </c>
      <c r="C47" s="90" t="s">
        <v>1282</v>
      </c>
      <c r="D47" s="94" t="s">
        <v>105</v>
      </c>
      <c r="F47" s="120"/>
      <c r="G47" s="365"/>
      <c r="H47" s="366"/>
      <c r="I47" s="365"/>
    </row>
    <row r="48" spans="1:9">
      <c r="A48" s="269" t="s">
        <v>1511</v>
      </c>
      <c r="B48" s="90" t="s">
        <v>157</v>
      </c>
      <c r="C48" s="90" t="s">
        <v>1282</v>
      </c>
      <c r="D48" s="94" t="s">
        <v>111</v>
      </c>
      <c r="F48" s="120"/>
      <c r="G48" s="365"/>
      <c r="H48" s="366"/>
      <c r="I48" s="365"/>
    </row>
    <row r="49" spans="1:9" ht="15.75" customHeight="1">
      <c r="A49" s="269" t="s">
        <v>1512</v>
      </c>
      <c r="B49" s="94" t="s">
        <v>157</v>
      </c>
      <c r="C49" s="90" t="s">
        <v>1282</v>
      </c>
      <c r="D49" s="94" t="s">
        <v>112</v>
      </c>
      <c r="F49" s="120"/>
      <c r="G49" s="365"/>
      <c r="H49" s="366"/>
      <c r="I49" s="365"/>
    </row>
    <row r="50" spans="1:9" ht="15.75" customHeight="1">
      <c r="A50" s="269" t="s">
        <v>1513</v>
      </c>
      <c r="B50" s="94" t="s">
        <v>157</v>
      </c>
      <c r="C50" s="90" t="s">
        <v>1282</v>
      </c>
      <c r="D50" s="94" t="s">
        <v>121</v>
      </c>
      <c r="F50" s="120"/>
      <c r="G50" s="365"/>
      <c r="H50" s="366"/>
      <c r="I50" s="365"/>
    </row>
    <row r="51" spans="1:9">
      <c r="A51" s="269" t="s">
        <v>1514</v>
      </c>
      <c r="B51" s="318"/>
      <c r="C51" s="90"/>
      <c r="D51" s="94"/>
      <c r="E51" s="94"/>
      <c r="F51" s="120"/>
      <c r="G51" s="120"/>
      <c r="H51" s="120"/>
      <c r="I51" s="120"/>
    </row>
    <row r="52" spans="1:9">
      <c r="A52" s="269" t="s">
        <v>1515</v>
      </c>
      <c r="B52" s="7" t="s">
        <v>103</v>
      </c>
      <c r="C52" s="317"/>
      <c r="D52" s="269" t="s">
        <v>1342</v>
      </c>
      <c r="G52" s="366"/>
      <c r="H52" s="365"/>
      <c r="I52" s="365"/>
    </row>
    <row r="53" spans="1:9">
      <c r="A53" s="269" t="s">
        <v>1516</v>
      </c>
      <c r="B53" s="269" t="s">
        <v>103</v>
      </c>
      <c r="C53" s="317"/>
      <c r="D53" s="269" t="s">
        <v>1343</v>
      </c>
      <c r="G53" s="366"/>
      <c r="H53" s="365"/>
      <c r="I53" s="365"/>
    </row>
    <row r="54" spans="1:9">
      <c r="A54" s="269" t="s">
        <v>1517</v>
      </c>
      <c r="B54" s="269" t="s">
        <v>103</v>
      </c>
      <c r="C54" s="317"/>
      <c r="D54" s="269" t="s">
        <v>1344</v>
      </c>
      <c r="G54" s="366"/>
      <c r="H54" s="365"/>
      <c r="I54" s="365"/>
    </row>
    <row r="55" spans="1:9">
      <c r="A55" s="269" t="s">
        <v>1518</v>
      </c>
      <c r="B55" s="269" t="s">
        <v>103</v>
      </c>
      <c r="C55" s="317"/>
      <c r="D55" s="269" t="s">
        <v>1348</v>
      </c>
      <c r="G55" s="366"/>
      <c r="H55" s="365"/>
      <c r="I55" s="365"/>
    </row>
    <row r="56" spans="1:9">
      <c r="A56" s="269" t="s">
        <v>1519</v>
      </c>
      <c r="B56" s="269" t="s">
        <v>103</v>
      </c>
      <c r="C56" s="317"/>
      <c r="D56" s="269" t="s">
        <v>1428</v>
      </c>
      <c r="G56" s="365"/>
      <c r="H56" s="365"/>
      <c r="I56" s="365"/>
    </row>
    <row r="57" spans="1:9">
      <c r="A57" s="269" t="s">
        <v>1520</v>
      </c>
      <c r="B57" s="269" t="s">
        <v>103</v>
      </c>
      <c r="C57" s="317"/>
      <c r="D57" s="269" t="s">
        <v>1345</v>
      </c>
      <c r="G57" s="366"/>
      <c r="H57" s="365"/>
      <c r="I57" s="365"/>
    </row>
    <row r="58" spans="1:9">
      <c r="A58" s="269" t="s">
        <v>1521</v>
      </c>
      <c r="B58" s="269" t="s">
        <v>117</v>
      </c>
      <c r="C58" s="317"/>
      <c r="D58" s="269" t="s">
        <v>1350</v>
      </c>
      <c r="G58" s="366"/>
      <c r="H58" s="365"/>
      <c r="I58" s="365"/>
    </row>
    <row r="59" spans="1:9">
      <c r="A59" s="269" t="s">
        <v>1522</v>
      </c>
      <c r="B59" s="269" t="s">
        <v>117</v>
      </c>
      <c r="C59" s="317"/>
      <c r="D59" s="269" t="s">
        <v>1351</v>
      </c>
      <c r="G59" s="365"/>
      <c r="H59" s="365"/>
      <c r="I59" s="365"/>
    </row>
    <row r="60" spans="1:9">
      <c r="A60" s="269" t="s">
        <v>1523</v>
      </c>
      <c r="B60" s="269" t="s">
        <v>117</v>
      </c>
      <c r="C60" s="317"/>
      <c r="D60" s="269" t="s">
        <v>1352</v>
      </c>
      <c r="G60" s="366"/>
      <c r="H60" s="365"/>
      <c r="I60" s="365"/>
    </row>
    <row r="61" spans="1:9">
      <c r="A61" s="269" t="s">
        <v>1524</v>
      </c>
      <c r="B61" s="269" t="s">
        <v>117</v>
      </c>
      <c r="C61" s="317"/>
      <c r="D61" s="269" t="s">
        <v>1354</v>
      </c>
      <c r="G61" s="366"/>
      <c r="H61" s="365"/>
      <c r="I61" s="365"/>
    </row>
    <row r="62" spans="1:9">
      <c r="A62" s="269" t="s">
        <v>1525</v>
      </c>
      <c r="B62" s="269" t="s">
        <v>117</v>
      </c>
      <c r="C62" s="317"/>
      <c r="D62" s="269" t="s">
        <v>1419</v>
      </c>
      <c r="G62" s="365"/>
      <c r="H62" s="365"/>
      <c r="I62" s="365"/>
    </row>
    <row r="63" spans="1:9">
      <c r="A63" s="269" t="s">
        <v>1526</v>
      </c>
      <c r="B63" s="269" t="s">
        <v>117</v>
      </c>
      <c r="C63" s="317"/>
      <c r="D63" s="269" t="s">
        <v>1349</v>
      </c>
      <c r="G63" s="366"/>
      <c r="H63" s="365"/>
      <c r="I63" s="365"/>
    </row>
    <row r="64" spans="1:9">
      <c r="A64" s="269" t="s">
        <v>1526</v>
      </c>
      <c r="B64" s="269" t="s">
        <v>117</v>
      </c>
      <c r="C64" s="317"/>
      <c r="D64" s="269" t="s">
        <v>1349</v>
      </c>
      <c r="G64" s="366"/>
      <c r="H64" s="365"/>
      <c r="I64" s="365"/>
    </row>
    <row r="65" spans="1:9">
      <c r="C65" s="317"/>
      <c r="G65" s="226"/>
      <c r="H65" s="144"/>
      <c r="I65" s="144"/>
    </row>
    <row r="66" spans="1:9">
      <c r="C66" s="317"/>
      <c r="G66" s="226"/>
      <c r="H66" s="120"/>
      <c r="I66" s="120"/>
    </row>
    <row r="67" spans="1:9">
      <c r="C67" s="317"/>
      <c r="G67" s="226"/>
      <c r="H67" s="120"/>
      <c r="I67" s="120"/>
    </row>
    <row r="68" spans="1:9">
      <c r="B68" s="81" t="s">
        <v>11</v>
      </c>
      <c r="C68" s="81"/>
      <c r="D68" s="81"/>
      <c r="E68" s="81"/>
    </row>
    <row r="69" spans="1:9">
      <c r="B69" s="269">
        <v>2</v>
      </c>
      <c r="D69" s="269">
        <v>4</v>
      </c>
      <c r="F69" s="269">
        <v>6</v>
      </c>
      <c r="G69" s="269">
        <v>7</v>
      </c>
      <c r="H69" s="269">
        <v>8</v>
      </c>
      <c r="I69" s="269">
        <v>9</v>
      </c>
    </row>
    <row r="70" spans="1:9">
      <c r="B70" s="272" t="s">
        <v>1319</v>
      </c>
      <c r="C70" s="272"/>
      <c r="D70" s="272" t="s">
        <v>1320</v>
      </c>
      <c r="E70" s="272"/>
      <c r="F70" s="273" t="s">
        <v>577</v>
      </c>
      <c r="G70" s="273" t="s">
        <v>81</v>
      </c>
      <c r="H70" s="273" t="s">
        <v>1</v>
      </c>
      <c r="I70" s="273" t="s">
        <v>2</v>
      </c>
    </row>
    <row r="71" spans="1:9" ht="30">
      <c r="A71" s="269" t="s">
        <v>1429</v>
      </c>
      <c r="B71" s="270" t="s">
        <v>1429</v>
      </c>
      <c r="C71" s="270"/>
      <c r="D71" s="270" t="s">
        <v>105</v>
      </c>
      <c r="E71" s="270"/>
      <c r="F71" s="366"/>
      <c r="G71" s="365"/>
      <c r="H71" s="365"/>
      <c r="I71" s="365"/>
    </row>
    <row r="72" spans="1:9" ht="30">
      <c r="A72" s="269" t="s">
        <v>1452</v>
      </c>
      <c r="B72" s="94" t="s">
        <v>1452</v>
      </c>
      <c r="C72" s="94"/>
      <c r="D72" s="94" t="s">
        <v>112</v>
      </c>
      <c r="E72" s="94"/>
      <c r="F72" s="366"/>
      <c r="G72" s="365"/>
      <c r="H72" s="365"/>
      <c r="I72" s="365"/>
    </row>
    <row r="73" spans="1:9" ht="30">
      <c r="A73" s="269" t="s">
        <v>1432</v>
      </c>
      <c r="B73" s="270" t="s">
        <v>1432</v>
      </c>
      <c r="C73" s="270"/>
      <c r="D73" s="270" t="s">
        <v>105</v>
      </c>
      <c r="E73" s="270"/>
      <c r="F73" s="366"/>
      <c r="G73" s="365"/>
      <c r="H73" s="365"/>
      <c r="I73" s="365"/>
    </row>
    <row r="74" spans="1:9" ht="30">
      <c r="A74" s="269" t="s">
        <v>1433</v>
      </c>
      <c r="B74" s="270" t="s">
        <v>1433</v>
      </c>
      <c r="C74" s="270"/>
      <c r="D74" s="270" t="s">
        <v>112</v>
      </c>
      <c r="E74" s="270"/>
      <c r="F74" s="366"/>
      <c r="G74" s="365"/>
      <c r="H74" s="365"/>
      <c r="I74" s="365"/>
    </row>
    <row r="75" spans="1:9">
      <c r="A75" s="269" t="s">
        <v>1431</v>
      </c>
      <c r="B75" s="269" t="s">
        <v>1431</v>
      </c>
      <c r="D75" s="269" t="s">
        <v>105</v>
      </c>
      <c r="F75" s="366"/>
      <c r="G75" s="365"/>
      <c r="H75" s="365"/>
      <c r="I75" s="365"/>
    </row>
    <row r="76" spans="1:9">
      <c r="A76" s="269" t="s">
        <v>1443</v>
      </c>
      <c r="B76" s="269" t="s">
        <v>1443</v>
      </c>
      <c r="D76" s="269" t="s">
        <v>112</v>
      </c>
      <c r="F76" s="366"/>
      <c r="G76" s="365"/>
      <c r="H76" s="365"/>
      <c r="I76" s="365"/>
    </row>
    <row r="77" spans="1:9">
      <c r="A77" s="269" t="s">
        <v>1430</v>
      </c>
      <c r="B77" s="94" t="s">
        <v>1430</v>
      </c>
      <c r="C77" s="94"/>
      <c r="D77" s="94" t="s">
        <v>127</v>
      </c>
      <c r="E77" s="94"/>
      <c r="F77" s="366"/>
      <c r="G77" s="365"/>
      <c r="H77" s="365"/>
      <c r="I77" s="365"/>
    </row>
    <row r="78" spans="1:9">
      <c r="A78" s="269" t="s">
        <v>1435</v>
      </c>
      <c r="B78" s="94" t="s">
        <v>1435</v>
      </c>
      <c r="C78" s="94"/>
      <c r="D78" s="94" t="s">
        <v>127</v>
      </c>
      <c r="E78" s="94"/>
      <c r="F78" s="366"/>
      <c r="G78" s="365"/>
      <c r="H78" s="365"/>
      <c r="I78" s="365"/>
    </row>
    <row r="79" spans="1:9">
      <c r="A79" s="269" t="s">
        <v>1434</v>
      </c>
      <c r="B79" s="94" t="s">
        <v>1434</v>
      </c>
      <c r="C79" s="94"/>
      <c r="D79" s="94" t="s">
        <v>122</v>
      </c>
      <c r="E79" s="94"/>
      <c r="F79" s="365"/>
      <c r="G79" s="365"/>
      <c r="H79" s="365"/>
      <c r="I79" s="365"/>
    </row>
    <row r="80" spans="1:9">
      <c r="A80" s="269">
        <v>0</v>
      </c>
      <c r="B80" s="94"/>
      <c r="C80" s="94"/>
      <c r="D80" s="94"/>
      <c r="E80" s="94"/>
      <c r="F80" s="144"/>
      <c r="G80" s="120"/>
      <c r="H80" s="120"/>
      <c r="I80" s="120"/>
    </row>
    <row r="81" spans="1:13">
      <c r="A81" s="269">
        <v>0</v>
      </c>
    </row>
    <row r="82" spans="1:13">
      <c r="A82" s="269" t="e">
        <v>#REF!</v>
      </c>
      <c r="B82" s="279" t="s">
        <v>1321</v>
      </c>
    </row>
    <row r="83" spans="1:13">
      <c r="A83" s="269">
        <v>0</v>
      </c>
      <c r="H83" s="19"/>
    </row>
    <row r="84" spans="1:13">
      <c r="A84" s="269">
        <v>0</v>
      </c>
    </row>
    <row r="85" spans="1:13">
      <c r="A85" s="269" t="s">
        <v>1321</v>
      </c>
    </row>
    <row r="86" spans="1:13">
      <c r="A86" s="269">
        <v>0</v>
      </c>
      <c r="B86" s="329"/>
      <c r="C86" s="329"/>
      <c r="D86" s="129"/>
      <c r="E86" s="129"/>
      <c r="F86" s="129"/>
      <c r="G86" s="129"/>
      <c r="H86" s="129"/>
      <c r="I86" s="129"/>
      <c r="J86" s="129"/>
      <c r="K86" s="129"/>
      <c r="L86" s="129"/>
      <c r="M86" s="129"/>
    </row>
    <row r="87" spans="1:13">
      <c r="B87" s="129"/>
      <c r="C87" s="129"/>
      <c r="D87" s="129"/>
      <c r="E87" s="353"/>
      <c r="F87" s="353"/>
      <c r="G87" s="353"/>
      <c r="H87" s="353"/>
      <c r="I87" s="330"/>
      <c r="J87" s="330"/>
      <c r="K87" s="129"/>
      <c r="L87" s="129"/>
      <c r="M87" s="129"/>
    </row>
    <row r="88" spans="1:13">
      <c r="B88" s="129"/>
      <c r="C88" s="129"/>
      <c r="D88" s="129"/>
      <c r="E88" s="329"/>
      <c r="F88" s="329"/>
      <c r="G88" s="329"/>
      <c r="H88" s="329"/>
      <c r="I88" s="329"/>
      <c r="J88" s="129"/>
      <c r="K88" s="129"/>
      <c r="L88" s="129"/>
      <c r="M88" s="129"/>
    </row>
    <row r="89" spans="1:13">
      <c r="B89" s="129"/>
      <c r="C89" s="129"/>
      <c r="D89" s="129"/>
      <c r="E89" s="226"/>
      <c r="F89" s="226"/>
      <c r="G89" s="226"/>
      <c r="H89" s="226"/>
      <c r="I89" s="331"/>
      <c r="J89" s="332"/>
      <c r="K89" s="333"/>
      <c r="L89" s="129"/>
      <c r="M89" s="129"/>
    </row>
    <row r="90" spans="1:13">
      <c r="B90" s="129"/>
      <c r="C90" s="129"/>
      <c r="D90" s="129"/>
      <c r="E90" s="226"/>
      <c r="F90" s="226"/>
      <c r="G90" s="226"/>
      <c r="H90" s="226"/>
      <c r="I90" s="331"/>
      <c r="J90" s="129"/>
      <c r="K90" s="129"/>
      <c r="L90" s="129"/>
      <c r="M90" s="129"/>
    </row>
    <row r="91" spans="1:13">
      <c r="B91" s="129"/>
      <c r="C91" s="129"/>
      <c r="D91" s="129"/>
      <c r="E91" s="226"/>
      <c r="F91" s="226"/>
      <c r="G91" s="226"/>
      <c r="H91" s="226"/>
      <c r="I91" s="329"/>
      <c r="J91" s="129"/>
      <c r="K91" s="333"/>
      <c r="L91" s="129"/>
      <c r="M91" s="129"/>
    </row>
    <row r="92" spans="1:13">
      <c r="B92" s="129"/>
      <c r="C92" s="129"/>
      <c r="D92" s="129"/>
      <c r="E92" s="226"/>
      <c r="F92" s="226"/>
      <c r="G92" s="226"/>
      <c r="H92" s="226"/>
      <c r="I92" s="331"/>
      <c r="J92" s="129"/>
      <c r="K92" s="129"/>
      <c r="L92" s="129"/>
      <c r="M92" s="129"/>
    </row>
    <row r="93" spans="1:13">
      <c r="B93" s="129"/>
      <c r="C93" s="129"/>
      <c r="D93" s="129"/>
      <c r="E93" s="226"/>
      <c r="F93" s="226"/>
      <c r="G93" s="226"/>
      <c r="H93" s="226"/>
      <c r="I93" s="331"/>
      <c r="J93" s="129"/>
      <c r="K93" s="129"/>
      <c r="L93" s="129"/>
      <c r="M93" s="129"/>
    </row>
    <row r="94" spans="1:13">
      <c r="B94" s="129"/>
      <c r="C94" s="129"/>
      <c r="D94" s="129"/>
      <c r="E94" s="129"/>
      <c r="F94" s="129"/>
      <c r="G94" s="129"/>
      <c r="H94" s="129"/>
      <c r="I94" s="129"/>
      <c r="J94" s="129"/>
      <c r="K94" s="129"/>
      <c r="L94" s="129"/>
      <c r="M94" s="129"/>
    </row>
    <row r="95" spans="1:13">
      <c r="B95" s="329"/>
      <c r="C95" s="329"/>
      <c r="D95" s="129"/>
      <c r="E95" s="129"/>
      <c r="F95" s="129"/>
      <c r="G95" s="129"/>
      <c r="H95" s="129"/>
      <c r="I95" s="129"/>
      <c r="J95" s="129"/>
      <c r="K95" s="129"/>
      <c r="L95" s="129"/>
      <c r="M95" s="129"/>
    </row>
    <row r="96" spans="1:13">
      <c r="B96" s="129"/>
      <c r="C96" s="129"/>
      <c r="D96" s="129"/>
      <c r="E96" s="353"/>
      <c r="F96" s="353"/>
      <c r="G96" s="353"/>
      <c r="H96" s="353"/>
      <c r="I96" s="330"/>
      <c r="J96" s="129"/>
      <c r="K96" s="129"/>
      <c r="L96" s="129"/>
      <c r="M96" s="129"/>
    </row>
    <row r="97" spans="2:13">
      <c r="B97" s="129"/>
      <c r="C97" s="129"/>
      <c r="D97" s="129"/>
      <c r="E97" s="329"/>
      <c r="F97" s="329"/>
      <c r="G97" s="329"/>
      <c r="H97" s="329"/>
      <c r="I97" s="329"/>
      <c r="J97" s="129"/>
      <c r="K97" s="129"/>
      <c r="L97" s="129"/>
      <c r="M97" s="129"/>
    </row>
    <row r="98" spans="2:13">
      <c r="B98" s="129"/>
      <c r="C98" s="129"/>
      <c r="D98" s="129"/>
      <c r="E98" s="226"/>
      <c r="F98" s="226"/>
      <c r="G98" s="332"/>
      <c r="H98" s="129"/>
      <c r="I98" s="129"/>
      <c r="J98" s="129"/>
      <c r="K98" s="333"/>
      <c r="L98" s="129"/>
      <c r="M98" s="129"/>
    </row>
    <row r="99" spans="2:13">
      <c r="B99" s="129"/>
      <c r="C99" s="129"/>
      <c r="D99" s="129"/>
      <c r="E99" s="226"/>
      <c r="F99" s="226"/>
      <c r="G99" s="332"/>
      <c r="H99" s="129"/>
      <c r="I99" s="129"/>
      <c r="J99" s="129"/>
      <c r="K99" s="333"/>
      <c r="L99" s="129"/>
      <c r="M99" s="129"/>
    </row>
    <row r="100" spans="2:13">
      <c r="B100" s="129"/>
      <c r="C100" s="129"/>
      <c r="D100" s="129"/>
      <c r="E100" s="226"/>
      <c r="F100" s="226"/>
      <c r="G100" s="332"/>
      <c r="H100" s="129"/>
      <c r="I100" s="129"/>
      <c r="J100" s="129"/>
      <c r="K100" s="333"/>
      <c r="L100" s="129"/>
      <c r="M100" s="129"/>
    </row>
    <row r="101" spans="2:13">
      <c r="B101" s="129"/>
      <c r="C101" s="129"/>
      <c r="D101" s="129"/>
      <c r="E101" s="226"/>
      <c r="F101" s="226"/>
      <c r="G101" s="332"/>
      <c r="H101" s="129"/>
      <c r="I101" s="129"/>
      <c r="J101" s="129"/>
      <c r="K101" s="333"/>
      <c r="L101" s="129"/>
      <c r="M101" s="129"/>
    </row>
    <row r="102" spans="2:13">
      <c r="B102" s="129"/>
      <c r="C102" s="129"/>
      <c r="D102" s="129"/>
      <c r="E102" s="129"/>
      <c r="F102" s="129"/>
      <c r="G102" s="129"/>
      <c r="H102" s="129"/>
      <c r="I102" s="129"/>
      <c r="J102" s="129"/>
      <c r="K102" s="129"/>
      <c r="L102" s="129"/>
      <c r="M102" s="129"/>
    </row>
    <row r="103" spans="2:13">
      <c r="B103" s="129"/>
      <c r="C103" s="129"/>
      <c r="D103" s="129"/>
      <c r="E103" s="129"/>
      <c r="F103" s="129"/>
      <c r="G103" s="129"/>
      <c r="H103" s="129"/>
      <c r="I103" s="129"/>
      <c r="J103" s="129"/>
      <c r="K103" s="129"/>
      <c r="L103" s="129"/>
      <c r="M103" s="129"/>
    </row>
    <row r="104" spans="2:13">
      <c r="B104" s="129"/>
      <c r="C104" s="129"/>
      <c r="D104" s="129"/>
      <c r="E104" s="129"/>
      <c r="F104" s="129"/>
      <c r="G104" s="129"/>
      <c r="H104" s="129"/>
      <c r="I104" s="129"/>
      <c r="J104" s="129"/>
      <c r="K104" s="129"/>
      <c r="L104" s="129"/>
      <c r="M104" s="12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0"/>
  <sheetViews>
    <sheetView zoomScale="90" zoomScaleNormal="90" workbookViewId="0"/>
  </sheetViews>
  <sheetFormatPr defaultColWidth="8.85546875" defaultRowHeight="15"/>
  <cols>
    <col min="1" max="1" width="23.28515625" customWidth="1"/>
  </cols>
  <sheetData>
    <row r="1" spans="1:3">
      <c r="A1" s="23" t="s">
        <v>11</v>
      </c>
    </row>
    <row r="2" spans="1:3" ht="17.25" customHeight="1">
      <c r="A2" s="352" t="s">
        <v>461</v>
      </c>
      <c r="B2" s="133" t="s">
        <v>1467</v>
      </c>
    </row>
    <row r="3" spans="1:3">
      <c r="A3" s="50" t="s">
        <v>109</v>
      </c>
      <c r="B3" s="351">
        <v>0.33</v>
      </c>
    </row>
    <row r="4" spans="1:3">
      <c r="A4" s="50" t="s">
        <v>110</v>
      </c>
      <c r="B4" s="274">
        <v>2</v>
      </c>
    </row>
    <row r="8" spans="1:3">
      <c r="A8" s="81" t="s">
        <v>10</v>
      </c>
    </row>
    <row r="9" spans="1:3">
      <c r="A9" s="352" t="s">
        <v>461</v>
      </c>
      <c r="B9" s="133" t="s">
        <v>1467</v>
      </c>
    </row>
    <row r="10" spans="1:3">
      <c r="A10" s="50" t="s">
        <v>109</v>
      </c>
      <c r="B10" s="350">
        <v>0.5</v>
      </c>
      <c r="C10" t="s">
        <v>460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390"/>
  </sheetPr>
  <dimension ref="A1:G24"/>
  <sheetViews>
    <sheetView workbookViewId="0"/>
  </sheetViews>
  <sheetFormatPr defaultColWidth="8.85546875" defaultRowHeight="15"/>
  <cols>
    <col min="6" max="6" width="100.28515625" customWidth="1"/>
  </cols>
  <sheetData>
    <row r="1" spans="1:7" ht="20.25">
      <c r="A1" s="59" t="s">
        <v>87</v>
      </c>
      <c r="B1" s="57"/>
      <c r="C1" s="57"/>
      <c r="D1" s="57"/>
      <c r="E1" s="57"/>
      <c r="F1" s="57"/>
      <c r="G1" s="57"/>
    </row>
    <row r="2" spans="1:7">
      <c r="A2" s="53"/>
      <c r="B2" s="53"/>
      <c r="C2" s="53"/>
      <c r="D2" s="53"/>
      <c r="E2" s="53"/>
      <c r="F2" s="53"/>
      <c r="G2" s="53"/>
    </row>
    <row r="3" spans="1:7" ht="15.75">
      <c r="A3" s="61" t="s">
        <v>88</v>
      </c>
      <c r="B3" s="62"/>
      <c r="C3" s="62"/>
      <c r="D3" s="62"/>
      <c r="E3" s="62"/>
      <c r="F3" s="63"/>
      <c r="G3" s="57"/>
    </row>
    <row r="4" spans="1:7" ht="15.75">
      <c r="A4" s="64"/>
      <c r="B4" s="58"/>
      <c r="C4" s="58"/>
      <c r="D4" s="58"/>
      <c r="E4" s="58"/>
      <c r="F4" s="65"/>
      <c r="G4" s="57"/>
    </row>
    <row r="5" spans="1:7">
      <c r="A5" s="66" t="s">
        <v>89</v>
      </c>
      <c r="B5" s="58"/>
      <c r="C5" s="58"/>
      <c r="D5" s="58"/>
      <c r="E5" s="58"/>
      <c r="F5" s="65"/>
      <c r="G5" s="57"/>
    </row>
    <row r="6" spans="1:7">
      <c r="A6" s="67"/>
      <c r="B6" s="68"/>
      <c r="C6" s="68"/>
      <c r="D6" s="68"/>
      <c r="E6" s="68"/>
      <c r="F6" s="69"/>
      <c r="G6" s="57"/>
    </row>
    <row r="7" spans="1:7">
      <c r="A7" s="58"/>
      <c r="B7" s="58"/>
      <c r="C7" s="58"/>
      <c r="D7" s="58"/>
      <c r="E7" s="58"/>
      <c r="F7" s="58"/>
      <c r="G7" s="57"/>
    </row>
    <row r="8" spans="1:7">
      <c r="A8" s="58"/>
      <c r="B8" s="58"/>
      <c r="C8" s="58"/>
      <c r="D8" s="58"/>
      <c r="E8" s="58"/>
      <c r="F8" s="58"/>
      <c r="G8" s="57"/>
    </row>
    <row r="9" spans="1:7" ht="15.75">
      <c r="A9" s="61" t="s">
        <v>90</v>
      </c>
      <c r="B9" s="62"/>
      <c r="C9" s="62"/>
      <c r="D9" s="62"/>
      <c r="E9" s="62"/>
      <c r="F9" s="63"/>
      <c r="G9" s="57"/>
    </row>
    <row r="10" spans="1:7">
      <c r="A10" s="66"/>
      <c r="B10" s="58"/>
      <c r="C10" s="58"/>
      <c r="D10" s="58"/>
      <c r="E10" s="58"/>
      <c r="F10" s="65"/>
      <c r="G10" s="57"/>
    </row>
    <row r="11" spans="1:7">
      <c r="A11" s="385" t="s">
        <v>26</v>
      </c>
      <c r="B11" s="383"/>
      <c r="C11" s="383"/>
      <c r="D11" s="383"/>
      <c r="E11" s="383"/>
      <c r="F11" s="384"/>
      <c r="G11" s="57"/>
    </row>
    <row r="12" spans="1:7" s="54" customFormat="1" ht="51.75" customHeight="1">
      <c r="A12" s="382" t="s">
        <v>91</v>
      </c>
      <c r="B12" s="383"/>
      <c r="C12" s="383"/>
      <c r="D12" s="383"/>
      <c r="E12" s="383"/>
      <c r="F12" s="384"/>
      <c r="G12" s="56"/>
    </row>
    <row r="13" spans="1:7" s="54" customFormat="1" ht="84.75" customHeight="1">
      <c r="A13" s="382" t="s">
        <v>92</v>
      </c>
      <c r="B13" s="383"/>
      <c r="C13" s="383"/>
      <c r="D13" s="383"/>
      <c r="E13" s="383"/>
      <c r="F13" s="384"/>
      <c r="G13" s="56"/>
    </row>
    <row r="14" spans="1:7" s="54" customFormat="1">
      <c r="A14" s="382"/>
      <c r="B14" s="383"/>
      <c r="C14" s="383"/>
      <c r="D14" s="383"/>
      <c r="E14" s="383"/>
      <c r="F14" s="384"/>
      <c r="G14" s="56"/>
    </row>
    <row r="15" spans="1:7" s="54" customFormat="1">
      <c r="A15" s="385" t="s">
        <v>93</v>
      </c>
      <c r="B15" s="386"/>
      <c r="C15" s="386"/>
      <c r="D15" s="386"/>
      <c r="E15" s="386"/>
      <c r="F15" s="387"/>
      <c r="G15" s="56"/>
    </row>
    <row r="16" spans="1:7" s="54" customFormat="1" ht="17.25" customHeight="1">
      <c r="A16" s="382" t="s">
        <v>94</v>
      </c>
      <c r="B16" s="383"/>
      <c r="C16" s="383"/>
      <c r="D16" s="383"/>
      <c r="E16" s="383"/>
      <c r="F16" s="384"/>
      <c r="G16" s="56"/>
    </row>
    <row r="17" spans="1:7" s="54" customFormat="1">
      <c r="A17" s="382"/>
      <c r="B17" s="383"/>
      <c r="C17" s="383"/>
      <c r="D17" s="383"/>
      <c r="E17" s="383"/>
      <c r="F17" s="384"/>
      <c r="G17" s="56"/>
    </row>
    <row r="18" spans="1:7" s="54" customFormat="1">
      <c r="A18" s="385" t="s">
        <v>28</v>
      </c>
      <c r="B18" s="386"/>
      <c r="C18" s="386"/>
      <c r="D18" s="386"/>
      <c r="E18" s="386"/>
      <c r="F18" s="387"/>
      <c r="G18" s="56"/>
    </row>
    <row r="19" spans="1:7" s="54" customFormat="1" ht="38.25" customHeight="1">
      <c r="A19" s="382" t="s">
        <v>463</v>
      </c>
      <c r="B19" s="383"/>
      <c r="C19" s="383"/>
      <c r="D19" s="383"/>
      <c r="E19" s="383"/>
      <c r="F19" s="384"/>
      <c r="G19" s="56"/>
    </row>
    <row r="20" spans="1:7" s="54" customFormat="1">
      <c r="A20" s="72"/>
      <c r="B20" s="60"/>
      <c r="C20" s="60"/>
      <c r="D20" s="60"/>
      <c r="E20" s="60"/>
      <c r="F20" s="71"/>
      <c r="G20" s="56"/>
    </row>
    <row r="21" spans="1:7" s="54" customFormat="1" ht="38.25">
      <c r="A21" s="70" t="s">
        <v>45</v>
      </c>
      <c r="B21" s="60"/>
      <c r="C21" s="60"/>
      <c r="D21" s="60"/>
      <c r="E21" s="60"/>
      <c r="F21" s="71"/>
      <c r="G21" s="56"/>
    </row>
    <row r="22" spans="1:7" s="54" customFormat="1">
      <c r="A22" s="382" t="s">
        <v>95</v>
      </c>
      <c r="B22" s="383"/>
      <c r="C22" s="383"/>
      <c r="D22" s="383"/>
      <c r="E22" s="383"/>
      <c r="F22" s="384"/>
      <c r="G22" s="56"/>
    </row>
    <row r="23" spans="1:7" s="54" customFormat="1" ht="35.25" customHeight="1">
      <c r="A23" s="382" t="s">
        <v>96</v>
      </c>
      <c r="B23" s="383"/>
      <c r="C23" s="383"/>
      <c r="D23" s="383"/>
      <c r="E23" s="383"/>
      <c r="F23" s="384"/>
      <c r="G23" s="56"/>
    </row>
    <row r="24" spans="1:7">
      <c r="A24" s="67"/>
      <c r="B24" s="68"/>
      <c r="C24" s="68"/>
      <c r="D24" s="68"/>
      <c r="E24" s="68"/>
      <c r="F24" s="69"/>
      <c r="G24" s="57"/>
    </row>
  </sheetData>
  <mergeCells count="11">
    <mergeCell ref="A17:F17"/>
    <mergeCell ref="A18:F18"/>
    <mergeCell ref="A23:F23"/>
    <mergeCell ref="A22:F22"/>
    <mergeCell ref="A19:F19"/>
    <mergeCell ref="A14:F14"/>
    <mergeCell ref="A16:F16"/>
    <mergeCell ref="A13:F13"/>
    <mergeCell ref="A12:F12"/>
    <mergeCell ref="A11:F11"/>
    <mergeCell ref="A15:F1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Y316"/>
  <sheetViews>
    <sheetView zoomScale="70" zoomScaleNormal="70" workbookViewId="0">
      <pane xSplit="4" ySplit="5" topLeftCell="E6" activePane="bottomRight" state="frozen"/>
      <selection pane="topRight" activeCell="E1" sqref="E1"/>
      <selection pane="bottomLeft" activeCell="A6" sqref="A6"/>
      <selection pane="bottomRight" activeCell="E6" sqref="E6"/>
    </sheetView>
  </sheetViews>
  <sheetFormatPr defaultColWidth="9.140625" defaultRowHeight="15"/>
  <cols>
    <col min="1" max="1" width="8.140625" style="83" customWidth="1"/>
    <col min="2" max="2" width="10.28515625" style="83" customWidth="1"/>
    <col min="3" max="3" width="14.42578125" style="83" customWidth="1"/>
    <col min="4" max="4" width="23.42578125" style="83" customWidth="1"/>
    <col min="5" max="5" width="17.42578125" style="83" customWidth="1"/>
    <col min="6" max="6" width="50.42578125" style="84" customWidth="1"/>
    <col min="7" max="7" width="23.85546875" style="84" customWidth="1"/>
    <col min="8" max="8" width="19.140625" style="83" customWidth="1"/>
    <col min="9" max="9" width="13.85546875" style="83" customWidth="1"/>
    <col min="10" max="10" width="12.42578125" style="83" customWidth="1"/>
    <col min="11" max="11" width="10.28515625" style="83" customWidth="1"/>
    <col min="12" max="12" width="15.85546875" style="83" customWidth="1"/>
    <col min="13" max="13" width="12.7109375" style="83" customWidth="1"/>
    <col min="14" max="14" width="13.85546875" style="83" customWidth="1"/>
    <col min="15" max="15" width="10.85546875" style="83" customWidth="1"/>
    <col min="16" max="16" width="14" style="83" customWidth="1"/>
    <col min="17" max="17" width="15.42578125" style="83" customWidth="1"/>
    <col min="18" max="18" width="13.140625" style="83" customWidth="1"/>
    <col min="19" max="19" width="15.7109375" style="83" customWidth="1"/>
    <col min="20" max="20" width="19.140625" style="83" bestFit="1" customWidth="1"/>
    <col min="21" max="21" width="14.7109375" style="83" customWidth="1"/>
    <col min="22" max="22" width="16.42578125" style="83" customWidth="1"/>
    <col min="23" max="23" width="12.85546875" style="83" customWidth="1"/>
    <col min="24" max="25" width="21" style="83" customWidth="1"/>
    <col min="26" max="26" width="13.28515625" style="83" customWidth="1"/>
    <col min="27" max="35" width="17.28515625" style="83" customWidth="1"/>
    <col min="36" max="36" width="18.85546875" style="83" customWidth="1"/>
    <col min="37" max="39" width="14.85546875" style="83" customWidth="1"/>
    <col min="40" max="40" width="20.42578125" style="83" customWidth="1"/>
    <col min="41" max="41" width="14.85546875" style="83" customWidth="1"/>
    <col min="42" max="50" width="13.85546875" style="83" customWidth="1"/>
    <col min="51" max="51" width="19.42578125" style="83" customWidth="1"/>
    <col min="52" max="16384" width="9.140625" style="91"/>
  </cols>
  <sheetData>
    <row r="1" spans="1:51">
      <c r="A1" s="86" t="s">
        <v>250</v>
      </c>
      <c r="L1" s="85"/>
    </row>
    <row r="2" spans="1:51">
      <c r="A2" s="83" t="s">
        <v>375</v>
      </c>
      <c r="L2" s="85"/>
    </row>
    <row r="3" spans="1:51">
      <c r="B3" s="83">
        <v>1</v>
      </c>
      <c r="C3" s="83">
        <v>2</v>
      </c>
      <c r="D3" s="83">
        <v>3</v>
      </c>
      <c r="E3" s="83">
        <v>4</v>
      </c>
      <c r="F3" s="84">
        <v>5</v>
      </c>
      <c r="G3" s="84">
        <v>6</v>
      </c>
      <c r="H3" s="84">
        <v>7</v>
      </c>
      <c r="I3" s="84">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row>
    <row r="4" spans="1:51">
      <c r="K4" s="87"/>
      <c r="L4" s="354" t="s">
        <v>35</v>
      </c>
      <c r="M4" s="355"/>
      <c r="N4" s="355"/>
      <c r="O4" s="355"/>
      <c r="P4" s="355"/>
      <c r="Q4" s="355"/>
      <c r="R4" s="355"/>
      <c r="S4" s="356"/>
      <c r="T4" s="354" t="s">
        <v>39</v>
      </c>
      <c r="U4" s="355"/>
      <c r="V4" s="355"/>
      <c r="W4" s="355"/>
      <c r="X4" s="355"/>
      <c r="Y4" s="355"/>
      <c r="Z4" s="355"/>
      <c r="AA4" s="356"/>
      <c r="AB4" s="354" t="s">
        <v>216</v>
      </c>
      <c r="AC4" s="355"/>
      <c r="AD4" s="355"/>
      <c r="AE4" s="355"/>
      <c r="AF4" s="355"/>
      <c r="AG4" s="355"/>
      <c r="AH4" s="355"/>
      <c r="AI4" s="356"/>
      <c r="AJ4" s="354" t="s">
        <v>59</v>
      </c>
      <c r="AK4" s="355"/>
      <c r="AL4" s="355"/>
      <c r="AM4" s="356"/>
      <c r="AN4" s="354" t="s">
        <v>60</v>
      </c>
      <c r="AO4" s="355"/>
      <c r="AP4" s="355"/>
      <c r="AQ4" s="356"/>
      <c r="AR4" s="354" t="s">
        <v>590</v>
      </c>
      <c r="AS4" s="356"/>
      <c r="AT4" s="354" t="s">
        <v>585</v>
      </c>
      <c r="AU4" s="355"/>
      <c r="AV4" s="355"/>
      <c r="AW4" s="356"/>
      <c r="AX4" s="123"/>
      <c r="AY4" s="123"/>
    </row>
    <row r="5" spans="1:51" s="142" customFormat="1" ht="60">
      <c r="A5" s="105" t="s">
        <v>44</v>
      </c>
      <c r="B5" s="106" t="s">
        <v>43</v>
      </c>
      <c r="C5" s="106" t="s">
        <v>31</v>
      </c>
      <c r="D5" s="106" t="s">
        <v>213</v>
      </c>
      <c r="E5" s="106" t="s">
        <v>114</v>
      </c>
      <c r="F5" s="106" t="s">
        <v>34</v>
      </c>
      <c r="G5" s="106" t="s">
        <v>104</v>
      </c>
      <c r="H5" s="106" t="s">
        <v>57</v>
      </c>
      <c r="I5" s="106" t="s">
        <v>184</v>
      </c>
      <c r="J5" s="106" t="s">
        <v>48</v>
      </c>
      <c r="K5" s="107" t="s">
        <v>185</v>
      </c>
      <c r="L5" s="105" t="s">
        <v>36</v>
      </c>
      <c r="M5" s="106" t="s">
        <v>37</v>
      </c>
      <c r="N5" s="106" t="s">
        <v>38</v>
      </c>
      <c r="O5" s="106" t="s">
        <v>65</v>
      </c>
      <c r="P5" s="106" t="s">
        <v>534</v>
      </c>
      <c r="Q5" s="106" t="s">
        <v>535</v>
      </c>
      <c r="R5" s="106" t="s">
        <v>64</v>
      </c>
      <c r="S5" s="107" t="s">
        <v>63</v>
      </c>
      <c r="T5" s="108" t="s">
        <v>36</v>
      </c>
      <c r="U5" s="106" t="s">
        <v>37</v>
      </c>
      <c r="V5" s="106" t="s">
        <v>38</v>
      </c>
      <c r="W5" s="106" t="s">
        <v>66</v>
      </c>
      <c r="X5" s="106" t="s">
        <v>537</v>
      </c>
      <c r="Y5" s="106" t="s">
        <v>535</v>
      </c>
      <c r="Z5" s="106" t="s">
        <v>67</v>
      </c>
      <c r="AA5" s="107" t="s">
        <v>68</v>
      </c>
      <c r="AB5" s="108" t="s">
        <v>36</v>
      </c>
      <c r="AC5" s="106" t="s">
        <v>37</v>
      </c>
      <c r="AD5" s="106" t="s">
        <v>38</v>
      </c>
      <c r="AE5" s="106" t="s">
        <v>66</v>
      </c>
      <c r="AF5" s="106" t="s">
        <v>536</v>
      </c>
      <c r="AG5" s="106" t="s">
        <v>535</v>
      </c>
      <c r="AH5" s="106" t="s">
        <v>67</v>
      </c>
      <c r="AI5" s="107" t="s">
        <v>68</v>
      </c>
      <c r="AJ5" s="105" t="s">
        <v>120</v>
      </c>
      <c r="AK5" s="109" t="s">
        <v>204</v>
      </c>
      <c r="AL5" s="358" t="s">
        <v>552</v>
      </c>
      <c r="AM5" s="359" t="s">
        <v>553</v>
      </c>
      <c r="AN5" s="108" t="s">
        <v>61</v>
      </c>
      <c r="AO5" s="109" t="s">
        <v>62</v>
      </c>
      <c r="AP5" s="358" t="s">
        <v>538</v>
      </c>
      <c r="AQ5" s="359" t="s">
        <v>1291</v>
      </c>
      <c r="AR5" s="357" t="s">
        <v>544</v>
      </c>
      <c r="AS5" s="359" t="s">
        <v>545</v>
      </c>
      <c r="AT5" s="358" t="s">
        <v>586</v>
      </c>
      <c r="AU5" s="358" t="s">
        <v>587</v>
      </c>
      <c r="AV5" s="358" t="s">
        <v>588</v>
      </c>
      <c r="AW5" s="358" t="s">
        <v>589</v>
      </c>
      <c r="AX5" s="357" t="s">
        <v>546</v>
      </c>
      <c r="AY5" s="359" t="s">
        <v>547</v>
      </c>
    </row>
    <row r="6" spans="1:51" ht="75">
      <c r="A6" s="113" t="s">
        <v>801</v>
      </c>
      <c r="B6" s="90" t="s">
        <v>801</v>
      </c>
      <c r="C6" s="246" t="s">
        <v>11</v>
      </c>
      <c r="D6" s="253" t="s">
        <v>1414</v>
      </c>
      <c r="E6" s="246" t="s">
        <v>103</v>
      </c>
      <c r="F6" s="253" t="s">
        <v>182</v>
      </c>
      <c r="G6" s="253" t="s">
        <v>105</v>
      </c>
      <c r="H6" s="246" t="s">
        <v>109</v>
      </c>
      <c r="I6" s="246" t="s">
        <v>142</v>
      </c>
      <c r="J6" s="246" t="s">
        <v>47</v>
      </c>
      <c r="K6" s="256" t="s">
        <v>49</v>
      </c>
      <c r="L6" s="250" t="s">
        <v>18</v>
      </c>
      <c r="M6" s="90">
        <v>0.33</v>
      </c>
      <c r="N6" s="251">
        <v>0.33333333333333331</v>
      </c>
      <c r="O6" s="92">
        <v>0.66333333333333333</v>
      </c>
      <c r="P6" s="93">
        <v>19.081969456246018</v>
      </c>
      <c r="Q6" s="93">
        <v>19.274716622470724</v>
      </c>
      <c r="R6" s="93">
        <v>57.75687396434946</v>
      </c>
      <c r="S6" s="104">
        <v>58.34027673166613</v>
      </c>
      <c r="T6" s="254" t="s">
        <v>107</v>
      </c>
      <c r="U6" s="97">
        <v>0</v>
      </c>
      <c r="V6" s="252">
        <v>0</v>
      </c>
      <c r="W6" s="97">
        <v>0</v>
      </c>
      <c r="X6" s="93">
        <v>0</v>
      </c>
      <c r="Y6" s="93">
        <v>0</v>
      </c>
      <c r="Z6" s="93">
        <v>0</v>
      </c>
      <c r="AA6" s="104">
        <v>0</v>
      </c>
      <c r="AB6" s="250" t="s">
        <v>107</v>
      </c>
      <c r="AC6" s="97">
        <v>0</v>
      </c>
      <c r="AD6" s="252">
        <v>0</v>
      </c>
      <c r="AE6" s="97">
        <v>0</v>
      </c>
      <c r="AF6" s="93">
        <v>0</v>
      </c>
      <c r="AG6" s="93">
        <v>0</v>
      </c>
      <c r="AH6" s="93">
        <v>0</v>
      </c>
      <c r="AI6" s="93">
        <v>0</v>
      </c>
      <c r="AJ6" s="247" t="s">
        <v>49</v>
      </c>
      <c r="AK6" s="246"/>
      <c r="AL6" s="93">
        <v>0</v>
      </c>
      <c r="AM6" s="93">
        <v>0</v>
      </c>
      <c r="AN6" s="254" t="s">
        <v>0</v>
      </c>
      <c r="AO6" s="246">
        <v>0</v>
      </c>
      <c r="AP6" s="92">
        <v>0</v>
      </c>
      <c r="AQ6" s="280">
        <v>0</v>
      </c>
      <c r="AR6" s="93">
        <v>0</v>
      </c>
      <c r="AS6" s="151">
        <v>0</v>
      </c>
      <c r="AT6" s="244">
        <v>1</v>
      </c>
      <c r="AU6" s="264">
        <v>0</v>
      </c>
      <c r="AV6" s="134">
        <v>38.356686078716741</v>
      </c>
      <c r="AW6" s="151">
        <v>116.09715069601559</v>
      </c>
      <c r="AX6" s="93">
        <v>38.356686078716741</v>
      </c>
      <c r="AY6" s="243">
        <v>116.09715069601559</v>
      </c>
    </row>
    <row r="7" spans="1:51" ht="75">
      <c r="A7" s="113" t="s">
        <v>802</v>
      </c>
      <c r="B7" s="90" t="s">
        <v>802</v>
      </c>
      <c r="C7" s="246" t="s">
        <v>11</v>
      </c>
      <c r="D7" s="253" t="s">
        <v>1414</v>
      </c>
      <c r="E7" s="246" t="s">
        <v>103</v>
      </c>
      <c r="F7" s="253" t="s">
        <v>182</v>
      </c>
      <c r="G7" s="253" t="s">
        <v>105</v>
      </c>
      <c r="H7" s="246" t="s">
        <v>110</v>
      </c>
      <c r="I7" s="246" t="s">
        <v>142</v>
      </c>
      <c r="J7" s="246" t="s">
        <v>47</v>
      </c>
      <c r="K7" s="256" t="s">
        <v>49</v>
      </c>
      <c r="L7" s="250" t="s">
        <v>18</v>
      </c>
      <c r="M7" s="90">
        <v>2</v>
      </c>
      <c r="N7" s="251">
        <v>0.33333333333333331</v>
      </c>
      <c r="O7" s="92">
        <v>2.3333333333333335</v>
      </c>
      <c r="P7" s="93">
        <v>115.64829973482435</v>
      </c>
      <c r="Q7" s="93">
        <v>19.274716622470724</v>
      </c>
      <c r="R7" s="93">
        <v>350.04166038999676</v>
      </c>
      <c r="S7" s="104">
        <v>58.34027673166613</v>
      </c>
      <c r="T7" s="254" t="s">
        <v>107</v>
      </c>
      <c r="U7" s="97">
        <v>0</v>
      </c>
      <c r="V7" s="252">
        <v>0</v>
      </c>
      <c r="W7" s="97">
        <v>0</v>
      </c>
      <c r="X7" s="93">
        <v>0</v>
      </c>
      <c r="Y7" s="93">
        <v>0</v>
      </c>
      <c r="Z7" s="93">
        <v>0</v>
      </c>
      <c r="AA7" s="104">
        <v>0</v>
      </c>
      <c r="AB7" s="250" t="s">
        <v>107</v>
      </c>
      <c r="AC7" s="97">
        <v>0</v>
      </c>
      <c r="AD7" s="252">
        <v>0</v>
      </c>
      <c r="AE7" s="97">
        <v>0</v>
      </c>
      <c r="AF7" s="93">
        <v>0</v>
      </c>
      <c r="AG7" s="93">
        <v>0</v>
      </c>
      <c r="AH7" s="93">
        <v>0</v>
      </c>
      <c r="AI7" s="93">
        <v>0</v>
      </c>
      <c r="AJ7" s="247" t="s">
        <v>49</v>
      </c>
      <c r="AK7" s="246"/>
      <c r="AL7" s="93">
        <v>0</v>
      </c>
      <c r="AM7" s="93">
        <v>0</v>
      </c>
      <c r="AN7" s="254" t="s">
        <v>0</v>
      </c>
      <c r="AO7" s="246">
        <v>0</v>
      </c>
      <c r="AP7" s="92">
        <v>0</v>
      </c>
      <c r="AQ7" s="281">
        <v>0</v>
      </c>
      <c r="AR7" s="93">
        <v>0</v>
      </c>
      <c r="AS7" s="104">
        <v>0</v>
      </c>
      <c r="AT7" s="245">
        <v>1</v>
      </c>
      <c r="AU7" s="260">
        <v>0</v>
      </c>
      <c r="AV7" s="93">
        <v>134.92301635729507</v>
      </c>
      <c r="AW7" s="151">
        <v>408.38193712166287</v>
      </c>
      <c r="AX7" s="93">
        <v>134.92301635729507</v>
      </c>
      <c r="AY7" s="243">
        <v>408.38193712166287</v>
      </c>
    </row>
    <row r="8" spans="1:51" ht="75">
      <c r="A8" s="113" t="s">
        <v>803</v>
      </c>
      <c r="B8" s="90" t="s">
        <v>803</v>
      </c>
      <c r="C8" s="246" t="s">
        <v>11</v>
      </c>
      <c r="D8" s="253" t="s">
        <v>1414</v>
      </c>
      <c r="E8" s="246" t="s">
        <v>103</v>
      </c>
      <c r="F8" s="253" t="s">
        <v>182</v>
      </c>
      <c r="G8" s="253" t="s">
        <v>112</v>
      </c>
      <c r="H8" s="246" t="s">
        <v>109</v>
      </c>
      <c r="I8" s="246" t="s">
        <v>142</v>
      </c>
      <c r="J8" s="246" t="s">
        <v>113</v>
      </c>
      <c r="K8" s="256" t="s">
        <v>49</v>
      </c>
      <c r="L8" s="250" t="s">
        <v>18</v>
      </c>
      <c r="M8" s="90">
        <v>0.33</v>
      </c>
      <c r="N8" s="251">
        <v>0.33333333333333331</v>
      </c>
      <c r="O8" s="92">
        <v>0.66333333333333333</v>
      </c>
      <c r="P8" s="93">
        <v>25.084366852241615</v>
      </c>
      <c r="Q8" s="93">
        <v>25.337744295193549</v>
      </c>
      <c r="R8" s="93">
        <v>75.924794769346875</v>
      </c>
      <c r="S8" s="104">
        <v>76.691711888229179</v>
      </c>
      <c r="T8" s="254" t="s">
        <v>107</v>
      </c>
      <c r="U8" s="97">
        <v>0</v>
      </c>
      <c r="V8" s="252">
        <v>0</v>
      </c>
      <c r="W8" s="97">
        <v>0</v>
      </c>
      <c r="X8" s="93">
        <v>0</v>
      </c>
      <c r="Y8" s="93">
        <v>0</v>
      </c>
      <c r="Z8" s="93">
        <v>0</v>
      </c>
      <c r="AA8" s="104">
        <v>0</v>
      </c>
      <c r="AB8" s="250" t="s">
        <v>107</v>
      </c>
      <c r="AC8" s="97">
        <v>0</v>
      </c>
      <c r="AD8" s="252">
        <v>0</v>
      </c>
      <c r="AE8" s="97">
        <v>0</v>
      </c>
      <c r="AF8" s="93">
        <v>0</v>
      </c>
      <c r="AG8" s="93">
        <v>0</v>
      </c>
      <c r="AH8" s="93">
        <v>0</v>
      </c>
      <c r="AI8" s="93">
        <v>0</v>
      </c>
      <c r="AJ8" s="247" t="s">
        <v>49</v>
      </c>
      <c r="AK8" s="246"/>
      <c r="AL8" s="93">
        <v>0</v>
      </c>
      <c r="AM8" s="93">
        <v>0</v>
      </c>
      <c r="AN8" s="254" t="s">
        <v>0</v>
      </c>
      <c r="AO8" s="246">
        <v>0</v>
      </c>
      <c r="AP8" s="92">
        <v>0</v>
      </c>
      <c r="AQ8" s="281">
        <v>0</v>
      </c>
      <c r="AR8" s="93">
        <v>0</v>
      </c>
      <c r="AS8" s="104">
        <v>0</v>
      </c>
      <c r="AT8" s="245">
        <v>1</v>
      </c>
      <c r="AU8" s="260">
        <v>0</v>
      </c>
      <c r="AV8" s="93">
        <v>50.42211114743516</v>
      </c>
      <c r="AW8" s="104">
        <v>152.61650665757605</v>
      </c>
      <c r="AX8" s="93">
        <v>50.42211114743516</v>
      </c>
      <c r="AY8" s="243">
        <v>152.61650665757605</v>
      </c>
    </row>
    <row r="9" spans="1:51" ht="75">
      <c r="A9" s="113" t="s">
        <v>804</v>
      </c>
      <c r="B9" s="90" t="s">
        <v>804</v>
      </c>
      <c r="C9" s="246" t="s">
        <v>11</v>
      </c>
      <c r="D9" s="253" t="s">
        <v>1414</v>
      </c>
      <c r="E9" s="246" t="s">
        <v>103</v>
      </c>
      <c r="F9" s="253" t="s">
        <v>182</v>
      </c>
      <c r="G9" s="253" t="s">
        <v>112</v>
      </c>
      <c r="H9" s="246" t="s">
        <v>110</v>
      </c>
      <c r="I9" s="246" t="s">
        <v>142</v>
      </c>
      <c r="J9" s="246" t="s">
        <v>113</v>
      </c>
      <c r="K9" s="256" t="s">
        <v>49</v>
      </c>
      <c r="L9" s="250" t="s">
        <v>18</v>
      </c>
      <c r="M9" s="90">
        <v>2</v>
      </c>
      <c r="N9" s="251">
        <v>0.33333333333333331</v>
      </c>
      <c r="O9" s="92">
        <v>2.3333333333333335</v>
      </c>
      <c r="P9" s="93">
        <v>152.0264657711613</v>
      </c>
      <c r="Q9" s="93">
        <v>25.337744295193549</v>
      </c>
      <c r="R9" s="93">
        <v>460.15027132937496</v>
      </c>
      <c r="S9" s="104">
        <v>76.691711888229179</v>
      </c>
      <c r="T9" s="254" t="s">
        <v>107</v>
      </c>
      <c r="U9" s="97">
        <v>0</v>
      </c>
      <c r="V9" s="252">
        <v>0</v>
      </c>
      <c r="W9" s="97">
        <v>0</v>
      </c>
      <c r="X9" s="93">
        <v>0</v>
      </c>
      <c r="Y9" s="93">
        <v>0</v>
      </c>
      <c r="Z9" s="93">
        <v>0</v>
      </c>
      <c r="AA9" s="104">
        <v>0</v>
      </c>
      <c r="AB9" s="250" t="s">
        <v>107</v>
      </c>
      <c r="AC9" s="97">
        <v>0</v>
      </c>
      <c r="AD9" s="252">
        <v>0</v>
      </c>
      <c r="AE9" s="97">
        <v>0</v>
      </c>
      <c r="AF9" s="93">
        <v>0</v>
      </c>
      <c r="AG9" s="93">
        <v>0</v>
      </c>
      <c r="AH9" s="93">
        <v>0</v>
      </c>
      <c r="AI9" s="93">
        <v>0</v>
      </c>
      <c r="AJ9" s="247" t="s">
        <v>49</v>
      </c>
      <c r="AK9" s="246"/>
      <c r="AL9" s="93">
        <v>0</v>
      </c>
      <c r="AM9" s="93">
        <v>0</v>
      </c>
      <c r="AN9" s="254" t="s">
        <v>0</v>
      </c>
      <c r="AO9" s="246">
        <v>0</v>
      </c>
      <c r="AP9" s="92">
        <v>0</v>
      </c>
      <c r="AQ9" s="281">
        <v>0</v>
      </c>
      <c r="AR9" s="93">
        <v>0</v>
      </c>
      <c r="AS9" s="104">
        <v>0</v>
      </c>
      <c r="AT9" s="245">
        <v>1</v>
      </c>
      <c r="AU9" s="260">
        <v>0</v>
      </c>
      <c r="AV9" s="93">
        <v>177.36421006635484</v>
      </c>
      <c r="AW9" s="104">
        <v>536.84198321760414</v>
      </c>
      <c r="AX9" s="93">
        <v>177.36421006635484</v>
      </c>
      <c r="AY9" s="243">
        <v>536.84198321760414</v>
      </c>
    </row>
    <row r="10" spans="1:51" ht="75">
      <c r="A10" s="113" t="s">
        <v>805</v>
      </c>
      <c r="B10" s="90" t="s">
        <v>1188</v>
      </c>
      <c r="C10" s="246" t="s">
        <v>11</v>
      </c>
      <c r="D10" s="253" t="s">
        <v>1414</v>
      </c>
      <c r="E10" s="246" t="s">
        <v>103</v>
      </c>
      <c r="F10" s="253" t="s">
        <v>182</v>
      </c>
      <c r="G10" s="253" t="s">
        <v>111</v>
      </c>
      <c r="H10" s="246" t="s">
        <v>109</v>
      </c>
      <c r="I10" s="246" t="s">
        <v>142</v>
      </c>
      <c r="J10" s="246" t="s">
        <v>47</v>
      </c>
      <c r="K10" s="256" t="s">
        <v>49</v>
      </c>
      <c r="L10" s="250" t="s">
        <v>18</v>
      </c>
      <c r="M10" s="90">
        <v>0.33</v>
      </c>
      <c r="N10" s="251">
        <v>0.67</v>
      </c>
      <c r="O10" s="97">
        <v>1</v>
      </c>
      <c r="P10" s="93">
        <v>19.081969456246018</v>
      </c>
      <c r="Q10" s="93">
        <v>38.74218041116616</v>
      </c>
      <c r="R10" s="93">
        <v>57.75687396434946</v>
      </c>
      <c r="S10" s="104">
        <v>117.26395623064893</v>
      </c>
      <c r="T10" s="254" t="s">
        <v>18</v>
      </c>
      <c r="U10" s="92">
        <v>0.33</v>
      </c>
      <c r="V10" s="251">
        <v>0.67</v>
      </c>
      <c r="W10" s="97">
        <v>1</v>
      </c>
      <c r="X10" s="93">
        <v>19.081969456246018</v>
      </c>
      <c r="Y10" s="93">
        <v>38.74218041116616</v>
      </c>
      <c r="Z10" s="93">
        <v>57.75687396434946</v>
      </c>
      <c r="AA10" s="104">
        <v>117.26395623064893</v>
      </c>
      <c r="AB10" s="250" t="s">
        <v>107</v>
      </c>
      <c r="AC10" s="97">
        <v>0</v>
      </c>
      <c r="AD10" s="252">
        <v>0</v>
      </c>
      <c r="AE10" s="97">
        <v>0</v>
      </c>
      <c r="AF10" s="93">
        <v>0</v>
      </c>
      <c r="AG10" s="93">
        <v>0</v>
      </c>
      <c r="AH10" s="93">
        <v>0</v>
      </c>
      <c r="AI10" s="93">
        <v>0</v>
      </c>
      <c r="AJ10" s="247" t="s">
        <v>49</v>
      </c>
      <c r="AK10" s="246"/>
      <c r="AL10" s="93">
        <v>0</v>
      </c>
      <c r="AM10" s="93">
        <v>0</v>
      </c>
      <c r="AN10" s="254" t="s">
        <v>0</v>
      </c>
      <c r="AO10" s="246">
        <v>0</v>
      </c>
      <c r="AP10" s="92">
        <v>0</v>
      </c>
      <c r="AQ10" s="281">
        <v>0</v>
      </c>
      <c r="AR10" s="93">
        <v>0</v>
      </c>
      <c r="AS10" s="104">
        <v>0</v>
      </c>
      <c r="AT10" s="245">
        <v>1</v>
      </c>
      <c r="AU10" s="260">
        <v>0</v>
      </c>
      <c r="AV10" s="93">
        <v>115.64829973482435</v>
      </c>
      <c r="AW10" s="104">
        <v>350.04166038999676</v>
      </c>
      <c r="AX10" s="93">
        <v>115.64829973482435</v>
      </c>
      <c r="AY10" s="243">
        <v>350.04166038999676</v>
      </c>
    </row>
    <row r="11" spans="1:51" ht="75">
      <c r="A11" s="113" t="s">
        <v>806</v>
      </c>
      <c r="B11" s="90" t="s">
        <v>1189</v>
      </c>
      <c r="C11" s="246" t="s">
        <v>11</v>
      </c>
      <c r="D11" s="253" t="s">
        <v>1414</v>
      </c>
      <c r="E11" s="246" t="s">
        <v>103</v>
      </c>
      <c r="F11" s="253" t="s">
        <v>182</v>
      </c>
      <c r="G11" s="253" t="s">
        <v>111</v>
      </c>
      <c r="H11" s="246" t="s">
        <v>42</v>
      </c>
      <c r="I11" s="246" t="s">
        <v>142</v>
      </c>
      <c r="J11" s="246" t="s">
        <v>47</v>
      </c>
      <c r="K11" s="256" t="s">
        <v>49</v>
      </c>
      <c r="L11" s="250" t="s">
        <v>18</v>
      </c>
      <c r="M11" s="90">
        <v>2</v>
      </c>
      <c r="N11" s="251">
        <v>0.67</v>
      </c>
      <c r="O11" s="97">
        <v>2.67</v>
      </c>
      <c r="P11" s="93">
        <v>115.64829973482435</v>
      </c>
      <c r="Q11" s="93">
        <v>38.74218041116616</v>
      </c>
      <c r="R11" s="93">
        <v>350.04166038999676</v>
      </c>
      <c r="S11" s="104">
        <v>117.26395623064893</v>
      </c>
      <c r="T11" s="254" t="s">
        <v>18</v>
      </c>
      <c r="U11" s="97">
        <v>2</v>
      </c>
      <c r="V11" s="251">
        <v>0.67</v>
      </c>
      <c r="W11" s="97">
        <v>2.67</v>
      </c>
      <c r="X11" s="93">
        <v>115.64829973482435</v>
      </c>
      <c r="Y11" s="93">
        <v>38.74218041116616</v>
      </c>
      <c r="Z11" s="93">
        <v>350.04166038999676</v>
      </c>
      <c r="AA11" s="104">
        <v>117.26395623064893</v>
      </c>
      <c r="AB11" s="250" t="s">
        <v>107</v>
      </c>
      <c r="AC11" s="97">
        <v>0</v>
      </c>
      <c r="AD11" s="252">
        <v>0</v>
      </c>
      <c r="AE11" s="97">
        <v>0</v>
      </c>
      <c r="AF11" s="93">
        <v>0</v>
      </c>
      <c r="AG11" s="93">
        <v>0</v>
      </c>
      <c r="AH11" s="93">
        <v>0</v>
      </c>
      <c r="AI11" s="93">
        <v>0</v>
      </c>
      <c r="AJ11" s="247" t="s">
        <v>49</v>
      </c>
      <c r="AK11" s="246"/>
      <c r="AL11" s="93">
        <v>0</v>
      </c>
      <c r="AM11" s="93">
        <v>0</v>
      </c>
      <c r="AN11" s="254" t="s">
        <v>0</v>
      </c>
      <c r="AO11" s="246">
        <v>0</v>
      </c>
      <c r="AP11" s="92">
        <v>0</v>
      </c>
      <c r="AQ11" s="282">
        <v>0</v>
      </c>
      <c r="AR11" s="93">
        <v>0</v>
      </c>
      <c r="AS11" s="104">
        <v>0</v>
      </c>
      <c r="AT11" s="245">
        <v>1</v>
      </c>
      <c r="AU11" s="260">
        <v>0</v>
      </c>
      <c r="AV11" s="93">
        <v>308.78096029198105</v>
      </c>
      <c r="AW11" s="104">
        <v>934.61123324129142</v>
      </c>
      <c r="AX11" s="93">
        <v>308.78096029198105</v>
      </c>
      <c r="AY11" s="243">
        <v>934.61123324129142</v>
      </c>
    </row>
    <row r="12" spans="1:51" ht="75">
      <c r="A12" s="113" t="s">
        <v>807</v>
      </c>
      <c r="B12" s="90" t="s">
        <v>805</v>
      </c>
      <c r="C12" s="246" t="s">
        <v>11</v>
      </c>
      <c r="D12" s="253" t="s">
        <v>1414</v>
      </c>
      <c r="E12" s="246" t="s">
        <v>103</v>
      </c>
      <c r="F12" s="253" t="s">
        <v>182</v>
      </c>
      <c r="G12" s="253" t="s">
        <v>121</v>
      </c>
      <c r="H12" s="246" t="s">
        <v>109</v>
      </c>
      <c r="I12" s="246" t="s">
        <v>142</v>
      </c>
      <c r="J12" s="246" t="s">
        <v>113</v>
      </c>
      <c r="K12" s="256" t="s">
        <v>49</v>
      </c>
      <c r="L12" s="250" t="s">
        <v>18</v>
      </c>
      <c r="M12" s="90">
        <v>0.33</v>
      </c>
      <c r="N12" s="251">
        <v>0.67</v>
      </c>
      <c r="O12" s="97">
        <v>1</v>
      </c>
      <c r="P12" s="93">
        <v>25.084366852241615</v>
      </c>
      <c r="Q12" s="93">
        <v>50.928866033339041</v>
      </c>
      <c r="R12" s="93">
        <v>75.924794769346875</v>
      </c>
      <c r="S12" s="104">
        <v>154.15034089534063</v>
      </c>
      <c r="T12" s="254" t="s">
        <v>18</v>
      </c>
      <c r="U12" s="97">
        <v>0.33</v>
      </c>
      <c r="V12" s="251">
        <v>0.67</v>
      </c>
      <c r="W12" s="97">
        <v>1</v>
      </c>
      <c r="X12" s="93">
        <v>25.084366852241615</v>
      </c>
      <c r="Y12" s="93">
        <v>50.928866033339041</v>
      </c>
      <c r="Z12" s="93">
        <v>75.924794769346875</v>
      </c>
      <c r="AA12" s="104">
        <v>154.15034089534063</v>
      </c>
      <c r="AB12" s="250" t="s">
        <v>107</v>
      </c>
      <c r="AC12" s="97">
        <v>0</v>
      </c>
      <c r="AD12" s="252">
        <v>0</v>
      </c>
      <c r="AE12" s="97">
        <v>0</v>
      </c>
      <c r="AF12" s="93">
        <v>0</v>
      </c>
      <c r="AG12" s="93">
        <v>0</v>
      </c>
      <c r="AH12" s="93">
        <v>0</v>
      </c>
      <c r="AI12" s="93">
        <v>0</v>
      </c>
      <c r="AJ12" s="247" t="s">
        <v>49</v>
      </c>
      <c r="AK12" s="246"/>
      <c r="AL12" s="93">
        <v>0</v>
      </c>
      <c r="AM12" s="93">
        <v>0</v>
      </c>
      <c r="AN12" s="254" t="s">
        <v>0</v>
      </c>
      <c r="AO12" s="246">
        <v>0</v>
      </c>
      <c r="AP12" s="92">
        <v>0</v>
      </c>
      <c r="AQ12" s="282">
        <v>0</v>
      </c>
      <c r="AR12" s="93">
        <v>0</v>
      </c>
      <c r="AS12" s="104">
        <v>0</v>
      </c>
      <c r="AT12" s="245">
        <v>1</v>
      </c>
      <c r="AU12" s="260">
        <v>0</v>
      </c>
      <c r="AV12" s="93">
        <v>152.02646577116133</v>
      </c>
      <c r="AW12" s="104">
        <v>460.15027132937496</v>
      </c>
      <c r="AX12" s="93">
        <v>152.02646577116133</v>
      </c>
      <c r="AY12" s="243">
        <v>460.15027132937496</v>
      </c>
    </row>
    <row r="13" spans="1:51" ht="75">
      <c r="A13" s="113" t="s">
        <v>808</v>
      </c>
      <c r="B13" s="90" t="s">
        <v>806</v>
      </c>
      <c r="C13" s="246" t="s">
        <v>11</v>
      </c>
      <c r="D13" s="253" t="s">
        <v>1414</v>
      </c>
      <c r="E13" s="246" t="s">
        <v>103</v>
      </c>
      <c r="F13" s="253" t="s">
        <v>182</v>
      </c>
      <c r="G13" s="253" t="s">
        <v>121</v>
      </c>
      <c r="H13" s="246" t="s">
        <v>110</v>
      </c>
      <c r="I13" s="246" t="s">
        <v>142</v>
      </c>
      <c r="J13" s="246" t="s">
        <v>113</v>
      </c>
      <c r="K13" s="256" t="s">
        <v>49</v>
      </c>
      <c r="L13" s="250" t="s">
        <v>18</v>
      </c>
      <c r="M13" s="90">
        <v>2</v>
      </c>
      <c r="N13" s="251">
        <v>0.67</v>
      </c>
      <c r="O13" s="97">
        <v>2.67</v>
      </c>
      <c r="P13" s="93">
        <v>152.0264657711613</v>
      </c>
      <c r="Q13" s="93">
        <v>50.928866033339041</v>
      </c>
      <c r="R13" s="93">
        <v>460.15027132937496</v>
      </c>
      <c r="S13" s="104">
        <v>154.15034089534063</v>
      </c>
      <c r="T13" s="254" t="s">
        <v>18</v>
      </c>
      <c r="U13" s="97">
        <v>2</v>
      </c>
      <c r="V13" s="251">
        <v>0.67</v>
      </c>
      <c r="W13" s="97">
        <v>2.67</v>
      </c>
      <c r="X13" s="93">
        <v>152.0264657711613</v>
      </c>
      <c r="Y13" s="93">
        <v>50.928866033339041</v>
      </c>
      <c r="Z13" s="93">
        <v>460.15027132937496</v>
      </c>
      <c r="AA13" s="104">
        <v>154.15034089534063</v>
      </c>
      <c r="AB13" s="250" t="s">
        <v>107</v>
      </c>
      <c r="AC13" s="97">
        <v>0</v>
      </c>
      <c r="AD13" s="252">
        <v>0</v>
      </c>
      <c r="AE13" s="97">
        <v>0</v>
      </c>
      <c r="AF13" s="93">
        <v>0</v>
      </c>
      <c r="AG13" s="93">
        <v>0</v>
      </c>
      <c r="AH13" s="93">
        <v>0</v>
      </c>
      <c r="AI13" s="93">
        <v>0</v>
      </c>
      <c r="AJ13" s="247" t="s">
        <v>49</v>
      </c>
      <c r="AK13" s="246"/>
      <c r="AL13" s="93">
        <v>0</v>
      </c>
      <c r="AM13" s="93">
        <v>0</v>
      </c>
      <c r="AN13" s="254" t="s">
        <v>0</v>
      </c>
      <c r="AO13" s="246">
        <v>0</v>
      </c>
      <c r="AP13" s="92">
        <v>0</v>
      </c>
      <c r="AQ13" s="282">
        <v>0</v>
      </c>
      <c r="AR13" s="93">
        <v>0</v>
      </c>
      <c r="AS13" s="104">
        <v>0</v>
      </c>
      <c r="AT13" s="245">
        <v>1</v>
      </c>
      <c r="AU13" s="260">
        <v>0</v>
      </c>
      <c r="AV13" s="93">
        <v>405.91066360900066</v>
      </c>
      <c r="AW13" s="104">
        <v>1228.6012244494311</v>
      </c>
      <c r="AX13" s="93">
        <v>405.91066360900066</v>
      </c>
      <c r="AY13" s="243">
        <v>1228.6012244494311</v>
      </c>
    </row>
    <row r="14" spans="1:51" ht="75">
      <c r="A14" s="113" t="s">
        <v>809</v>
      </c>
      <c r="B14" s="90" t="s">
        <v>807</v>
      </c>
      <c r="C14" s="246" t="s">
        <v>11</v>
      </c>
      <c r="D14" s="253" t="s">
        <v>1414</v>
      </c>
      <c r="E14" s="246" t="s">
        <v>103</v>
      </c>
      <c r="F14" s="253" t="s">
        <v>182</v>
      </c>
      <c r="G14" s="255" t="s">
        <v>124</v>
      </c>
      <c r="H14" s="246" t="s">
        <v>109</v>
      </c>
      <c r="I14" s="246" t="s">
        <v>142</v>
      </c>
      <c r="J14" s="246" t="s">
        <v>47</v>
      </c>
      <c r="K14" s="256" t="s">
        <v>49</v>
      </c>
      <c r="L14" s="250" t="s">
        <v>18</v>
      </c>
      <c r="M14" s="90">
        <v>0.33</v>
      </c>
      <c r="N14" s="251">
        <v>0.33333333333333331</v>
      </c>
      <c r="O14" s="92">
        <v>0.66333333333333333</v>
      </c>
      <c r="P14" s="93">
        <v>19.081969456246018</v>
      </c>
      <c r="Q14" s="93">
        <v>19.274716622470724</v>
      </c>
      <c r="R14" s="93">
        <v>57.75687396434946</v>
      </c>
      <c r="S14" s="104">
        <v>58.34027673166613</v>
      </c>
      <c r="T14" s="254" t="s">
        <v>18</v>
      </c>
      <c r="U14" s="97">
        <v>0.33</v>
      </c>
      <c r="V14" s="251">
        <v>0.33333333333333331</v>
      </c>
      <c r="W14" s="97">
        <v>0.66333333333333333</v>
      </c>
      <c r="X14" s="93">
        <v>19.081969456246018</v>
      </c>
      <c r="Y14" s="93">
        <v>19.274716622470724</v>
      </c>
      <c r="Z14" s="93">
        <v>57.75687396434946</v>
      </c>
      <c r="AA14" s="104">
        <v>58.34027673166613</v>
      </c>
      <c r="AB14" s="250" t="s">
        <v>107</v>
      </c>
      <c r="AC14" s="97">
        <v>0</v>
      </c>
      <c r="AD14" s="252">
        <v>0</v>
      </c>
      <c r="AE14" s="97">
        <v>0</v>
      </c>
      <c r="AF14" s="93">
        <v>0</v>
      </c>
      <c r="AG14" s="93">
        <v>0</v>
      </c>
      <c r="AH14" s="93">
        <v>0</v>
      </c>
      <c r="AI14" s="93">
        <v>0</v>
      </c>
      <c r="AJ14" s="247" t="s">
        <v>49</v>
      </c>
      <c r="AK14" s="246"/>
      <c r="AL14" s="93">
        <v>0</v>
      </c>
      <c r="AM14" s="93">
        <v>0</v>
      </c>
      <c r="AN14" s="254" t="s">
        <v>0</v>
      </c>
      <c r="AO14" s="246">
        <v>0</v>
      </c>
      <c r="AP14" s="92">
        <v>0</v>
      </c>
      <c r="AQ14" s="282">
        <v>0</v>
      </c>
      <c r="AR14" s="93">
        <v>0</v>
      </c>
      <c r="AS14" s="104">
        <v>0</v>
      </c>
      <c r="AT14" s="245">
        <v>1</v>
      </c>
      <c r="AU14" s="260">
        <v>0</v>
      </c>
      <c r="AV14" s="93">
        <v>76.713372157433483</v>
      </c>
      <c r="AW14" s="104">
        <v>232.19430139203118</v>
      </c>
      <c r="AX14" s="93">
        <v>76.713372157433483</v>
      </c>
      <c r="AY14" s="243">
        <v>232.19430139203118</v>
      </c>
    </row>
    <row r="15" spans="1:51" ht="75">
      <c r="A15" s="113" t="s">
        <v>810</v>
      </c>
      <c r="B15" s="90" t="s">
        <v>808</v>
      </c>
      <c r="C15" s="246" t="s">
        <v>11</v>
      </c>
      <c r="D15" s="253" t="s">
        <v>1414</v>
      </c>
      <c r="E15" s="246" t="s">
        <v>103</v>
      </c>
      <c r="F15" s="253" t="s">
        <v>182</v>
      </c>
      <c r="G15" s="253" t="s">
        <v>124</v>
      </c>
      <c r="H15" s="246" t="s">
        <v>110</v>
      </c>
      <c r="I15" s="246" t="s">
        <v>142</v>
      </c>
      <c r="J15" s="246" t="s">
        <v>47</v>
      </c>
      <c r="K15" s="256" t="s">
        <v>49</v>
      </c>
      <c r="L15" s="250" t="s">
        <v>18</v>
      </c>
      <c r="M15" s="90">
        <v>2</v>
      </c>
      <c r="N15" s="251">
        <v>0.33333333333333331</v>
      </c>
      <c r="O15" s="92">
        <v>2.3333333333333335</v>
      </c>
      <c r="P15" s="93">
        <v>115.64829973482435</v>
      </c>
      <c r="Q15" s="93">
        <v>19.274716622470724</v>
      </c>
      <c r="R15" s="93">
        <v>350.04166038999676</v>
      </c>
      <c r="S15" s="104">
        <v>58.34027673166613</v>
      </c>
      <c r="T15" s="254" t="s">
        <v>18</v>
      </c>
      <c r="U15" s="97">
        <v>2</v>
      </c>
      <c r="V15" s="251">
        <v>0.33333333333333331</v>
      </c>
      <c r="W15" s="97">
        <v>2.3333333333333335</v>
      </c>
      <c r="X15" s="93">
        <v>115.64829973482435</v>
      </c>
      <c r="Y15" s="93">
        <v>19.274716622470724</v>
      </c>
      <c r="Z15" s="93">
        <v>350.04166038999676</v>
      </c>
      <c r="AA15" s="104">
        <v>58.34027673166613</v>
      </c>
      <c r="AB15" s="250" t="s">
        <v>107</v>
      </c>
      <c r="AC15" s="97">
        <v>0</v>
      </c>
      <c r="AD15" s="252">
        <v>0</v>
      </c>
      <c r="AE15" s="97">
        <v>0</v>
      </c>
      <c r="AF15" s="93">
        <v>0</v>
      </c>
      <c r="AG15" s="93">
        <v>0</v>
      </c>
      <c r="AH15" s="93">
        <v>0</v>
      </c>
      <c r="AI15" s="93">
        <v>0</v>
      </c>
      <c r="AJ15" s="247" t="s">
        <v>49</v>
      </c>
      <c r="AK15" s="246"/>
      <c r="AL15" s="93">
        <v>0</v>
      </c>
      <c r="AM15" s="93">
        <v>0</v>
      </c>
      <c r="AN15" s="254" t="s">
        <v>0</v>
      </c>
      <c r="AO15" s="246">
        <v>0</v>
      </c>
      <c r="AP15" s="92">
        <v>0</v>
      </c>
      <c r="AQ15" s="282">
        <v>0</v>
      </c>
      <c r="AR15" s="93">
        <v>0</v>
      </c>
      <c r="AS15" s="104">
        <v>0</v>
      </c>
      <c r="AT15" s="245">
        <v>1</v>
      </c>
      <c r="AU15" s="260">
        <v>0</v>
      </c>
      <c r="AV15" s="93">
        <v>269.84603271459014</v>
      </c>
      <c r="AW15" s="104">
        <v>816.76387424332574</v>
      </c>
      <c r="AX15" s="93">
        <v>269.84603271459014</v>
      </c>
      <c r="AY15" s="243">
        <v>816.76387424332574</v>
      </c>
    </row>
    <row r="16" spans="1:51" ht="75">
      <c r="A16" s="113" t="s">
        <v>811</v>
      </c>
      <c r="B16" s="90" t="s">
        <v>1190</v>
      </c>
      <c r="C16" s="246" t="s">
        <v>11</v>
      </c>
      <c r="D16" s="253" t="s">
        <v>1414</v>
      </c>
      <c r="E16" s="246" t="s">
        <v>103</v>
      </c>
      <c r="F16" s="253" t="s">
        <v>182</v>
      </c>
      <c r="G16" s="253" t="s">
        <v>125</v>
      </c>
      <c r="H16" s="246" t="s">
        <v>109</v>
      </c>
      <c r="I16" s="246" t="s">
        <v>142</v>
      </c>
      <c r="J16" s="246" t="s">
        <v>47</v>
      </c>
      <c r="K16" s="256" t="s">
        <v>49</v>
      </c>
      <c r="L16" s="250" t="s">
        <v>18</v>
      </c>
      <c r="M16" s="90">
        <v>0.33</v>
      </c>
      <c r="N16" s="251">
        <v>0.67</v>
      </c>
      <c r="O16" s="90">
        <v>1</v>
      </c>
      <c r="P16" s="93">
        <v>19.081969456246018</v>
      </c>
      <c r="Q16" s="93">
        <v>38.74218041116616</v>
      </c>
      <c r="R16" s="93">
        <v>57.75687396434946</v>
      </c>
      <c r="S16" s="104">
        <v>117.26395623064893</v>
      </c>
      <c r="T16" s="254" t="s">
        <v>18</v>
      </c>
      <c r="U16" s="97">
        <v>0.33</v>
      </c>
      <c r="V16" s="251">
        <v>0.67</v>
      </c>
      <c r="W16" s="97">
        <v>1</v>
      </c>
      <c r="X16" s="93">
        <v>19.081969456246018</v>
      </c>
      <c r="Y16" s="93">
        <v>38.74218041116616</v>
      </c>
      <c r="Z16" s="93">
        <v>57.75687396434946</v>
      </c>
      <c r="AA16" s="104">
        <v>117.26395623064893</v>
      </c>
      <c r="AB16" s="250" t="s">
        <v>107</v>
      </c>
      <c r="AC16" s="97">
        <v>0</v>
      </c>
      <c r="AD16" s="252">
        <v>0</v>
      </c>
      <c r="AE16" s="97">
        <v>0</v>
      </c>
      <c r="AF16" s="93">
        <v>0</v>
      </c>
      <c r="AG16" s="93">
        <v>0</v>
      </c>
      <c r="AH16" s="93">
        <v>0</v>
      </c>
      <c r="AI16" s="93">
        <v>0</v>
      </c>
      <c r="AJ16" s="247" t="s">
        <v>49</v>
      </c>
      <c r="AK16" s="246"/>
      <c r="AL16" s="93">
        <v>0</v>
      </c>
      <c r="AM16" s="93">
        <v>0</v>
      </c>
      <c r="AN16" s="254" t="s">
        <v>0</v>
      </c>
      <c r="AO16" s="246">
        <v>0</v>
      </c>
      <c r="AP16" s="92">
        <v>0</v>
      </c>
      <c r="AQ16" s="282">
        <v>0</v>
      </c>
      <c r="AR16" s="93">
        <v>0</v>
      </c>
      <c r="AS16" s="104">
        <v>0</v>
      </c>
      <c r="AT16" s="245">
        <v>1</v>
      </c>
      <c r="AU16" s="260">
        <v>0</v>
      </c>
      <c r="AV16" s="93">
        <v>115.64829973482435</v>
      </c>
      <c r="AW16" s="104">
        <v>350.04166038999676</v>
      </c>
      <c r="AX16" s="93">
        <v>115.64829973482435</v>
      </c>
      <c r="AY16" s="243">
        <v>350.04166038999676</v>
      </c>
    </row>
    <row r="17" spans="1:51" ht="75">
      <c r="A17" s="113" t="s">
        <v>812</v>
      </c>
      <c r="B17" s="90" t="s">
        <v>1191</v>
      </c>
      <c r="C17" s="246" t="s">
        <v>11</v>
      </c>
      <c r="D17" s="253" t="s">
        <v>1414</v>
      </c>
      <c r="E17" s="246" t="s">
        <v>103</v>
      </c>
      <c r="F17" s="253" t="s">
        <v>182</v>
      </c>
      <c r="G17" s="253" t="s">
        <v>125</v>
      </c>
      <c r="H17" s="246" t="s">
        <v>110</v>
      </c>
      <c r="I17" s="246" t="s">
        <v>142</v>
      </c>
      <c r="J17" s="246" t="s">
        <v>47</v>
      </c>
      <c r="K17" s="256" t="s">
        <v>49</v>
      </c>
      <c r="L17" s="250" t="s">
        <v>18</v>
      </c>
      <c r="M17" s="90">
        <v>2</v>
      </c>
      <c r="N17" s="251">
        <v>0.67</v>
      </c>
      <c r="O17" s="90">
        <v>2.67</v>
      </c>
      <c r="P17" s="93">
        <v>115.64829973482435</v>
      </c>
      <c r="Q17" s="93">
        <v>38.74218041116616</v>
      </c>
      <c r="R17" s="93">
        <v>350.04166038999676</v>
      </c>
      <c r="S17" s="104">
        <v>117.26395623064893</v>
      </c>
      <c r="T17" s="254" t="s">
        <v>18</v>
      </c>
      <c r="U17" s="97">
        <v>2</v>
      </c>
      <c r="V17" s="251">
        <v>0.67</v>
      </c>
      <c r="W17" s="97">
        <v>2.67</v>
      </c>
      <c r="X17" s="93">
        <v>115.64829973482435</v>
      </c>
      <c r="Y17" s="93">
        <v>38.74218041116616</v>
      </c>
      <c r="Z17" s="93">
        <v>350.04166038999676</v>
      </c>
      <c r="AA17" s="104">
        <v>117.26395623064893</v>
      </c>
      <c r="AB17" s="250" t="s">
        <v>107</v>
      </c>
      <c r="AC17" s="97">
        <v>0</v>
      </c>
      <c r="AD17" s="252">
        <v>0</v>
      </c>
      <c r="AE17" s="97">
        <v>0</v>
      </c>
      <c r="AF17" s="93">
        <v>0</v>
      </c>
      <c r="AG17" s="93">
        <v>0</v>
      </c>
      <c r="AH17" s="93">
        <v>0</v>
      </c>
      <c r="AI17" s="93">
        <v>0</v>
      </c>
      <c r="AJ17" s="247" t="s">
        <v>49</v>
      </c>
      <c r="AK17" s="246"/>
      <c r="AL17" s="93">
        <v>0</v>
      </c>
      <c r="AM17" s="93">
        <v>0</v>
      </c>
      <c r="AN17" s="254" t="s">
        <v>0</v>
      </c>
      <c r="AO17" s="246">
        <v>0</v>
      </c>
      <c r="AP17" s="92">
        <v>0</v>
      </c>
      <c r="AQ17" s="282">
        <v>0</v>
      </c>
      <c r="AR17" s="93">
        <v>0</v>
      </c>
      <c r="AS17" s="104">
        <v>0</v>
      </c>
      <c r="AT17" s="245">
        <v>1</v>
      </c>
      <c r="AU17" s="260">
        <v>0</v>
      </c>
      <c r="AV17" s="93">
        <v>308.78096029198105</v>
      </c>
      <c r="AW17" s="104">
        <v>934.61123324129142</v>
      </c>
      <c r="AX17" s="93">
        <v>308.78096029198105</v>
      </c>
      <c r="AY17" s="243">
        <v>934.61123324129142</v>
      </c>
    </row>
    <row r="18" spans="1:51" ht="45">
      <c r="A18" s="113" t="s">
        <v>813</v>
      </c>
      <c r="B18" s="90" t="s">
        <v>809</v>
      </c>
      <c r="C18" s="246" t="s">
        <v>11</v>
      </c>
      <c r="D18" s="253" t="s">
        <v>1414</v>
      </c>
      <c r="E18" s="246" t="s">
        <v>103</v>
      </c>
      <c r="F18" s="253" t="s">
        <v>126</v>
      </c>
      <c r="G18" s="253" t="s">
        <v>127</v>
      </c>
      <c r="H18" s="246" t="s">
        <v>109</v>
      </c>
      <c r="I18" s="246" t="s">
        <v>142</v>
      </c>
      <c r="J18" s="246" t="s">
        <v>47</v>
      </c>
      <c r="K18" s="256" t="s">
        <v>49</v>
      </c>
      <c r="L18" s="250" t="s">
        <v>18</v>
      </c>
      <c r="M18" s="90">
        <v>0.33</v>
      </c>
      <c r="N18" s="251">
        <v>0.25</v>
      </c>
      <c r="O18" s="90">
        <v>0.58000000000000007</v>
      </c>
      <c r="P18" s="93">
        <v>19.081969456246018</v>
      </c>
      <c r="Q18" s="93">
        <v>14.456037466853044</v>
      </c>
      <c r="R18" s="93">
        <v>57.75687396434946</v>
      </c>
      <c r="S18" s="104">
        <v>43.755207548749596</v>
      </c>
      <c r="T18" s="254" t="s">
        <v>107</v>
      </c>
      <c r="U18" s="97">
        <v>0</v>
      </c>
      <c r="V18" s="251">
        <v>0</v>
      </c>
      <c r="W18" s="97">
        <v>0</v>
      </c>
      <c r="X18" s="93">
        <v>0</v>
      </c>
      <c r="Y18" s="93">
        <v>0</v>
      </c>
      <c r="Z18" s="93">
        <v>0</v>
      </c>
      <c r="AA18" s="104">
        <v>0</v>
      </c>
      <c r="AB18" s="250" t="s">
        <v>107</v>
      </c>
      <c r="AC18" s="97">
        <v>0</v>
      </c>
      <c r="AD18" s="252">
        <v>0</v>
      </c>
      <c r="AE18" s="97">
        <v>0</v>
      </c>
      <c r="AF18" s="93">
        <v>0</v>
      </c>
      <c r="AG18" s="93">
        <v>0</v>
      </c>
      <c r="AH18" s="93">
        <v>0</v>
      </c>
      <c r="AI18" s="93">
        <v>0</v>
      </c>
      <c r="AJ18" s="247" t="s">
        <v>49</v>
      </c>
      <c r="AK18" s="246"/>
      <c r="AL18" s="93">
        <v>0</v>
      </c>
      <c r="AM18" s="93">
        <v>0</v>
      </c>
      <c r="AN18" s="254" t="s">
        <v>0</v>
      </c>
      <c r="AO18" s="246">
        <v>0</v>
      </c>
      <c r="AP18" s="92">
        <v>0</v>
      </c>
      <c r="AQ18" s="282">
        <v>0</v>
      </c>
      <c r="AR18" s="93">
        <v>0</v>
      </c>
      <c r="AS18" s="104">
        <v>0</v>
      </c>
      <c r="AT18" s="245">
        <v>1</v>
      </c>
      <c r="AU18" s="260">
        <v>0</v>
      </c>
      <c r="AV18" s="93">
        <v>33.538006923099061</v>
      </c>
      <c r="AW18" s="104">
        <v>101.51208151309905</v>
      </c>
      <c r="AX18" s="93">
        <v>33.538006923099061</v>
      </c>
      <c r="AY18" s="243">
        <v>101.51208151309905</v>
      </c>
    </row>
    <row r="19" spans="1:51" ht="45">
      <c r="A19" s="113" t="s">
        <v>814</v>
      </c>
      <c r="B19" s="90" t="s">
        <v>810</v>
      </c>
      <c r="C19" s="246" t="s">
        <v>11</v>
      </c>
      <c r="D19" s="253" t="s">
        <v>1414</v>
      </c>
      <c r="E19" s="246" t="s">
        <v>103</v>
      </c>
      <c r="F19" s="253" t="s">
        <v>126</v>
      </c>
      <c r="G19" s="253" t="s">
        <v>127</v>
      </c>
      <c r="H19" s="246" t="s">
        <v>42</v>
      </c>
      <c r="I19" s="246" t="s">
        <v>142</v>
      </c>
      <c r="J19" s="246" t="s">
        <v>47</v>
      </c>
      <c r="K19" s="256" t="s">
        <v>49</v>
      </c>
      <c r="L19" s="250" t="s">
        <v>18</v>
      </c>
      <c r="M19" s="90">
        <v>2</v>
      </c>
      <c r="N19" s="251">
        <v>0.25</v>
      </c>
      <c r="O19" s="90">
        <v>2.25</v>
      </c>
      <c r="P19" s="93">
        <v>115.64829973482435</v>
      </c>
      <c r="Q19" s="93">
        <v>14.456037466853044</v>
      </c>
      <c r="R19" s="93">
        <v>350.04166038999676</v>
      </c>
      <c r="S19" s="104">
        <v>43.755207548749596</v>
      </c>
      <c r="T19" s="254" t="s">
        <v>107</v>
      </c>
      <c r="U19" s="97">
        <v>0</v>
      </c>
      <c r="V19" s="251">
        <v>0</v>
      </c>
      <c r="W19" s="97">
        <v>0</v>
      </c>
      <c r="X19" s="93">
        <v>0</v>
      </c>
      <c r="Y19" s="93">
        <v>0</v>
      </c>
      <c r="Z19" s="93">
        <v>0</v>
      </c>
      <c r="AA19" s="104">
        <v>0</v>
      </c>
      <c r="AB19" s="250" t="s">
        <v>107</v>
      </c>
      <c r="AC19" s="97">
        <v>0</v>
      </c>
      <c r="AD19" s="252">
        <v>0</v>
      </c>
      <c r="AE19" s="97">
        <v>0</v>
      </c>
      <c r="AF19" s="93">
        <v>0</v>
      </c>
      <c r="AG19" s="93">
        <v>0</v>
      </c>
      <c r="AH19" s="93">
        <v>0</v>
      </c>
      <c r="AI19" s="93">
        <v>0</v>
      </c>
      <c r="AJ19" s="247" t="s">
        <v>49</v>
      </c>
      <c r="AK19" s="246"/>
      <c r="AL19" s="93">
        <v>0</v>
      </c>
      <c r="AM19" s="93">
        <v>0</v>
      </c>
      <c r="AN19" s="254" t="s">
        <v>0</v>
      </c>
      <c r="AO19" s="246">
        <v>0</v>
      </c>
      <c r="AP19" s="92">
        <v>0</v>
      </c>
      <c r="AQ19" s="282">
        <v>0</v>
      </c>
      <c r="AR19" s="93">
        <v>0</v>
      </c>
      <c r="AS19" s="104">
        <v>0</v>
      </c>
      <c r="AT19" s="245">
        <v>1</v>
      </c>
      <c r="AU19" s="260">
        <v>0</v>
      </c>
      <c r="AV19" s="93">
        <v>130.1043372016774</v>
      </c>
      <c r="AW19" s="104">
        <v>393.79686793874635</v>
      </c>
      <c r="AX19" s="93">
        <v>130.1043372016774</v>
      </c>
      <c r="AY19" s="243">
        <v>393.79686793874635</v>
      </c>
    </row>
    <row r="20" spans="1:51" ht="45">
      <c r="A20" s="113" t="s">
        <v>815</v>
      </c>
      <c r="B20" s="90" t="s">
        <v>811</v>
      </c>
      <c r="C20" s="246" t="s">
        <v>11</v>
      </c>
      <c r="D20" s="253" t="s">
        <v>1414</v>
      </c>
      <c r="E20" s="246" t="s">
        <v>103</v>
      </c>
      <c r="F20" s="253" t="s">
        <v>126</v>
      </c>
      <c r="G20" s="253" t="s">
        <v>122</v>
      </c>
      <c r="H20" s="246" t="s">
        <v>109</v>
      </c>
      <c r="I20" s="246" t="s">
        <v>142</v>
      </c>
      <c r="J20" s="246" t="s">
        <v>113</v>
      </c>
      <c r="K20" s="256" t="s">
        <v>49</v>
      </c>
      <c r="L20" s="250" t="s">
        <v>18</v>
      </c>
      <c r="M20" s="90">
        <v>0.33</v>
      </c>
      <c r="N20" s="251">
        <v>0.25</v>
      </c>
      <c r="O20" s="90">
        <v>0.58000000000000007</v>
      </c>
      <c r="P20" s="93">
        <v>25.084366852241615</v>
      </c>
      <c r="Q20" s="93">
        <v>19.003308221395162</v>
      </c>
      <c r="R20" s="93">
        <v>75.924794769346875</v>
      </c>
      <c r="S20" s="104">
        <v>57.51878391617187</v>
      </c>
      <c r="T20" s="254" t="s">
        <v>107</v>
      </c>
      <c r="U20" s="97">
        <v>0</v>
      </c>
      <c r="V20" s="251">
        <v>0</v>
      </c>
      <c r="W20" s="97">
        <v>0</v>
      </c>
      <c r="X20" s="93">
        <v>0</v>
      </c>
      <c r="Y20" s="93">
        <v>0</v>
      </c>
      <c r="Z20" s="93">
        <v>0</v>
      </c>
      <c r="AA20" s="104">
        <v>0</v>
      </c>
      <c r="AB20" s="250" t="s">
        <v>107</v>
      </c>
      <c r="AC20" s="97">
        <v>0</v>
      </c>
      <c r="AD20" s="252">
        <v>0</v>
      </c>
      <c r="AE20" s="97">
        <v>0</v>
      </c>
      <c r="AF20" s="93">
        <v>0</v>
      </c>
      <c r="AG20" s="93">
        <v>0</v>
      </c>
      <c r="AH20" s="93">
        <v>0</v>
      </c>
      <c r="AI20" s="93">
        <v>0</v>
      </c>
      <c r="AJ20" s="247" t="s">
        <v>49</v>
      </c>
      <c r="AK20" s="246"/>
      <c r="AL20" s="93">
        <v>0</v>
      </c>
      <c r="AM20" s="93">
        <v>0</v>
      </c>
      <c r="AN20" s="254" t="s">
        <v>0</v>
      </c>
      <c r="AO20" s="246">
        <v>0</v>
      </c>
      <c r="AP20" s="92">
        <v>0</v>
      </c>
      <c r="AQ20" s="282">
        <v>0</v>
      </c>
      <c r="AR20" s="93">
        <v>0</v>
      </c>
      <c r="AS20" s="104">
        <v>0</v>
      </c>
      <c r="AT20" s="245">
        <v>1</v>
      </c>
      <c r="AU20" s="260">
        <v>0</v>
      </c>
      <c r="AV20" s="93">
        <v>44.087675073636774</v>
      </c>
      <c r="AW20" s="104">
        <v>133.44357868551873</v>
      </c>
      <c r="AX20" s="93">
        <v>44.087675073636774</v>
      </c>
      <c r="AY20" s="243">
        <v>133.44357868551873</v>
      </c>
    </row>
    <row r="21" spans="1:51" ht="45">
      <c r="A21" s="113" t="s">
        <v>816</v>
      </c>
      <c r="B21" s="90" t="s">
        <v>812</v>
      </c>
      <c r="C21" s="246" t="s">
        <v>11</v>
      </c>
      <c r="D21" s="253" t="s">
        <v>1414</v>
      </c>
      <c r="E21" s="246" t="s">
        <v>103</v>
      </c>
      <c r="F21" s="253" t="s">
        <v>126</v>
      </c>
      <c r="G21" s="253" t="s">
        <v>122</v>
      </c>
      <c r="H21" s="246" t="s">
        <v>110</v>
      </c>
      <c r="I21" s="246" t="s">
        <v>142</v>
      </c>
      <c r="J21" s="246" t="s">
        <v>113</v>
      </c>
      <c r="K21" s="256" t="s">
        <v>49</v>
      </c>
      <c r="L21" s="250" t="s">
        <v>18</v>
      </c>
      <c r="M21" s="90">
        <v>2</v>
      </c>
      <c r="N21" s="251">
        <v>0.25</v>
      </c>
      <c r="O21" s="90">
        <v>2.25</v>
      </c>
      <c r="P21" s="93">
        <v>152.0264657711613</v>
      </c>
      <c r="Q21" s="93">
        <v>19.003308221395162</v>
      </c>
      <c r="R21" s="93">
        <v>460.15027132937496</v>
      </c>
      <c r="S21" s="104">
        <v>57.51878391617187</v>
      </c>
      <c r="T21" s="254" t="s">
        <v>107</v>
      </c>
      <c r="U21" s="97">
        <v>0</v>
      </c>
      <c r="V21" s="251">
        <v>0</v>
      </c>
      <c r="W21" s="97">
        <v>0</v>
      </c>
      <c r="X21" s="93">
        <v>0</v>
      </c>
      <c r="Y21" s="93">
        <v>0</v>
      </c>
      <c r="Z21" s="93">
        <v>0</v>
      </c>
      <c r="AA21" s="104">
        <v>0</v>
      </c>
      <c r="AB21" s="250" t="s">
        <v>107</v>
      </c>
      <c r="AC21" s="97">
        <v>0</v>
      </c>
      <c r="AD21" s="252">
        <v>0</v>
      </c>
      <c r="AE21" s="97">
        <v>0</v>
      </c>
      <c r="AF21" s="93">
        <v>0</v>
      </c>
      <c r="AG21" s="93">
        <v>0</v>
      </c>
      <c r="AH21" s="93">
        <v>0</v>
      </c>
      <c r="AI21" s="93">
        <v>0</v>
      </c>
      <c r="AJ21" s="247" t="s">
        <v>49</v>
      </c>
      <c r="AK21" s="246"/>
      <c r="AL21" s="93">
        <v>0</v>
      </c>
      <c r="AM21" s="93">
        <v>0</v>
      </c>
      <c r="AN21" s="254" t="s">
        <v>0</v>
      </c>
      <c r="AO21" s="246">
        <v>0</v>
      </c>
      <c r="AP21" s="92">
        <v>0</v>
      </c>
      <c r="AQ21" s="282">
        <v>0</v>
      </c>
      <c r="AR21" s="93">
        <v>0</v>
      </c>
      <c r="AS21" s="104">
        <v>0</v>
      </c>
      <c r="AT21" s="245">
        <v>1</v>
      </c>
      <c r="AU21" s="260">
        <v>0</v>
      </c>
      <c r="AV21" s="93">
        <v>171.02977399255647</v>
      </c>
      <c r="AW21" s="104">
        <v>517.66905524554682</v>
      </c>
      <c r="AX21" s="93">
        <v>171.02977399255647</v>
      </c>
      <c r="AY21" s="243">
        <v>517.66905524554682</v>
      </c>
    </row>
    <row r="22" spans="1:51" ht="45">
      <c r="A22" s="113" t="s">
        <v>819</v>
      </c>
      <c r="B22" s="90" t="s">
        <v>1192</v>
      </c>
      <c r="C22" s="246" t="s">
        <v>11</v>
      </c>
      <c r="D22" s="253" t="s">
        <v>1414</v>
      </c>
      <c r="E22" s="246" t="s">
        <v>103</v>
      </c>
      <c r="F22" s="253" t="s">
        <v>126</v>
      </c>
      <c r="G22" s="253" t="s">
        <v>1460</v>
      </c>
      <c r="H22" s="246" t="s">
        <v>109</v>
      </c>
      <c r="I22" s="246" t="s">
        <v>142</v>
      </c>
      <c r="J22" s="246" t="s">
        <v>47</v>
      </c>
      <c r="K22" s="256" t="s">
        <v>49</v>
      </c>
      <c r="L22" s="250" t="s">
        <v>18</v>
      </c>
      <c r="M22" s="90">
        <v>0.33</v>
      </c>
      <c r="N22" s="251">
        <v>0.25</v>
      </c>
      <c r="O22" s="92">
        <v>0.58000000000000007</v>
      </c>
      <c r="P22" s="93">
        <v>19.081969456246018</v>
      </c>
      <c r="Q22" s="93">
        <v>14.456037466853044</v>
      </c>
      <c r="R22" s="93">
        <v>57.75687396434946</v>
      </c>
      <c r="S22" s="104">
        <v>43.755207548749596</v>
      </c>
      <c r="T22" s="254" t="s">
        <v>18</v>
      </c>
      <c r="U22" s="97">
        <v>0.33</v>
      </c>
      <c r="V22" s="251">
        <v>0.25</v>
      </c>
      <c r="W22" s="97">
        <v>0.58000000000000007</v>
      </c>
      <c r="X22" s="93">
        <v>19.081969456246018</v>
      </c>
      <c r="Y22" s="93">
        <v>14.456037466853044</v>
      </c>
      <c r="Z22" s="93">
        <v>57.75687396434946</v>
      </c>
      <c r="AA22" s="104">
        <v>43.755207548749596</v>
      </c>
      <c r="AB22" s="250" t="s">
        <v>107</v>
      </c>
      <c r="AC22" s="97">
        <v>0</v>
      </c>
      <c r="AD22" s="252">
        <v>0</v>
      </c>
      <c r="AE22" s="97">
        <v>0</v>
      </c>
      <c r="AF22" s="93">
        <v>0</v>
      </c>
      <c r="AG22" s="93">
        <v>0</v>
      </c>
      <c r="AH22" s="93">
        <v>0</v>
      </c>
      <c r="AI22" s="93">
        <v>0</v>
      </c>
      <c r="AJ22" s="247" t="s">
        <v>49</v>
      </c>
      <c r="AK22" s="246"/>
      <c r="AL22" s="93">
        <v>0</v>
      </c>
      <c r="AM22" s="93">
        <v>0</v>
      </c>
      <c r="AN22" s="254" t="s">
        <v>0</v>
      </c>
      <c r="AO22" s="246">
        <v>0</v>
      </c>
      <c r="AP22" s="92">
        <v>0</v>
      </c>
      <c r="AQ22" s="282">
        <v>0</v>
      </c>
      <c r="AR22" s="93">
        <v>0</v>
      </c>
      <c r="AS22" s="104">
        <v>0</v>
      </c>
      <c r="AT22" s="245">
        <v>1</v>
      </c>
      <c r="AU22" s="260">
        <v>0</v>
      </c>
      <c r="AV22" s="93">
        <v>67.076013846198123</v>
      </c>
      <c r="AW22" s="104">
        <v>203.0241630261981</v>
      </c>
      <c r="AX22" s="93">
        <v>67.076013846198123</v>
      </c>
      <c r="AY22" s="243">
        <v>203.0241630261981</v>
      </c>
    </row>
    <row r="23" spans="1:51" ht="45">
      <c r="A23" s="113" t="s">
        <v>820</v>
      </c>
      <c r="B23" s="90" t="s">
        <v>1193</v>
      </c>
      <c r="C23" s="246" t="s">
        <v>11</v>
      </c>
      <c r="D23" s="253" t="s">
        <v>1414</v>
      </c>
      <c r="E23" s="246" t="s">
        <v>103</v>
      </c>
      <c r="F23" s="253" t="s">
        <v>126</v>
      </c>
      <c r="G23" s="253" t="s">
        <v>1460</v>
      </c>
      <c r="H23" s="246" t="s">
        <v>110</v>
      </c>
      <c r="I23" s="246" t="s">
        <v>142</v>
      </c>
      <c r="J23" s="246" t="s">
        <v>47</v>
      </c>
      <c r="K23" s="256" t="s">
        <v>49</v>
      </c>
      <c r="L23" s="250" t="s">
        <v>18</v>
      </c>
      <c r="M23" s="90">
        <v>2</v>
      </c>
      <c r="N23" s="251">
        <v>0.25</v>
      </c>
      <c r="O23" s="92">
        <v>2.25</v>
      </c>
      <c r="P23" s="93">
        <v>115.64829973482435</v>
      </c>
      <c r="Q23" s="93">
        <v>14.456037466853044</v>
      </c>
      <c r="R23" s="93">
        <v>350.04166038999676</v>
      </c>
      <c r="S23" s="104">
        <v>43.755207548749596</v>
      </c>
      <c r="T23" s="254" t="s">
        <v>18</v>
      </c>
      <c r="U23" s="97">
        <v>2</v>
      </c>
      <c r="V23" s="251">
        <v>0.25</v>
      </c>
      <c r="W23" s="97">
        <v>2.25</v>
      </c>
      <c r="X23" s="93">
        <v>115.64829973482435</v>
      </c>
      <c r="Y23" s="93">
        <v>14.456037466853044</v>
      </c>
      <c r="Z23" s="93">
        <v>350.04166038999676</v>
      </c>
      <c r="AA23" s="104">
        <v>43.755207548749596</v>
      </c>
      <c r="AB23" s="250" t="s">
        <v>107</v>
      </c>
      <c r="AC23" s="97">
        <v>0</v>
      </c>
      <c r="AD23" s="252">
        <v>0</v>
      </c>
      <c r="AE23" s="97">
        <v>0</v>
      </c>
      <c r="AF23" s="93">
        <v>0</v>
      </c>
      <c r="AG23" s="93">
        <v>0</v>
      </c>
      <c r="AH23" s="93">
        <v>0</v>
      </c>
      <c r="AI23" s="93">
        <v>0</v>
      </c>
      <c r="AJ23" s="247" t="s">
        <v>49</v>
      </c>
      <c r="AK23" s="246"/>
      <c r="AL23" s="93">
        <v>0</v>
      </c>
      <c r="AM23" s="93">
        <v>0</v>
      </c>
      <c r="AN23" s="254" t="s">
        <v>0</v>
      </c>
      <c r="AO23" s="246">
        <v>0</v>
      </c>
      <c r="AP23" s="92">
        <v>0</v>
      </c>
      <c r="AQ23" s="282">
        <v>0</v>
      </c>
      <c r="AR23" s="93">
        <v>0</v>
      </c>
      <c r="AS23" s="104">
        <v>0</v>
      </c>
      <c r="AT23" s="245">
        <v>1</v>
      </c>
      <c r="AU23" s="260">
        <v>0</v>
      </c>
      <c r="AV23" s="93">
        <v>260.20867440335479</v>
      </c>
      <c r="AW23" s="104">
        <v>787.59373587749269</v>
      </c>
      <c r="AX23" s="93">
        <v>260.20867440335479</v>
      </c>
      <c r="AY23" s="243">
        <v>787.59373587749269</v>
      </c>
    </row>
    <row r="24" spans="1:51" ht="45">
      <c r="A24" s="113" t="s">
        <v>823</v>
      </c>
      <c r="B24" s="90" t="s">
        <v>817</v>
      </c>
      <c r="C24" s="246" t="s">
        <v>11</v>
      </c>
      <c r="D24" s="253" t="s">
        <v>1414</v>
      </c>
      <c r="E24" s="246" t="s">
        <v>103</v>
      </c>
      <c r="F24" s="253" t="s">
        <v>183</v>
      </c>
      <c r="G24" s="253" t="s">
        <v>127</v>
      </c>
      <c r="H24" s="246" t="s">
        <v>1298</v>
      </c>
      <c r="I24" s="246" t="s">
        <v>49</v>
      </c>
      <c r="J24" s="246" t="s">
        <v>47</v>
      </c>
      <c r="K24" s="256" t="s">
        <v>49</v>
      </c>
      <c r="L24" s="250" t="s">
        <v>21</v>
      </c>
      <c r="M24" s="90">
        <v>0</v>
      </c>
      <c r="N24" s="251">
        <v>0.5</v>
      </c>
      <c r="O24" s="92">
        <v>0.5</v>
      </c>
      <c r="P24" s="93">
        <v>0</v>
      </c>
      <c r="Q24" s="93">
        <v>31.315809338014457</v>
      </c>
      <c r="R24" s="93">
        <v>0</v>
      </c>
      <c r="S24" s="104">
        <v>94.785984076463563</v>
      </c>
      <c r="T24" s="254" t="s">
        <v>107</v>
      </c>
      <c r="U24" s="97">
        <v>0</v>
      </c>
      <c r="V24" s="252">
        <v>0</v>
      </c>
      <c r="W24" s="97">
        <v>0</v>
      </c>
      <c r="X24" s="93">
        <v>0</v>
      </c>
      <c r="Y24" s="93">
        <v>0</v>
      </c>
      <c r="Z24" s="93">
        <v>0</v>
      </c>
      <c r="AA24" s="104">
        <v>0</v>
      </c>
      <c r="AB24" s="250" t="s">
        <v>107</v>
      </c>
      <c r="AC24" s="97">
        <v>0</v>
      </c>
      <c r="AD24" s="252">
        <v>0</v>
      </c>
      <c r="AE24" s="97">
        <v>0</v>
      </c>
      <c r="AF24" s="93">
        <v>0</v>
      </c>
      <c r="AG24" s="93">
        <v>0</v>
      </c>
      <c r="AH24" s="93">
        <v>0</v>
      </c>
      <c r="AI24" s="93">
        <v>0</v>
      </c>
      <c r="AJ24" s="247" t="s">
        <v>49</v>
      </c>
      <c r="AK24" s="246"/>
      <c r="AL24" s="93">
        <v>0</v>
      </c>
      <c r="AM24" s="93">
        <v>0</v>
      </c>
      <c r="AN24" s="254" t="s">
        <v>0</v>
      </c>
      <c r="AO24" s="246">
        <v>0</v>
      </c>
      <c r="AP24" s="92">
        <v>0</v>
      </c>
      <c r="AQ24" s="282">
        <v>0</v>
      </c>
      <c r="AR24" s="93">
        <v>0</v>
      </c>
      <c r="AS24" s="104">
        <v>0</v>
      </c>
      <c r="AT24" s="245">
        <v>1</v>
      </c>
      <c r="AU24" s="260">
        <v>0</v>
      </c>
      <c r="AV24" s="93">
        <v>31.315809338014457</v>
      </c>
      <c r="AW24" s="104">
        <v>94.785984076463563</v>
      </c>
      <c r="AX24" s="93">
        <v>31.315809338014457</v>
      </c>
      <c r="AY24" s="243">
        <v>94.785984076463563</v>
      </c>
    </row>
    <row r="25" spans="1:51" ht="45">
      <c r="A25" s="113" t="s">
        <v>824</v>
      </c>
      <c r="B25" s="90" t="s">
        <v>818</v>
      </c>
      <c r="C25" s="246" t="s">
        <v>11</v>
      </c>
      <c r="D25" s="253" t="s">
        <v>1414</v>
      </c>
      <c r="E25" s="246" t="s">
        <v>103</v>
      </c>
      <c r="F25" s="253" t="s">
        <v>183</v>
      </c>
      <c r="G25" s="253" t="s">
        <v>122</v>
      </c>
      <c r="H25" s="246" t="s">
        <v>1298</v>
      </c>
      <c r="I25" s="246" t="s">
        <v>49</v>
      </c>
      <c r="J25" s="246" t="s">
        <v>113</v>
      </c>
      <c r="K25" s="256" t="s">
        <v>49</v>
      </c>
      <c r="L25" s="250" t="s">
        <v>21</v>
      </c>
      <c r="M25" s="90">
        <v>0</v>
      </c>
      <c r="N25" s="251">
        <v>0.5</v>
      </c>
      <c r="O25" s="92">
        <v>0.5</v>
      </c>
      <c r="P25" s="93">
        <v>0</v>
      </c>
      <c r="Q25" s="93">
        <v>39.42620038406816</v>
      </c>
      <c r="R25" s="93">
        <v>0</v>
      </c>
      <c r="S25" s="104">
        <v>119.33433242816804</v>
      </c>
      <c r="T25" s="254" t="s">
        <v>107</v>
      </c>
      <c r="U25" s="97">
        <v>0</v>
      </c>
      <c r="V25" s="252">
        <v>0</v>
      </c>
      <c r="W25" s="97">
        <v>0</v>
      </c>
      <c r="X25" s="93">
        <v>0</v>
      </c>
      <c r="Y25" s="93">
        <v>0</v>
      </c>
      <c r="Z25" s="93">
        <v>0</v>
      </c>
      <c r="AA25" s="104">
        <v>0</v>
      </c>
      <c r="AB25" s="250" t="s">
        <v>107</v>
      </c>
      <c r="AC25" s="97">
        <v>0</v>
      </c>
      <c r="AD25" s="252">
        <v>0</v>
      </c>
      <c r="AE25" s="97">
        <v>0</v>
      </c>
      <c r="AF25" s="93">
        <v>0</v>
      </c>
      <c r="AG25" s="93">
        <v>0</v>
      </c>
      <c r="AH25" s="93">
        <v>0</v>
      </c>
      <c r="AI25" s="93">
        <v>0</v>
      </c>
      <c r="AJ25" s="247" t="s">
        <v>49</v>
      </c>
      <c r="AK25" s="246"/>
      <c r="AL25" s="93">
        <v>0</v>
      </c>
      <c r="AM25" s="93">
        <v>0</v>
      </c>
      <c r="AN25" s="254" t="s">
        <v>0</v>
      </c>
      <c r="AO25" s="246">
        <v>0</v>
      </c>
      <c r="AP25" s="92">
        <v>0</v>
      </c>
      <c r="AQ25" s="282">
        <v>0</v>
      </c>
      <c r="AR25" s="93">
        <v>0</v>
      </c>
      <c r="AS25" s="104">
        <v>0</v>
      </c>
      <c r="AT25" s="245">
        <v>1</v>
      </c>
      <c r="AU25" s="260">
        <v>0</v>
      </c>
      <c r="AV25" s="93">
        <v>39.42620038406816</v>
      </c>
      <c r="AW25" s="104">
        <v>119.33433242816804</v>
      </c>
      <c r="AX25" s="93">
        <v>39.42620038406816</v>
      </c>
      <c r="AY25" s="243">
        <v>119.33433242816804</v>
      </c>
    </row>
    <row r="26" spans="1:51" ht="45">
      <c r="A26" s="113" t="s">
        <v>825</v>
      </c>
      <c r="B26" s="90" t="s">
        <v>1194</v>
      </c>
      <c r="C26" s="246" t="s">
        <v>11</v>
      </c>
      <c r="D26" s="253" t="s">
        <v>1414</v>
      </c>
      <c r="E26" s="246" t="s">
        <v>103</v>
      </c>
      <c r="F26" s="253" t="s">
        <v>129</v>
      </c>
      <c r="G26" s="253" t="s">
        <v>127</v>
      </c>
      <c r="H26" s="246" t="s">
        <v>1298</v>
      </c>
      <c r="I26" s="246" t="s">
        <v>49</v>
      </c>
      <c r="J26" s="246" t="s">
        <v>47</v>
      </c>
      <c r="K26" s="256" t="s">
        <v>49</v>
      </c>
      <c r="L26" s="250" t="s">
        <v>21</v>
      </c>
      <c r="M26" s="90">
        <v>0</v>
      </c>
      <c r="N26" s="251">
        <v>0.5</v>
      </c>
      <c r="O26" s="92">
        <v>0.5</v>
      </c>
      <c r="P26" s="93">
        <v>0</v>
      </c>
      <c r="Q26" s="93">
        <v>31.315809338014457</v>
      </c>
      <c r="R26" s="93">
        <v>0</v>
      </c>
      <c r="S26" s="104">
        <v>94.785984076463563</v>
      </c>
      <c r="T26" s="254" t="s">
        <v>107</v>
      </c>
      <c r="U26" s="97">
        <v>0</v>
      </c>
      <c r="V26" s="252">
        <v>0</v>
      </c>
      <c r="W26" s="97">
        <v>0</v>
      </c>
      <c r="X26" s="93">
        <v>0</v>
      </c>
      <c r="Y26" s="93">
        <v>0</v>
      </c>
      <c r="Z26" s="93">
        <v>0</v>
      </c>
      <c r="AA26" s="104">
        <v>0</v>
      </c>
      <c r="AB26" s="250" t="s">
        <v>107</v>
      </c>
      <c r="AC26" s="97">
        <v>0</v>
      </c>
      <c r="AD26" s="252">
        <v>0</v>
      </c>
      <c r="AE26" s="97">
        <v>0</v>
      </c>
      <c r="AF26" s="93">
        <v>0</v>
      </c>
      <c r="AG26" s="93">
        <v>0</v>
      </c>
      <c r="AH26" s="93">
        <v>0</v>
      </c>
      <c r="AI26" s="93">
        <v>0</v>
      </c>
      <c r="AJ26" s="247" t="s">
        <v>49</v>
      </c>
      <c r="AK26" s="246"/>
      <c r="AL26" s="93">
        <v>0</v>
      </c>
      <c r="AM26" s="93">
        <v>0</v>
      </c>
      <c r="AN26" s="254" t="s">
        <v>0</v>
      </c>
      <c r="AO26" s="246">
        <v>0</v>
      </c>
      <c r="AP26" s="92">
        <v>0</v>
      </c>
      <c r="AQ26" s="282">
        <v>0</v>
      </c>
      <c r="AR26" s="93">
        <v>0</v>
      </c>
      <c r="AS26" s="104">
        <v>0</v>
      </c>
      <c r="AT26" s="245">
        <v>1</v>
      </c>
      <c r="AU26" s="260">
        <v>0</v>
      </c>
      <c r="AV26" s="93">
        <v>31.315809338014457</v>
      </c>
      <c r="AW26" s="104">
        <v>94.785984076463563</v>
      </c>
      <c r="AX26" s="93">
        <v>31.315809338014457</v>
      </c>
      <c r="AY26" s="243">
        <v>94.785984076463563</v>
      </c>
    </row>
    <row r="27" spans="1:51" ht="45">
      <c r="A27" s="113" t="s">
        <v>826</v>
      </c>
      <c r="B27" s="90" t="s">
        <v>1195</v>
      </c>
      <c r="C27" s="246" t="s">
        <v>11</v>
      </c>
      <c r="D27" s="253" t="s">
        <v>1414</v>
      </c>
      <c r="E27" s="246" t="s">
        <v>103</v>
      </c>
      <c r="F27" s="253" t="s">
        <v>129</v>
      </c>
      <c r="G27" s="253" t="s">
        <v>122</v>
      </c>
      <c r="H27" s="246" t="s">
        <v>1298</v>
      </c>
      <c r="I27" s="246" t="s">
        <v>49</v>
      </c>
      <c r="J27" s="246" t="s">
        <v>113</v>
      </c>
      <c r="K27" s="256" t="s">
        <v>49</v>
      </c>
      <c r="L27" s="250" t="s">
        <v>21</v>
      </c>
      <c r="M27" s="90">
        <v>0</v>
      </c>
      <c r="N27" s="251">
        <v>0.5</v>
      </c>
      <c r="O27" s="92">
        <v>0.5</v>
      </c>
      <c r="P27" s="93">
        <v>0</v>
      </c>
      <c r="Q27" s="93">
        <v>39.42620038406816</v>
      </c>
      <c r="R27" s="93">
        <v>0</v>
      </c>
      <c r="S27" s="104">
        <v>119.33433242816804</v>
      </c>
      <c r="T27" s="254" t="s">
        <v>107</v>
      </c>
      <c r="U27" s="97">
        <v>0</v>
      </c>
      <c r="V27" s="252">
        <v>0</v>
      </c>
      <c r="W27" s="97">
        <v>0</v>
      </c>
      <c r="X27" s="93">
        <v>0</v>
      </c>
      <c r="Y27" s="93">
        <v>0</v>
      </c>
      <c r="Z27" s="93">
        <v>0</v>
      </c>
      <c r="AA27" s="104">
        <v>0</v>
      </c>
      <c r="AB27" s="250" t="s">
        <v>107</v>
      </c>
      <c r="AC27" s="97">
        <v>0</v>
      </c>
      <c r="AD27" s="252">
        <v>0</v>
      </c>
      <c r="AE27" s="97">
        <v>0</v>
      </c>
      <c r="AF27" s="93">
        <v>0</v>
      </c>
      <c r="AG27" s="93">
        <v>0</v>
      </c>
      <c r="AH27" s="93">
        <v>0</v>
      </c>
      <c r="AI27" s="93">
        <v>0</v>
      </c>
      <c r="AJ27" s="247" t="s">
        <v>49</v>
      </c>
      <c r="AK27" s="246"/>
      <c r="AL27" s="93">
        <v>0</v>
      </c>
      <c r="AM27" s="93">
        <v>0</v>
      </c>
      <c r="AN27" s="254" t="s">
        <v>0</v>
      </c>
      <c r="AO27" s="246">
        <v>0</v>
      </c>
      <c r="AP27" s="92">
        <v>0</v>
      </c>
      <c r="AQ27" s="282">
        <v>0</v>
      </c>
      <c r="AR27" s="93">
        <v>0</v>
      </c>
      <c r="AS27" s="104">
        <v>0</v>
      </c>
      <c r="AT27" s="245">
        <v>1</v>
      </c>
      <c r="AU27" s="260">
        <v>0</v>
      </c>
      <c r="AV27" s="93">
        <v>39.42620038406816</v>
      </c>
      <c r="AW27" s="104">
        <v>119.33433242816804</v>
      </c>
      <c r="AX27" s="93">
        <v>39.42620038406816</v>
      </c>
      <c r="AY27" s="243">
        <v>119.33433242816804</v>
      </c>
    </row>
    <row r="28" spans="1:51" ht="46.5" customHeight="1">
      <c r="A28" s="113" t="s">
        <v>827</v>
      </c>
      <c r="B28" s="90" t="s">
        <v>819</v>
      </c>
      <c r="C28" s="246" t="s">
        <v>11</v>
      </c>
      <c r="D28" s="253" t="s">
        <v>1414</v>
      </c>
      <c r="E28" s="246" t="s">
        <v>117</v>
      </c>
      <c r="F28" s="253" t="s">
        <v>389</v>
      </c>
      <c r="G28" s="253" t="s">
        <v>105</v>
      </c>
      <c r="H28" s="246" t="s">
        <v>109</v>
      </c>
      <c r="I28" s="246" t="s">
        <v>142</v>
      </c>
      <c r="J28" s="246" t="s">
        <v>47</v>
      </c>
      <c r="K28" s="256" t="s">
        <v>49</v>
      </c>
      <c r="L28" s="250" t="s">
        <v>18</v>
      </c>
      <c r="M28" s="90">
        <v>0.33</v>
      </c>
      <c r="N28" s="251">
        <v>0.25</v>
      </c>
      <c r="O28" s="90">
        <v>0.58000000000000007</v>
      </c>
      <c r="P28" s="93">
        <v>19.081969456246018</v>
      </c>
      <c r="Q28" s="93">
        <v>14.456037466853044</v>
      </c>
      <c r="R28" s="93">
        <v>57.75687396434946</v>
      </c>
      <c r="S28" s="104">
        <v>43.755207548749596</v>
      </c>
      <c r="T28" s="250" t="s">
        <v>18</v>
      </c>
      <c r="U28" s="97">
        <v>0.33</v>
      </c>
      <c r="V28" s="251">
        <v>0.25</v>
      </c>
      <c r="W28" s="97">
        <v>0.58000000000000007</v>
      </c>
      <c r="X28" s="93">
        <v>19.081969456246018</v>
      </c>
      <c r="Y28" s="93">
        <v>14.456037466853044</v>
      </c>
      <c r="Z28" s="93">
        <v>57.75687396434946</v>
      </c>
      <c r="AA28" s="104">
        <v>43.755207548749596</v>
      </c>
      <c r="AB28" s="250" t="s">
        <v>107</v>
      </c>
      <c r="AC28" s="97">
        <v>0</v>
      </c>
      <c r="AD28" s="252">
        <v>0</v>
      </c>
      <c r="AE28" s="97">
        <v>0</v>
      </c>
      <c r="AF28" s="93">
        <v>0</v>
      </c>
      <c r="AG28" s="93">
        <v>0</v>
      </c>
      <c r="AH28" s="93">
        <v>0</v>
      </c>
      <c r="AI28" s="93">
        <v>0</v>
      </c>
      <c r="AJ28" s="247" t="s">
        <v>49</v>
      </c>
      <c r="AK28" s="246"/>
      <c r="AL28" s="93">
        <v>0</v>
      </c>
      <c r="AM28" s="93">
        <v>0</v>
      </c>
      <c r="AN28" s="254" t="s">
        <v>0</v>
      </c>
      <c r="AO28" s="246">
        <v>0</v>
      </c>
      <c r="AP28" s="92">
        <v>0</v>
      </c>
      <c r="AQ28" s="282">
        <v>0</v>
      </c>
      <c r="AR28" s="93">
        <v>0</v>
      </c>
      <c r="AS28" s="104">
        <v>0</v>
      </c>
      <c r="AT28" s="245">
        <v>1</v>
      </c>
      <c r="AU28" s="260">
        <v>0</v>
      </c>
      <c r="AV28" s="93">
        <v>67.076013846198123</v>
      </c>
      <c r="AW28" s="104">
        <v>203.0241630261981</v>
      </c>
      <c r="AX28" s="93">
        <v>67.076013846198123</v>
      </c>
      <c r="AY28" s="243">
        <v>203.0241630261981</v>
      </c>
    </row>
    <row r="29" spans="1:51" ht="48" customHeight="1">
      <c r="A29" s="113" t="s">
        <v>828</v>
      </c>
      <c r="B29" s="90" t="s">
        <v>820</v>
      </c>
      <c r="C29" s="246" t="s">
        <v>11</v>
      </c>
      <c r="D29" s="253" t="s">
        <v>1414</v>
      </c>
      <c r="E29" s="246" t="s">
        <v>117</v>
      </c>
      <c r="F29" s="253" t="s">
        <v>389</v>
      </c>
      <c r="G29" s="253" t="s">
        <v>105</v>
      </c>
      <c r="H29" s="246" t="s">
        <v>110</v>
      </c>
      <c r="I29" s="246" t="s">
        <v>142</v>
      </c>
      <c r="J29" s="246" t="s">
        <v>47</v>
      </c>
      <c r="K29" s="256" t="s">
        <v>49</v>
      </c>
      <c r="L29" s="250" t="s">
        <v>18</v>
      </c>
      <c r="M29" s="90">
        <v>2</v>
      </c>
      <c r="N29" s="251">
        <v>0.25</v>
      </c>
      <c r="O29" s="90">
        <v>2.25</v>
      </c>
      <c r="P29" s="93">
        <v>115.64829973482435</v>
      </c>
      <c r="Q29" s="93">
        <v>14.456037466853044</v>
      </c>
      <c r="R29" s="93">
        <v>350.04166038999676</v>
      </c>
      <c r="S29" s="104">
        <v>43.755207548749596</v>
      </c>
      <c r="T29" s="250" t="s">
        <v>18</v>
      </c>
      <c r="U29" s="97">
        <v>2</v>
      </c>
      <c r="V29" s="251">
        <v>0.25</v>
      </c>
      <c r="W29" s="97">
        <v>2.25</v>
      </c>
      <c r="X29" s="93">
        <v>115.64829973482435</v>
      </c>
      <c r="Y29" s="93">
        <v>14.456037466853044</v>
      </c>
      <c r="Z29" s="93">
        <v>350.04166038999676</v>
      </c>
      <c r="AA29" s="104">
        <v>43.755207548749596</v>
      </c>
      <c r="AB29" s="250" t="s">
        <v>107</v>
      </c>
      <c r="AC29" s="97">
        <v>0</v>
      </c>
      <c r="AD29" s="252">
        <v>0</v>
      </c>
      <c r="AE29" s="97">
        <v>0</v>
      </c>
      <c r="AF29" s="93">
        <v>0</v>
      </c>
      <c r="AG29" s="93">
        <v>0</v>
      </c>
      <c r="AH29" s="93">
        <v>0</v>
      </c>
      <c r="AI29" s="93">
        <v>0</v>
      </c>
      <c r="AJ29" s="247" t="s">
        <v>49</v>
      </c>
      <c r="AK29" s="246"/>
      <c r="AL29" s="93">
        <v>0</v>
      </c>
      <c r="AM29" s="93">
        <v>0</v>
      </c>
      <c r="AN29" s="254" t="s">
        <v>0</v>
      </c>
      <c r="AO29" s="246">
        <v>0</v>
      </c>
      <c r="AP29" s="92">
        <v>0</v>
      </c>
      <c r="AQ29" s="282">
        <v>0</v>
      </c>
      <c r="AR29" s="93">
        <v>0</v>
      </c>
      <c r="AS29" s="104">
        <v>0</v>
      </c>
      <c r="AT29" s="245">
        <v>1</v>
      </c>
      <c r="AU29" s="260">
        <v>0</v>
      </c>
      <c r="AV29" s="93">
        <v>260.20867440335479</v>
      </c>
      <c r="AW29" s="104">
        <v>787.59373587749269</v>
      </c>
      <c r="AX29" s="93">
        <v>260.20867440335479</v>
      </c>
      <c r="AY29" s="243">
        <v>787.59373587749269</v>
      </c>
    </row>
    <row r="30" spans="1:51" ht="45">
      <c r="A30" s="113" t="s">
        <v>829</v>
      </c>
      <c r="B30" s="90" t="s">
        <v>821</v>
      </c>
      <c r="C30" s="246" t="s">
        <v>11</v>
      </c>
      <c r="D30" s="253" t="s">
        <v>1414</v>
      </c>
      <c r="E30" s="246" t="s">
        <v>117</v>
      </c>
      <c r="F30" s="253" t="s">
        <v>389</v>
      </c>
      <c r="G30" s="253" t="s">
        <v>111</v>
      </c>
      <c r="H30" s="246" t="s">
        <v>109</v>
      </c>
      <c r="I30" s="246" t="s">
        <v>142</v>
      </c>
      <c r="J30" s="246" t="s">
        <v>47</v>
      </c>
      <c r="K30" s="256" t="s">
        <v>49</v>
      </c>
      <c r="L30" s="250" t="s">
        <v>18</v>
      </c>
      <c r="M30" s="90">
        <v>0.33</v>
      </c>
      <c r="N30" s="251">
        <v>0.41666666666666669</v>
      </c>
      <c r="O30" s="92">
        <v>0.7466666666666667</v>
      </c>
      <c r="P30" s="93">
        <v>19.081969456246018</v>
      </c>
      <c r="Q30" s="93">
        <v>24.093395778088407</v>
      </c>
      <c r="R30" s="93">
        <v>57.75687396434946</v>
      </c>
      <c r="S30" s="104">
        <v>72.925345914582664</v>
      </c>
      <c r="T30" s="250" t="s">
        <v>18</v>
      </c>
      <c r="U30" s="97">
        <v>0.33</v>
      </c>
      <c r="V30" s="251">
        <v>0.41666666666666669</v>
      </c>
      <c r="W30" s="97">
        <v>0.7466666666666667</v>
      </c>
      <c r="X30" s="93">
        <v>19.081969456246018</v>
      </c>
      <c r="Y30" s="93">
        <v>24.093395778088407</v>
      </c>
      <c r="Z30" s="93">
        <v>57.75687396434946</v>
      </c>
      <c r="AA30" s="104">
        <v>72.925345914582664</v>
      </c>
      <c r="AB30" s="250" t="s">
        <v>107</v>
      </c>
      <c r="AC30" s="97">
        <v>0</v>
      </c>
      <c r="AD30" s="252">
        <v>0</v>
      </c>
      <c r="AE30" s="97">
        <v>0</v>
      </c>
      <c r="AF30" s="93">
        <v>0</v>
      </c>
      <c r="AG30" s="93">
        <v>0</v>
      </c>
      <c r="AH30" s="93">
        <v>0</v>
      </c>
      <c r="AI30" s="93">
        <v>0</v>
      </c>
      <c r="AJ30" s="247" t="s">
        <v>49</v>
      </c>
      <c r="AK30" s="246"/>
      <c r="AL30" s="93">
        <v>0</v>
      </c>
      <c r="AM30" s="93">
        <v>0</v>
      </c>
      <c r="AN30" s="254" t="s">
        <v>0</v>
      </c>
      <c r="AO30" s="246">
        <v>0</v>
      </c>
      <c r="AP30" s="92">
        <v>0</v>
      </c>
      <c r="AQ30" s="282">
        <v>0</v>
      </c>
      <c r="AR30" s="93">
        <v>0</v>
      </c>
      <c r="AS30" s="104">
        <v>0</v>
      </c>
      <c r="AT30" s="245">
        <v>1</v>
      </c>
      <c r="AU30" s="260">
        <v>0</v>
      </c>
      <c r="AV30" s="93">
        <v>86.350730468668843</v>
      </c>
      <c r="AW30" s="104">
        <v>261.36443975786426</v>
      </c>
      <c r="AX30" s="93">
        <v>86.350730468668843</v>
      </c>
      <c r="AY30" s="243">
        <v>261.36443975786426</v>
      </c>
    </row>
    <row r="31" spans="1:51" ht="45">
      <c r="A31" s="113" t="s">
        <v>830</v>
      </c>
      <c r="B31" s="90" t="s">
        <v>822</v>
      </c>
      <c r="C31" s="246" t="s">
        <v>11</v>
      </c>
      <c r="D31" s="253" t="s">
        <v>1414</v>
      </c>
      <c r="E31" s="246" t="s">
        <v>117</v>
      </c>
      <c r="F31" s="253" t="s">
        <v>389</v>
      </c>
      <c r="G31" s="253" t="s">
        <v>111</v>
      </c>
      <c r="H31" s="246" t="s">
        <v>110</v>
      </c>
      <c r="I31" s="246" t="s">
        <v>142</v>
      </c>
      <c r="J31" s="246" t="s">
        <v>47</v>
      </c>
      <c r="K31" s="256" t="s">
        <v>49</v>
      </c>
      <c r="L31" s="250" t="s">
        <v>18</v>
      </c>
      <c r="M31" s="90">
        <v>2</v>
      </c>
      <c r="N31" s="251">
        <v>0.41666666666666669</v>
      </c>
      <c r="O31" s="92">
        <v>2.4166666666666665</v>
      </c>
      <c r="P31" s="93">
        <v>115.64829973482435</v>
      </c>
      <c r="Q31" s="93">
        <v>24.093395778088407</v>
      </c>
      <c r="R31" s="93">
        <v>350.04166038999676</v>
      </c>
      <c r="S31" s="104">
        <v>72.925345914582664</v>
      </c>
      <c r="T31" s="250" t="s">
        <v>18</v>
      </c>
      <c r="U31" s="97">
        <v>2</v>
      </c>
      <c r="V31" s="251">
        <v>0.41666666666666669</v>
      </c>
      <c r="W31" s="97">
        <v>2.4166666666666665</v>
      </c>
      <c r="X31" s="93">
        <v>115.64829973482435</v>
      </c>
      <c r="Y31" s="93">
        <v>24.093395778088407</v>
      </c>
      <c r="Z31" s="93">
        <v>350.04166038999676</v>
      </c>
      <c r="AA31" s="104">
        <v>72.925345914582664</v>
      </c>
      <c r="AB31" s="250" t="s">
        <v>107</v>
      </c>
      <c r="AC31" s="97">
        <v>0</v>
      </c>
      <c r="AD31" s="252">
        <v>0</v>
      </c>
      <c r="AE31" s="97">
        <v>0</v>
      </c>
      <c r="AF31" s="93">
        <v>0</v>
      </c>
      <c r="AG31" s="93">
        <v>0</v>
      </c>
      <c r="AH31" s="93">
        <v>0</v>
      </c>
      <c r="AI31" s="93">
        <v>0</v>
      </c>
      <c r="AJ31" s="247" t="s">
        <v>49</v>
      </c>
      <c r="AK31" s="246"/>
      <c r="AL31" s="93">
        <v>0</v>
      </c>
      <c r="AM31" s="93">
        <v>0</v>
      </c>
      <c r="AN31" s="254" t="s">
        <v>0</v>
      </c>
      <c r="AO31" s="246">
        <v>0</v>
      </c>
      <c r="AP31" s="92">
        <v>0</v>
      </c>
      <c r="AQ31" s="282">
        <v>0</v>
      </c>
      <c r="AR31" s="93">
        <v>0</v>
      </c>
      <c r="AS31" s="104">
        <v>0</v>
      </c>
      <c r="AT31" s="245">
        <v>1</v>
      </c>
      <c r="AU31" s="260">
        <v>0</v>
      </c>
      <c r="AV31" s="93">
        <v>279.48339102582554</v>
      </c>
      <c r="AW31" s="104">
        <v>845.9340126091588</v>
      </c>
      <c r="AX31" s="93">
        <v>279.48339102582554</v>
      </c>
      <c r="AY31" s="243">
        <v>845.9340126091588</v>
      </c>
    </row>
    <row r="32" spans="1:51" ht="45">
      <c r="A32" s="113" t="s">
        <v>831</v>
      </c>
      <c r="B32" s="90" t="s">
        <v>823</v>
      </c>
      <c r="C32" s="246" t="s">
        <v>11</v>
      </c>
      <c r="D32" s="253" t="s">
        <v>1414</v>
      </c>
      <c r="E32" s="246" t="s">
        <v>117</v>
      </c>
      <c r="F32" s="253" t="s">
        <v>389</v>
      </c>
      <c r="G32" s="253" t="s">
        <v>112</v>
      </c>
      <c r="H32" s="246" t="s">
        <v>109</v>
      </c>
      <c r="I32" s="246" t="s">
        <v>142</v>
      </c>
      <c r="J32" s="246" t="s">
        <v>113</v>
      </c>
      <c r="K32" s="256" t="s">
        <v>49</v>
      </c>
      <c r="L32" s="250" t="s">
        <v>18</v>
      </c>
      <c r="M32" s="90">
        <v>0.33</v>
      </c>
      <c r="N32" s="251">
        <v>0.25</v>
      </c>
      <c r="O32" s="90">
        <v>0.58000000000000007</v>
      </c>
      <c r="P32" s="93">
        <v>25.084366852241615</v>
      </c>
      <c r="Q32" s="93">
        <v>19.003308221395162</v>
      </c>
      <c r="R32" s="93">
        <v>75.924794769346875</v>
      </c>
      <c r="S32" s="104">
        <v>57.51878391617187</v>
      </c>
      <c r="T32" s="250" t="s">
        <v>18</v>
      </c>
      <c r="U32" s="97">
        <v>0.33</v>
      </c>
      <c r="V32" s="251">
        <v>0.25</v>
      </c>
      <c r="W32" s="97">
        <v>0.58000000000000007</v>
      </c>
      <c r="X32" s="93">
        <v>25.084366852241615</v>
      </c>
      <c r="Y32" s="93">
        <v>19.003308221395162</v>
      </c>
      <c r="Z32" s="93">
        <v>75.924794769346875</v>
      </c>
      <c r="AA32" s="104">
        <v>57.51878391617187</v>
      </c>
      <c r="AB32" s="250" t="s">
        <v>107</v>
      </c>
      <c r="AC32" s="97">
        <v>0</v>
      </c>
      <c r="AD32" s="252">
        <v>0</v>
      </c>
      <c r="AE32" s="97">
        <v>0</v>
      </c>
      <c r="AF32" s="93">
        <v>0</v>
      </c>
      <c r="AG32" s="93">
        <v>0</v>
      </c>
      <c r="AH32" s="93">
        <v>0</v>
      </c>
      <c r="AI32" s="93">
        <v>0</v>
      </c>
      <c r="AJ32" s="247" t="s">
        <v>49</v>
      </c>
      <c r="AK32" s="246"/>
      <c r="AL32" s="93">
        <v>0</v>
      </c>
      <c r="AM32" s="93">
        <v>0</v>
      </c>
      <c r="AN32" s="254" t="s">
        <v>0</v>
      </c>
      <c r="AO32" s="246">
        <v>0</v>
      </c>
      <c r="AP32" s="92">
        <v>0</v>
      </c>
      <c r="AQ32" s="282">
        <v>0</v>
      </c>
      <c r="AR32" s="93">
        <v>0</v>
      </c>
      <c r="AS32" s="104">
        <v>0</v>
      </c>
      <c r="AT32" s="245">
        <v>1</v>
      </c>
      <c r="AU32" s="260">
        <v>0</v>
      </c>
      <c r="AV32" s="93">
        <v>88.175350147273548</v>
      </c>
      <c r="AW32" s="104">
        <v>266.88715737103746</v>
      </c>
      <c r="AX32" s="93">
        <v>88.175350147273548</v>
      </c>
      <c r="AY32" s="243">
        <v>266.88715737103746</v>
      </c>
    </row>
    <row r="33" spans="1:51" ht="45">
      <c r="A33" s="113" t="s">
        <v>832</v>
      </c>
      <c r="B33" s="90" t="s">
        <v>824</v>
      </c>
      <c r="C33" s="246" t="s">
        <v>11</v>
      </c>
      <c r="D33" s="253" t="s">
        <v>1414</v>
      </c>
      <c r="E33" s="246" t="s">
        <v>117</v>
      </c>
      <c r="F33" s="253" t="s">
        <v>389</v>
      </c>
      <c r="G33" s="253" t="s">
        <v>112</v>
      </c>
      <c r="H33" s="246" t="s">
        <v>110</v>
      </c>
      <c r="I33" s="246" t="s">
        <v>142</v>
      </c>
      <c r="J33" s="246" t="s">
        <v>113</v>
      </c>
      <c r="K33" s="256" t="s">
        <v>49</v>
      </c>
      <c r="L33" s="250" t="s">
        <v>18</v>
      </c>
      <c r="M33" s="90">
        <v>2</v>
      </c>
      <c r="N33" s="251">
        <v>0.25</v>
      </c>
      <c r="O33" s="90">
        <v>2.25</v>
      </c>
      <c r="P33" s="93">
        <v>152.0264657711613</v>
      </c>
      <c r="Q33" s="93">
        <v>19.003308221395162</v>
      </c>
      <c r="R33" s="93">
        <v>460.15027132937496</v>
      </c>
      <c r="S33" s="104">
        <v>57.51878391617187</v>
      </c>
      <c r="T33" s="250" t="s">
        <v>18</v>
      </c>
      <c r="U33" s="97">
        <v>2</v>
      </c>
      <c r="V33" s="251">
        <v>0.25</v>
      </c>
      <c r="W33" s="97">
        <v>2.25</v>
      </c>
      <c r="X33" s="93">
        <v>152.0264657711613</v>
      </c>
      <c r="Y33" s="93">
        <v>19.003308221395162</v>
      </c>
      <c r="Z33" s="93">
        <v>460.15027132937496</v>
      </c>
      <c r="AA33" s="104">
        <v>57.51878391617187</v>
      </c>
      <c r="AB33" s="250" t="s">
        <v>107</v>
      </c>
      <c r="AC33" s="97">
        <v>0</v>
      </c>
      <c r="AD33" s="252">
        <v>0</v>
      </c>
      <c r="AE33" s="97">
        <v>0</v>
      </c>
      <c r="AF33" s="93">
        <v>0</v>
      </c>
      <c r="AG33" s="93">
        <v>0</v>
      </c>
      <c r="AH33" s="93">
        <v>0</v>
      </c>
      <c r="AI33" s="93">
        <v>0</v>
      </c>
      <c r="AJ33" s="247" t="s">
        <v>49</v>
      </c>
      <c r="AK33" s="246"/>
      <c r="AL33" s="93">
        <v>0</v>
      </c>
      <c r="AM33" s="93">
        <v>0</v>
      </c>
      <c r="AN33" s="254" t="s">
        <v>0</v>
      </c>
      <c r="AO33" s="246">
        <v>0</v>
      </c>
      <c r="AP33" s="92">
        <v>0</v>
      </c>
      <c r="AQ33" s="282">
        <v>0</v>
      </c>
      <c r="AR33" s="93">
        <v>0</v>
      </c>
      <c r="AS33" s="104">
        <v>0</v>
      </c>
      <c r="AT33" s="245">
        <v>1</v>
      </c>
      <c r="AU33" s="260">
        <v>0</v>
      </c>
      <c r="AV33" s="93">
        <v>342.05954798511294</v>
      </c>
      <c r="AW33" s="104">
        <v>1035.3381104910936</v>
      </c>
      <c r="AX33" s="93">
        <v>342.05954798511294</v>
      </c>
      <c r="AY33" s="243">
        <v>1035.3381104910936</v>
      </c>
    </row>
    <row r="34" spans="1:51" ht="45">
      <c r="A34" s="113" t="s">
        <v>833</v>
      </c>
      <c r="B34" s="90" t="s">
        <v>1196</v>
      </c>
      <c r="C34" s="246" t="s">
        <v>11</v>
      </c>
      <c r="D34" s="253" t="s">
        <v>1414</v>
      </c>
      <c r="E34" s="246" t="s">
        <v>117</v>
      </c>
      <c r="F34" s="253" t="s">
        <v>389</v>
      </c>
      <c r="G34" s="253" t="s">
        <v>119</v>
      </c>
      <c r="H34" s="246" t="s">
        <v>109</v>
      </c>
      <c r="I34" s="246" t="s">
        <v>142</v>
      </c>
      <c r="J34" s="246" t="s">
        <v>113</v>
      </c>
      <c r="K34" s="256" t="s">
        <v>49</v>
      </c>
      <c r="L34" s="250" t="s">
        <v>18</v>
      </c>
      <c r="M34" s="90">
        <v>0.33</v>
      </c>
      <c r="N34" s="251">
        <v>0.25</v>
      </c>
      <c r="O34" s="90">
        <v>0.58000000000000007</v>
      </c>
      <c r="P34" s="93">
        <v>25.084366852241615</v>
      </c>
      <c r="Q34" s="93">
        <v>19.003308221395162</v>
      </c>
      <c r="R34" s="93">
        <v>75.924794769346875</v>
      </c>
      <c r="S34" s="104">
        <v>57.51878391617187</v>
      </c>
      <c r="T34" s="250" t="s">
        <v>18</v>
      </c>
      <c r="U34" s="97">
        <v>0.33</v>
      </c>
      <c r="V34" s="251">
        <v>0.25</v>
      </c>
      <c r="W34" s="97">
        <v>0.58000000000000007</v>
      </c>
      <c r="X34" s="93">
        <v>25.084366852241615</v>
      </c>
      <c r="Y34" s="93">
        <v>19.003308221395162</v>
      </c>
      <c r="Z34" s="93">
        <v>75.924794769346875</v>
      </c>
      <c r="AA34" s="104">
        <v>57.51878391617187</v>
      </c>
      <c r="AB34" s="250" t="s">
        <v>107</v>
      </c>
      <c r="AC34" s="97">
        <v>0</v>
      </c>
      <c r="AD34" s="252">
        <v>0</v>
      </c>
      <c r="AE34" s="97">
        <v>0</v>
      </c>
      <c r="AF34" s="93">
        <v>0</v>
      </c>
      <c r="AG34" s="93">
        <v>0</v>
      </c>
      <c r="AH34" s="93">
        <v>0</v>
      </c>
      <c r="AI34" s="93">
        <v>0</v>
      </c>
      <c r="AJ34" s="247" t="s">
        <v>49</v>
      </c>
      <c r="AK34" s="246"/>
      <c r="AL34" s="93">
        <v>0</v>
      </c>
      <c r="AM34" s="93">
        <v>0</v>
      </c>
      <c r="AN34" s="254" t="s">
        <v>0</v>
      </c>
      <c r="AO34" s="246">
        <v>0</v>
      </c>
      <c r="AP34" s="92">
        <v>0</v>
      </c>
      <c r="AQ34" s="282">
        <v>0</v>
      </c>
      <c r="AR34" s="93">
        <v>0</v>
      </c>
      <c r="AS34" s="104">
        <v>0</v>
      </c>
      <c r="AT34" s="245">
        <v>1</v>
      </c>
      <c r="AU34" s="260">
        <v>0</v>
      </c>
      <c r="AV34" s="93">
        <v>88.175350147273548</v>
      </c>
      <c r="AW34" s="104">
        <v>266.88715737103746</v>
      </c>
      <c r="AX34" s="93">
        <v>88.175350147273548</v>
      </c>
      <c r="AY34" s="243">
        <v>266.88715737103746</v>
      </c>
    </row>
    <row r="35" spans="1:51" ht="45">
      <c r="A35" s="113" t="s">
        <v>834</v>
      </c>
      <c r="B35" s="90" t="s">
        <v>825</v>
      </c>
      <c r="C35" s="246" t="s">
        <v>11</v>
      </c>
      <c r="D35" s="253" t="s">
        <v>1414</v>
      </c>
      <c r="E35" s="246" t="s">
        <v>117</v>
      </c>
      <c r="F35" s="253" t="s">
        <v>389</v>
      </c>
      <c r="G35" s="253" t="s">
        <v>121</v>
      </c>
      <c r="H35" s="246" t="s">
        <v>109</v>
      </c>
      <c r="I35" s="246" t="s">
        <v>142</v>
      </c>
      <c r="J35" s="246" t="s">
        <v>113</v>
      </c>
      <c r="K35" s="256" t="s">
        <v>49</v>
      </c>
      <c r="L35" s="250" t="s">
        <v>18</v>
      </c>
      <c r="M35" s="90">
        <v>0.33</v>
      </c>
      <c r="N35" s="251">
        <v>0.41666666666666669</v>
      </c>
      <c r="O35" s="92">
        <v>0.7466666666666667</v>
      </c>
      <c r="P35" s="93">
        <v>25.084366852241615</v>
      </c>
      <c r="Q35" s="93">
        <v>31.672180368991938</v>
      </c>
      <c r="R35" s="93">
        <v>75.924794769346875</v>
      </c>
      <c r="S35" s="104">
        <v>95.864639860286459</v>
      </c>
      <c r="T35" s="250" t="s">
        <v>18</v>
      </c>
      <c r="U35" s="97">
        <v>0.33</v>
      </c>
      <c r="V35" s="251">
        <v>0.41666666666666669</v>
      </c>
      <c r="W35" s="97">
        <v>0.7466666666666667</v>
      </c>
      <c r="X35" s="93">
        <v>25.084366852241615</v>
      </c>
      <c r="Y35" s="93">
        <v>31.672180368991938</v>
      </c>
      <c r="Z35" s="93">
        <v>75.924794769346875</v>
      </c>
      <c r="AA35" s="104">
        <v>95.864639860286459</v>
      </c>
      <c r="AB35" s="250" t="s">
        <v>107</v>
      </c>
      <c r="AC35" s="97">
        <v>0</v>
      </c>
      <c r="AD35" s="252">
        <v>0</v>
      </c>
      <c r="AE35" s="97">
        <v>0</v>
      </c>
      <c r="AF35" s="93">
        <v>0</v>
      </c>
      <c r="AG35" s="93">
        <v>0</v>
      </c>
      <c r="AH35" s="93">
        <v>0</v>
      </c>
      <c r="AI35" s="93">
        <v>0</v>
      </c>
      <c r="AJ35" s="247" t="s">
        <v>49</v>
      </c>
      <c r="AK35" s="246"/>
      <c r="AL35" s="93">
        <v>0</v>
      </c>
      <c r="AM35" s="93">
        <v>0</v>
      </c>
      <c r="AN35" s="254" t="s">
        <v>0</v>
      </c>
      <c r="AO35" s="246">
        <v>0</v>
      </c>
      <c r="AP35" s="92">
        <v>0</v>
      </c>
      <c r="AQ35" s="282">
        <v>0</v>
      </c>
      <c r="AR35" s="93">
        <v>0</v>
      </c>
      <c r="AS35" s="104">
        <v>0</v>
      </c>
      <c r="AT35" s="245">
        <v>1</v>
      </c>
      <c r="AU35" s="260">
        <v>0</v>
      </c>
      <c r="AV35" s="93">
        <v>113.51309444246712</v>
      </c>
      <c r="AW35" s="104">
        <v>343.57886925926664</v>
      </c>
      <c r="AX35" s="93">
        <v>113.51309444246712</v>
      </c>
      <c r="AY35" s="243">
        <v>343.57886925926664</v>
      </c>
    </row>
    <row r="36" spans="1:51" ht="45">
      <c r="A36" s="113" t="s">
        <v>835</v>
      </c>
      <c r="B36" s="90" t="s">
        <v>826</v>
      </c>
      <c r="C36" s="246" t="s">
        <v>11</v>
      </c>
      <c r="D36" s="253" t="s">
        <v>1414</v>
      </c>
      <c r="E36" s="246" t="s">
        <v>117</v>
      </c>
      <c r="F36" s="253" t="s">
        <v>389</v>
      </c>
      <c r="G36" s="253" t="s">
        <v>121</v>
      </c>
      <c r="H36" s="246" t="s">
        <v>110</v>
      </c>
      <c r="I36" s="246" t="s">
        <v>142</v>
      </c>
      <c r="J36" s="246" t="s">
        <v>113</v>
      </c>
      <c r="K36" s="256" t="s">
        <v>49</v>
      </c>
      <c r="L36" s="250" t="s">
        <v>18</v>
      </c>
      <c r="M36" s="90">
        <v>2</v>
      </c>
      <c r="N36" s="251">
        <v>0.41666666666666669</v>
      </c>
      <c r="O36" s="92">
        <v>2.4166666666666665</v>
      </c>
      <c r="P36" s="93">
        <v>152.0264657711613</v>
      </c>
      <c r="Q36" s="93">
        <v>31.672180368991938</v>
      </c>
      <c r="R36" s="93">
        <v>460.15027132937496</v>
      </c>
      <c r="S36" s="104">
        <v>95.864639860286459</v>
      </c>
      <c r="T36" s="250" t="s">
        <v>18</v>
      </c>
      <c r="U36" s="97">
        <v>2</v>
      </c>
      <c r="V36" s="251">
        <v>0.41666666666666669</v>
      </c>
      <c r="W36" s="97">
        <v>2.4166666666666665</v>
      </c>
      <c r="X36" s="93">
        <v>152.0264657711613</v>
      </c>
      <c r="Y36" s="93">
        <v>31.672180368991938</v>
      </c>
      <c r="Z36" s="93">
        <v>460.15027132937496</v>
      </c>
      <c r="AA36" s="104">
        <v>95.864639860286459</v>
      </c>
      <c r="AB36" s="250" t="s">
        <v>107</v>
      </c>
      <c r="AC36" s="97">
        <v>0</v>
      </c>
      <c r="AD36" s="252">
        <v>0</v>
      </c>
      <c r="AE36" s="97">
        <v>0</v>
      </c>
      <c r="AF36" s="93">
        <v>0</v>
      </c>
      <c r="AG36" s="93">
        <v>0</v>
      </c>
      <c r="AH36" s="93">
        <v>0</v>
      </c>
      <c r="AI36" s="93">
        <v>0</v>
      </c>
      <c r="AJ36" s="247" t="s">
        <v>49</v>
      </c>
      <c r="AK36" s="246"/>
      <c r="AL36" s="93">
        <v>0</v>
      </c>
      <c r="AM36" s="93">
        <v>0</v>
      </c>
      <c r="AN36" s="254" t="s">
        <v>0</v>
      </c>
      <c r="AO36" s="246">
        <v>0</v>
      </c>
      <c r="AP36" s="92">
        <v>0</v>
      </c>
      <c r="AQ36" s="282">
        <v>0</v>
      </c>
      <c r="AR36" s="93">
        <v>0</v>
      </c>
      <c r="AS36" s="104">
        <v>0</v>
      </c>
      <c r="AT36" s="245">
        <v>1</v>
      </c>
      <c r="AU36" s="260">
        <v>0</v>
      </c>
      <c r="AV36" s="93">
        <v>367.39729228030649</v>
      </c>
      <c r="AW36" s="104">
        <v>1112.0298223793229</v>
      </c>
      <c r="AX36" s="93">
        <v>367.39729228030649</v>
      </c>
      <c r="AY36" s="243">
        <v>1112.0298223793229</v>
      </c>
    </row>
    <row r="37" spans="1:51" ht="45">
      <c r="A37" s="113" t="s">
        <v>836</v>
      </c>
      <c r="B37" s="90" t="s">
        <v>1197</v>
      </c>
      <c r="C37" s="246" t="s">
        <v>11</v>
      </c>
      <c r="D37" s="253" t="s">
        <v>1414</v>
      </c>
      <c r="E37" s="246" t="s">
        <v>117</v>
      </c>
      <c r="F37" s="253" t="s">
        <v>389</v>
      </c>
      <c r="G37" s="253" t="s">
        <v>123</v>
      </c>
      <c r="H37" s="246" t="s">
        <v>109</v>
      </c>
      <c r="I37" s="246" t="s">
        <v>142</v>
      </c>
      <c r="J37" s="246" t="s">
        <v>113</v>
      </c>
      <c r="K37" s="256" t="s">
        <v>49</v>
      </c>
      <c r="L37" s="250" t="s">
        <v>18</v>
      </c>
      <c r="M37" s="90">
        <v>0.33</v>
      </c>
      <c r="N37" s="251">
        <v>0.41666666666666669</v>
      </c>
      <c r="O37" s="92">
        <v>0.7466666666666667</v>
      </c>
      <c r="P37" s="93">
        <v>25.084366852241615</v>
      </c>
      <c r="Q37" s="93">
        <v>31.672180368991938</v>
      </c>
      <c r="R37" s="93">
        <v>75.924794769346875</v>
      </c>
      <c r="S37" s="104">
        <v>95.864639860286459</v>
      </c>
      <c r="T37" s="250" t="s">
        <v>18</v>
      </c>
      <c r="U37" s="97">
        <v>0.33</v>
      </c>
      <c r="V37" s="251">
        <v>0.41666666666666669</v>
      </c>
      <c r="W37" s="97">
        <v>0.7466666666666667</v>
      </c>
      <c r="X37" s="93">
        <v>25.084366852241615</v>
      </c>
      <c r="Y37" s="93">
        <v>31.672180368991938</v>
      </c>
      <c r="Z37" s="93">
        <v>75.924794769346875</v>
      </c>
      <c r="AA37" s="104">
        <v>95.864639860286459</v>
      </c>
      <c r="AB37" s="250" t="s">
        <v>107</v>
      </c>
      <c r="AC37" s="97">
        <v>0</v>
      </c>
      <c r="AD37" s="252">
        <v>0</v>
      </c>
      <c r="AE37" s="97">
        <v>0</v>
      </c>
      <c r="AF37" s="93">
        <v>0</v>
      </c>
      <c r="AG37" s="93">
        <v>0</v>
      </c>
      <c r="AH37" s="93">
        <v>0</v>
      </c>
      <c r="AI37" s="93">
        <v>0</v>
      </c>
      <c r="AJ37" s="247" t="s">
        <v>49</v>
      </c>
      <c r="AK37" s="246"/>
      <c r="AL37" s="93">
        <v>0</v>
      </c>
      <c r="AM37" s="93">
        <v>0</v>
      </c>
      <c r="AN37" s="254" t="s">
        <v>0</v>
      </c>
      <c r="AO37" s="246">
        <v>0</v>
      </c>
      <c r="AP37" s="92">
        <v>0</v>
      </c>
      <c r="AQ37" s="282">
        <v>0</v>
      </c>
      <c r="AR37" s="93">
        <v>0</v>
      </c>
      <c r="AS37" s="104">
        <v>0</v>
      </c>
      <c r="AT37" s="245">
        <v>1</v>
      </c>
      <c r="AU37" s="260">
        <v>0</v>
      </c>
      <c r="AV37" s="93">
        <v>113.51309444246712</v>
      </c>
      <c r="AW37" s="104">
        <v>343.57886925926664</v>
      </c>
      <c r="AX37" s="93">
        <v>113.51309444246712</v>
      </c>
      <c r="AY37" s="243">
        <v>343.57886925926664</v>
      </c>
    </row>
    <row r="38" spans="1:51" ht="45">
      <c r="A38" s="113" t="s">
        <v>837</v>
      </c>
      <c r="B38" s="90" t="s">
        <v>827</v>
      </c>
      <c r="C38" s="246" t="s">
        <v>11</v>
      </c>
      <c r="D38" s="253" t="s">
        <v>1414</v>
      </c>
      <c r="E38" s="246" t="s">
        <v>117</v>
      </c>
      <c r="F38" s="253" t="s">
        <v>390</v>
      </c>
      <c r="G38" s="253" t="s">
        <v>127</v>
      </c>
      <c r="H38" s="246" t="s">
        <v>109</v>
      </c>
      <c r="I38" s="246" t="s">
        <v>142</v>
      </c>
      <c r="J38" s="246" t="s">
        <v>47</v>
      </c>
      <c r="K38" s="256" t="s">
        <v>49</v>
      </c>
      <c r="L38" s="250" t="s">
        <v>18</v>
      </c>
      <c r="M38" s="90">
        <v>0.33</v>
      </c>
      <c r="N38" s="251">
        <v>0.25</v>
      </c>
      <c r="O38" s="90">
        <v>0.58000000000000007</v>
      </c>
      <c r="P38" s="93">
        <v>19.081969456246018</v>
      </c>
      <c r="Q38" s="93">
        <v>14.456037466853044</v>
      </c>
      <c r="R38" s="93">
        <v>57.75687396434946</v>
      </c>
      <c r="S38" s="104">
        <v>43.755207548749596</v>
      </c>
      <c r="T38" s="254" t="s">
        <v>107</v>
      </c>
      <c r="U38" s="97">
        <v>0</v>
      </c>
      <c r="V38" s="252">
        <v>0</v>
      </c>
      <c r="W38" s="97">
        <v>0</v>
      </c>
      <c r="X38" s="93">
        <v>0</v>
      </c>
      <c r="Y38" s="93">
        <v>0</v>
      </c>
      <c r="Z38" s="93">
        <v>0</v>
      </c>
      <c r="AA38" s="104">
        <v>0</v>
      </c>
      <c r="AB38" s="250" t="s">
        <v>107</v>
      </c>
      <c r="AC38" s="97">
        <v>0</v>
      </c>
      <c r="AD38" s="252">
        <v>0</v>
      </c>
      <c r="AE38" s="97">
        <v>0</v>
      </c>
      <c r="AF38" s="93">
        <v>0</v>
      </c>
      <c r="AG38" s="93">
        <v>0</v>
      </c>
      <c r="AH38" s="93">
        <v>0</v>
      </c>
      <c r="AI38" s="93">
        <v>0</v>
      </c>
      <c r="AJ38" s="247" t="s">
        <v>49</v>
      </c>
      <c r="AK38" s="246"/>
      <c r="AL38" s="93">
        <v>0</v>
      </c>
      <c r="AM38" s="93">
        <v>0</v>
      </c>
      <c r="AN38" s="254" t="s">
        <v>0</v>
      </c>
      <c r="AO38" s="246">
        <v>0</v>
      </c>
      <c r="AP38" s="92">
        <v>0</v>
      </c>
      <c r="AQ38" s="282">
        <v>0</v>
      </c>
      <c r="AR38" s="93">
        <v>0</v>
      </c>
      <c r="AS38" s="104">
        <v>0</v>
      </c>
      <c r="AT38" s="245">
        <v>1</v>
      </c>
      <c r="AU38" s="260">
        <v>0</v>
      </c>
      <c r="AV38" s="93">
        <v>33.538006923099061</v>
      </c>
      <c r="AW38" s="104">
        <v>101.51208151309905</v>
      </c>
      <c r="AX38" s="93">
        <v>33.538006923099061</v>
      </c>
      <c r="AY38" s="243">
        <v>101.51208151309905</v>
      </c>
    </row>
    <row r="39" spans="1:51" ht="45">
      <c r="A39" s="113" t="s">
        <v>838</v>
      </c>
      <c r="B39" s="90" t="s">
        <v>828</v>
      </c>
      <c r="C39" s="246" t="s">
        <v>11</v>
      </c>
      <c r="D39" s="253" t="s">
        <v>1414</v>
      </c>
      <c r="E39" s="246" t="s">
        <v>117</v>
      </c>
      <c r="F39" s="253" t="s">
        <v>390</v>
      </c>
      <c r="G39" s="253" t="s">
        <v>127</v>
      </c>
      <c r="H39" s="246" t="s">
        <v>110</v>
      </c>
      <c r="I39" s="246" t="s">
        <v>142</v>
      </c>
      <c r="J39" s="246" t="s">
        <v>47</v>
      </c>
      <c r="K39" s="256" t="s">
        <v>49</v>
      </c>
      <c r="L39" s="250" t="s">
        <v>18</v>
      </c>
      <c r="M39" s="90">
        <v>2</v>
      </c>
      <c r="N39" s="251">
        <v>0.25</v>
      </c>
      <c r="O39" s="90">
        <v>2.25</v>
      </c>
      <c r="P39" s="93">
        <v>115.64829973482435</v>
      </c>
      <c r="Q39" s="93">
        <v>14.456037466853044</v>
      </c>
      <c r="R39" s="93">
        <v>350.04166038999676</v>
      </c>
      <c r="S39" s="104">
        <v>43.755207548749596</v>
      </c>
      <c r="T39" s="254" t="s">
        <v>107</v>
      </c>
      <c r="U39" s="97">
        <v>0</v>
      </c>
      <c r="V39" s="252">
        <v>0</v>
      </c>
      <c r="W39" s="97">
        <v>0</v>
      </c>
      <c r="X39" s="93">
        <v>0</v>
      </c>
      <c r="Y39" s="93">
        <v>0</v>
      </c>
      <c r="Z39" s="93">
        <v>0</v>
      </c>
      <c r="AA39" s="104">
        <v>0</v>
      </c>
      <c r="AB39" s="250" t="s">
        <v>107</v>
      </c>
      <c r="AC39" s="97">
        <v>0</v>
      </c>
      <c r="AD39" s="252">
        <v>0</v>
      </c>
      <c r="AE39" s="97">
        <v>0</v>
      </c>
      <c r="AF39" s="93">
        <v>0</v>
      </c>
      <c r="AG39" s="93">
        <v>0</v>
      </c>
      <c r="AH39" s="93">
        <v>0</v>
      </c>
      <c r="AI39" s="93">
        <v>0</v>
      </c>
      <c r="AJ39" s="247" t="s">
        <v>49</v>
      </c>
      <c r="AK39" s="246"/>
      <c r="AL39" s="93">
        <v>0</v>
      </c>
      <c r="AM39" s="93">
        <v>0</v>
      </c>
      <c r="AN39" s="254" t="s">
        <v>0</v>
      </c>
      <c r="AO39" s="246">
        <v>0</v>
      </c>
      <c r="AP39" s="92">
        <v>0</v>
      </c>
      <c r="AQ39" s="282">
        <v>0</v>
      </c>
      <c r="AR39" s="93">
        <v>0</v>
      </c>
      <c r="AS39" s="104">
        <v>0</v>
      </c>
      <c r="AT39" s="245">
        <v>1</v>
      </c>
      <c r="AU39" s="260">
        <v>0</v>
      </c>
      <c r="AV39" s="93">
        <v>130.1043372016774</v>
      </c>
      <c r="AW39" s="104">
        <v>393.79686793874635</v>
      </c>
      <c r="AX39" s="93">
        <v>130.1043372016774</v>
      </c>
      <c r="AY39" s="243">
        <v>393.79686793874635</v>
      </c>
    </row>
    <row r="40" spans="1:51" ht="45">
      <c r="A40" s="113" t="s">
        <v>839</v>
      </c>
      <c r="B40" s="90" t="s">
        <v>829</v>
      </c>
      <c r="C40" s="246" t="s">
        <v>11</v>
      </c>
      <c r="D40" s="253" t="s">
        <v>1414</v>
      </c>
      <c r="E40" s="246" t="s">
        <v>117</v>
      </c>
      <c r="F40" s="253" t="s">
        <v>390</v>
      </c>
      <c r="G40" s="253" t="s">
        <v>122</v>
      </c>
      <c r="H40" s="246" t="s">
        <v>109</v>
      </c>
      <c r="I40" s="246" t="s">
        <v>142</v>
      </c>
      <c r="J40" s="246" t="s">
        <v>113</v>
      </c>
      <c r="K40" s="256" t="s">
        <v>49</v>
      </c>
      <c r="L40" s="250" t="s">
        <v>18</v>
      </c>
      <c r="M40" s="90">
        <v>0.33</v>
      </c>
      <c r="N40" s="251">
        <v>0.25</v>
      </c>
      <c r="O40" s="90">
        <v>0.58000000000000007</v>
      </c>
      <c r="P40" s="93">
        <v>25.084366852241615</v>
      </c>
      <c r="Q40" s="93">
        <v>19.003308221395162</v>
      </c>
      <c r="R40" s="93">
        <v>75.924794769346875</v>
      </c>
      <c r="S40" s="104">
        <v>57.51878391617187</v>
      </c>
      <c r="T40" s="254" t="s">
        <v>107</v>
      </c>
      <c r="U40" s="97">
        <v>0</v>
      </c>
      <c r="V40" s="252">
        <v>0</v>
      </c>
      <c r="W40" s="97">
        <v>0</v>
      </c>
      <c r="X40" s="93">
        <v>0</v>
      </c>
      <c r="Y40" s="93">
        <v>0</v>
      </c>
      <c r="Z40" s="93">
        <v>0</v>
      </c>
      <c r="AA40" s="104">
        <v>0</v>
      </c>
      <c r="AB40" s="250" t="s">
        <v>107</v>
      </c>
      <c r="AC40" s="97">
        <v>0</v>
      </c>
      <c r="AD40" s="252">
        <v>0</v>
      </c>
      <c r="AE40" s="97">
        <v>0</v>
      </c>
      <c r="AF40" s="93">
        <v>0</v>
      </c>
      <c r="AG40" s="93">
        <v>0</v>
      </c>
      <c r="AH40" s="93">
        <v>0</v>
      </c>
      <c r="AI40" s="93">
        <v>0</v>
      </c>
      <c r="AJ40" s="247" t="s">
        <v>49</v>
      </c>
      <c r="AK40" s="246"/>
      <c r="AL40" s="93">
        <v>0</v>
      </c>
      <c r="AM40" s="93">
        <v>0</v>
      </c>
      <c r="AN40" s="254" t="s">
        <v>0</v>
      </c>
      <c r="AO40" s="246">
        <v>0</v>
      </c>
      <c r="AP40" s="92">
        <v>0</v>
      </c>
      <c r="AQ40" s="282">
        <v>0</v>
      </c>
      <c r="AR40" s="93">
        <v>0</v>
      </c>
      <c r="AS40" s="104">
        <v>0</v>
      </c>
      <c r="AT40" s="245">
        <v>1</v>
      </c>
      <c r="AU40" s="260">
        <v>0</v>
      </c>
      <c r="AV40" s="93">
        <v>44.087675073636774</v>
      </c>
      <c r="AW40" s="104">
        <v>133.44357868551873</v>
      </c>
      <c r="AX40" s="93">
        <v>44.087675073636774</v>
      </c>
      <c r="AY40" s="243">
        <v>133.44357868551873</v>
      </c>
    </row>
    <row r="41" spans="1:51" ht="45">
      <c r="A41" s="113" t="s">
        <v>840</v>
      </c>
      <c r="B41" s="90" t="s">
        <v>830</v>
      </c>
      <c r="C41" s="246" t="s">
        <v>11</v>
      </c>
      <c r="D41" s="253" t="s">
        <v>1414</v>
      </c>
      <c r="E41" s="246" t="s">
        <v>117</v>
      </c>
      <c r="F41" s="253" t="s">
        <v>390</v>
      </c>
      <c r="G41" s="253" t="s">
        <v>122</v>
      </c>
      <c r="H41" s="246" t="s">
        <v>110</v>
      </c>
      <c r="I41" s="246" t="s">
        <v>142</v>
      </c>
      <c r="J41" s="246" t="s">
        <v>113</v>
      </c>
      <c r="K41" s="256" t="s">
        <v>49</v>
      </c>
      <c r="L41" s="250" t="s">
        <v>18</v>
      </c>
      <c r="M41" s="90">
        <v>2</v>
      </c>
      <c r="N41" s="251">
        <v>0.25</v>
      </c>
      <c r="O41" s="90">
        <v>2.25</v>
      </c>
      <c r="P41" s="93">
        <v>152.0264657711613</v>
      </c>
      <c r="Q41" s="93">
        <v>19.003308221395162</v>
      </c>
      <c r="R41" s="93">
        <v>460.15027132937496</v>
      </c>
      <c r="S41" s="104">
        <v>57.51878391617187</v>
      </c>
      <c r="T41" s="254" t="s">
        <v>107</v>
      </c>
      <c r="U41" s="97">
        <v>0</v>
      </c>
      <c r="V41" s="252">
        <v>0</v>
      </c>
      <c r="W41" s="97">
        <v>0</v>
      </c>
      <c r="X41" s="93">
        <v>0</v>
      </c>
      <c r="Y41" s="93">
        <v>0</v>
      </c>
      <c r="Z41" s="93">
        <v>0</v>
      </c>
      <c r="AA41" s="104">
        <v>0</v>
      </c>
      <c r="AB41" s="250" t="s">
        <v>107</v>
      </c>
      <c r="AC41" s="97">
        <v>0</v>
      </c>
      <c r="AD41" s="252">
        <v>0</v>
      </c>
      <c r="AE41" s="97">
        <v>0</v>
      </c>
      <c r="AF41" s="93">
        <v>0</v>
      </c>
      <c r="AG41" s="93">
        <v>0</v>
      </c>
      <c r="AH41" s="93">
        <v>0</v>
      </c>
      <c r="AI41" s="93">
        <v>0</v>
      </c>
      <c r="AJ41" s="247" t="s">
        <v>49</v>
      </c>
      <c r="AK41" s="246"/>
      <c r="AL41" s="93">
        <v>0</v>
      </c>
      <c r="AM41" s="93">
        <v>0</v>
      </c>
      <c r="AN41" s="254" t="s">
        <v>0</v>
      </c>
      <c r="AO41" s="246">
        <v>0</v>
      </c>
      <c r="AP41" s="92">
        <v>0</v>
      </c>
      <c r="AQ41" s="282">
        <v>0</v>
      </c>
      <c r="AR41" s="93">
        <v>0</v>
      </c>
      <c r="AS41" s="104">
        <v>0</v>
      </c>
      <c r="AT41" s="245">
        <v>1</v>
      </c>
      <c r="AU41" s="260">
        <v>0</v>
      </c>
      <c r="AV41" s="93">
        <v>171.02977399255647</v>
      </c>
      <c r="AW41" s="104">
        <v>517.66905524554682</v>
      </c>
      <c r="AX41" s="93">
        <v>171.02977399255647</v>
      </c>
      <c r="AY41" s="243">
        <v>517.66905524554682</v>
      </c>
    </row>
    <row r="42" spans="1:51" ht="45">
      <c r="A42" s="113" t="s">
        <v>841</v>
      </c>
      <c r="B42" s="90" t="s">
        <v>831</v>
      </c>
      <c r="C42" s="246" t="s">
        <v>11</v>
      </c>
      <c r="D42" s="253" t="s">
        <v>1414</v>
      </c>
      <c r="E42" s="246" t="s">
        <v>117</v>
      </c>
      <c r="F42" s="253" t="s">
        <v>390</v>
      </c>
      <c r="G42" s="253" t="s">
        <v>128</v>
      </c>
      <c r="H42" s="246" t="s">
        <v>109</v>
      </c>
      <c r="I42" s="246" t="s">
        <v>142</v>
      </c>
      <c r="J42" s="246" t="s">
        <v>113</v>
      </c>
      <c r="K42" s="256" t="s">
        <v>49</v>
      </c>
      <c r="L42" s="250" t="s">
        <v>18</v>
      </c>
      <c r="M42" s="90">
        <v>0.33</v>
      </c>
      <c r="N42" s="251">
        <v>0.25</v>
      </c>
      <c r="O42" s="90">
        <v>0.58000000000000007</v>
      </c>
      <c r="P42" s="93">
        <v>25.084366852241615</v>
      </c>
      <c r="Q42" s="93">
        <v>19.003308221395162</v>
      </c>
      <c r="R42" s="93">
        <v>75.924794769346875</v>
      </c>
      <c r="S42" s="104">
        <v>57.51878391617187</v>
      </c>
      <c r="T42" s="254" t="s">
        <v>107</v>
      </c>
      <c r="U42" s="97">
        <v>0</v>
      </c>
      <c r="V42" s="252">
        <v>0</v>
      </c>
      <c r="W42" s="97">
        <v>0</v>
      </c>
      <c r="X42" s="93">
        <v>0</v>
      </c>
      <c r="Y42" s="93">
        <v>0</v>
      </c>
      <c r="Z42" s="93">
        <v>0</v>
      </c>
      <c r="AA42" s="104">
        <v>0</v>
      </c>
      <c r="AB42" s="250" t="s">
        <v>107</v>
      </c>
      <c r="AC42" s="97">
        <v>0</v>
      </c>
      <c r="AD42" s="252">
        <v>0</v>
      </c>
      <c r="AE42" s="97">
        <v>0</v>
      </c>
      <c r="AF42" s="93">
        <v>0</v>
      </c>
      <c r="AG42" s="93">
        <v>0</v>
      </c>
      <c r="AH42" s="93">
        <v>0</v>
      </c>
      <c r="AI42" s="93">
        <v>0</v>
      </c>
      <c r="AJ42" s="247" t="s">
        <v>49</v>
      </c>
      <c r="AK42" s="246"/>
      <c r="AL42" s="93">
        <v>0</v>
      </c>
      <c r="AM42" s="93">
        <v>0</v>
      </c>
      <c r="AN42" s="254" t="s">
        <v>0</v>
      </c>
      <c r="AO42" s="246">
        <v>0</v>
      </c>
      <c r="AP42" s="92">
        <v>0</v>
      </c>
      <c r="AQ42" s="282">
        <v>0</v>
      </c>
      <c r="AR42" s="93">
        <v>0</v>
      </c>
      <c r="AS42" s="104">
        <v>0</v>
      </c>
      <c r="AT42" s="245">
        <v>1</v>
      </c>
      <c r="AU42" s="260">
        <v>0</v>
      </c>
      <c r="AV42" s="93">
        <v>44.087675073636774</v>
      </c>
      <c r="AW42" s="104">
        <v>133.44357868551873</v>
      </c>
      <c r="AX42" s="93">
        <v>44.087675073636774</v>
      </c>
      <c r="AY42" s="243">
        <v>133.44357868551873</v>
      </c>
    </row>
    <row r="43" spans="1:51" ht="45">
      <c r="A43" s="113" t="s">
        <v>847</v>
      </c>
      <c r="B43" s="90" t="s">
        <v>836</v>
      </c>
      <c r="C43" s="246" t="s">
        <v>11</v>
      </c>
      <c r="D43" s="253" t="s">
        <v>1414</v>
      </c>
      <c r="E43" s="246" t="s">
        <v>117</v>
      </c>
      <c r="F43" s="253" t="s">
        <v>390</v>
      </c>
      <c r="G43" s="253" t="s">
        <v>1460</v>
      </c>
      <c r="H43" s="246" t="s">
        <v>109</v>
      </c>
      <c r="I43" s="246" t="s">
        <v>142</v>
      </c>
      <c r="J43" s="246" t="s">
        <v>47</v>
      </c>
      <c r="K43" s="256" t="s">
        <v>49</v>
      </c>
      <c r="L43" s="250" t="s">
        <v>18</v>
      </c>
      <c r="M43" s="90">
        <v>0.33</v>
      </c>
      <c r="N43" s="251">
        <v>0.25</v>
      </c>
      <c r="O43" s="90">
        <v>0.58000000000000007</v>
      </c>
      <c r="P43" s="93">
        <v>19.081969456246018</v>
      </c>
      <c r="Q43" s="93">
        <v>14.456037466853044</v>
      </c>
      <c r="R43" s="93">
        <v>57.75687396434946</v>
      </c>
      <c r="S43" s="104">
        <v>43.755207548749596</v>
      </c>
      <c r="T43" s="254" t="s">
        <v>18</v>
      </c>
      <c r="U43" s="97">
        <v>0.33</v>
      </c>
      <c r="V43" s="251">
        <v>0.25</v>
      </c>
      <c r="W43" s="97">
        <v>0.58000000000000007</v>
      </c>
      <c r="X43" s="93">
        <v>19.081969456246018</v>
      </c>
      <c r="Y43" s="93">
        <v>14.456037466853044</v>
      </c>
      <c r="Z43" s="93">
        <v>57.75687396434946</v>
      </c>
      <c r="AA43" s="104">
        <v>43.755207548749596</v>
      </c>
      <c r="AB43" s="250" t="s">
        <v>107</v>
      </c>
      <c r="AC43" s="97">
        <v>0</v>
      </c>
      <c r="AD43" s="252">
        <v>0</v>
      </c>
      <c r="AE43" s="97">
        <v>0</v>
      </c>
      <c r="AF43" s="93">
        <v>0</v>
      </c>
      <c r="AG43" s="93">
        <v>0</v>
      </c>
      <c r="AH43" s="93">
        <v>0</v>
      </c>
      <c r="AI43" s="93">
        <v>0</v>
      </c>
      <c r="AJ43" s="247" t="s">
        <v>49</v>
      </c>
      <c r="AK43" s="246"/>
      <c r="AL43" s="93">
        <v>0</v>
      </c>
      <c r="AM43" s="93">
        <v>0</v>
      </c>
      <c r="AN43" s="254" t="s">
        <v>0</v>
      </c>
      <c r="AO43" s="246">
        <v>0</v>
      </c>
      <c r="AP43" s="92">
        <v>0</v>
      </c>
      <c r="AQ43" s="282">
        <v>0</v>
      </c>
      <c r="AR43" s="93">
        <v>0</v>
      </c>
      <c r="AS43" s="104">
        <v>0</v>
      </c>
      <c r="AT43" s="245">
        <v>1</v>
      </c>
      <c r="AU43" s="260">
        <v>0</v>
      </c>
      <c r="AV43" s="93">
        <v>67.076013846198123</v>
      </c>
      <c r="AW43" s="104">
        <v>203.0241630261981</v>
      </c>
      <c r="AX43" s="93">
        <v>67.076013846198123</v>
      </c>
      <c r="AY43" s="243">
        <v>203.0241630261981</v>
      </c>
    </row>
    <row r="44" spans="1:51" ht="45">
      <c r="A44" s="113" t="s">
        <v>848</v>
      </c>
      <c r="B44" s="90" t="s">
        <v>1198</v>
      </c>
      <c r="C44" s="246" t="s">
        <v>11</v>
      </c>
      <c r="D44" s="253" t="s">
        <v>1414</v>
      </c>
      <c r="E44" s="246" t="s">
        <v>117</v>
      </c>
      <c r="F44" s="253" t="s">
        <v>390</v>
      </c>
      <c r="G44" s="253" t="s">
        <v>1460</v>
      </c>
      <c r="H44" s="246" t="s">
        <v>110</v>
      </c>
      <c r="I44" s="246" t="s">
        <v>142</v>
      </c>
      <c r="J44" s="246" t="s">
        <v>47</v>
      </c>
      <c r="K44" s="256" t="s">
        <v>49</v>
      </c>
      <c r="L44" s="250" t="s">
        <v>18</v>
      </c>
      <c r="M44" s="90">
        <v>2</v>
      </c>
      <c r="N44" s="251">
        <v>0.25</v>
      </c>
      <c r="O44" s="90">
        <v>2.25</v>
      </c>
      <c r="P44" s="93">
        <v>115.64829973482435</v>
      </c>
      <c r="Q44" s="93">
        <v>14.456037466853044</v>
      </c>
      <c r="R44" s="93">
        <v>350.04166038999676</v>
      </c>
      <c r="S44" s="104">
        <v>43.755207548749596</v>
      </c>
      <c r="T44" s="254" t="s">
        <v>18</v>
      </c>
      <c r="U44" s="97">
        <v>2</v>
      </c>
      <c r="V44" s="251">
        <v>0.25</v>
      </c>
      <c r="W44" s="97">
        <v>2.25</v>
      </c>
      <c r="X44" s="93">
        <v>115.64829973482435</v>
      </c>
      <c r="Y44" s="93">
        <v>14.456037466853044</v>
      </c>
      <c r="Z44" s="93">
        <v>350.04166038999676</v>
      </c>
      <c r="AA44" s="104">
        <v>43.755207548749596</v>
      </c>
      <c r="AB44" s="250" t="s">
        <v>107</v>
      </c>
      <c r="AC44" s="97">
        <v>0</v>
      </c>
      <c r="AD44" s="252">
        <v>0</v>
      </c>
      <c r="AE44" s="97">
        <v>0</v>
      </c>
      <c r="AF44" s="93">
        <v>0</v>
      </c>
      <c r="AG44" s="93">
        <v>0</v>
      </c>
      <c r="AH44" s="93">
        <v>0</v>
      </c>
      <c r="AI44" s="93">
        <v>0</v>
      </c>
      <c r="AJ44" s="247" t="s">
        <v>49</v>
      </c>
      <c r="AK44" s="246"/>
      <c r="AL44" s="93">
        <v>0</v>
      </c>
      <c r="AM44" s="93">
        <v>0</v>
      </c>
      <c r="AN44" s="254" t="s">
        <v>0</v>
      </c>
      <c r="AO44" s="246">
        <v>0</v>
      </c>
      <c r="AP44" s="92">
        <v>0</v>
      </c>
      <c r="AQ44" s="282">
        <v>0</v>
      </c>
      <c r="AR44" s="93">
        <v>0</v>
      </c>
      <c r="AS44" s="104">
        <v>0</v>
      </c>
      <c r="AT44" s="245">
        <v>1</v>
      </c>
      <c r="AU44" s="260">
        <v>0</v>
      </c>
      <c r="AV44" s="93">
        <v>260.20867440335479</v>
      </c>
      <c r="AW44" s="104">
        <v>787.59373587749269</v>
      </c>
      <c r="AX44" s="93">
        <v>260.20867440335479</v>
      </c>
      <c r="AY44" s="243">
        <v>787.59373587749269</v>
      </c>
    </row>
    <row r="45" spans="1:51" ht="45">
      <c r="A45" s="113" t="s">
        <v>851</v>
      </c>
      <c r="B45" s="90" t="s">
        <v>839</v>
      </c>
      <c r="C45" s="246" t="s">
        <v>11</v>
      </c>
      <c r="D45" s="253" t="s">
        <v>1414</v>
      </c>
      <c r="E45" s="246" t="s">
        <v>117</v>
      </c>
      <c r="F45" s="253" t="s">
        <v>381</v>
      </c>
      <c r="G45" s="253" t="s">
        <v>105</v>
      </c>
      <c r="H45" s="246" t="s">
        <v>109</v>
      </c>
      <c r="I45" s="246" t="s">
        <v>142</v>
      </c>
      <c r="J45" s="246" t="s">
        <v>47</v>
      </c>
      <c r="K45" s="256" t="s">
        <v>49</v>
      </c>
      <c r="L45" s="250" t="s">
        <v>18</v>
      </c>
      <c r="M45" s="90">
        <v>0.33</v>
      </c>
      <c r="N45" s="251">
        <v>0.5</v>
      </c>
      <c r="O45" s="97">
        <v>0.83000000000000007</v>
      </c>
      <c r="P45" s="93">
        <v>19.081969456246018</v>
      </c>
      <c r="Q45" s="93">
        <v>28.912074933706087</v>
      </c>
      <c r="R45" s="93">
        <v>57.75687396434946</v>
      </c>
      <c r="S45" s="104">
        <v>87.510415097499191</v>
      </c>
      <c r="T45" s="254" t="s">
        <v>107</v>
      </c>
      <c r="U45" s="97">
        <v>0</v>
      </c>
      <c r="V45" s="252">
        <v>0</v>
      </c>
      <c r="W45" s="97">
        <v>0</v>
      </c>
      <c r="X45" s="93">
        <v>0</v>
      </c>
      <c r="Y45" s="93">
        <v>0</v>
      </c>
      <c r="Z45" s="93">
        <v>0</v>
      </c>
      <c r="AA45" s="104">
        <v>0</v>
      </c>
      <c r="AB45" s="250" t="s">
        <v>107</v>
      </c>
      <c r="AC45" s="97">
        <v>0</v>
      </c>
      <c r="AD45" s="252">
        <v>0</v>
      </c>
      <c r="AE45" s="97">
        <v>0</v>
      </c>
      <c r="AF45" s="93">
        <v>0</v>
      </c>
      <c r="AG45" s="93">
        <v>0</v>
      </c>
      <c r="AH45" s="93">
        <v>0</v>
      </c>
      <c r="AI45" s="93">
        <v>0</v>
      </c>
      <c r="AJ45" s="247" t="s">
        <v>49</v>
      </c>
      <c r="AK45" s="246"/>
      <c r="AL45" s="93">
        <v>0</v>
      </c>
      <c r="AM45" s="93">
        <v>0</v>
      </c>
      <c r="AN45" s="254" t="s">
        <v>0</v>
      </c>
      <c r="AO45" s="246">
        <v>0</v>
      </c>
      <c r="AP45" s="92">
        <v>0</v>
      </c>
      <c r="AQ45" s="282">
        <v>0</v>
      </c>
      <c r="AR45" s="93">
        <v>0</v>
      </c>
      <c r="AS45" s="104">
        <v>0</v>
      </c>
      <c r="AT45" s="245">
        <v>1</v>
      </c>
      <c r="AU45" s="260">
        <v>0</v>
      </c>
      <c r="AV45" s="93">
        <v>47.994044389952109</v>
      </c>
      <c r="AW45" s="104">
        <v>145.26728906184866</v>
      </c>
      <c r="AX45" s="93">
        <v>47.994044389952109</v>
      </c>
      <c r="AY45" s="243">
        <v>145.26728906184866</v>
      </c>
    </row>
    <row r="46" spans="1:51" ht="45">
      <c r="A46" s="113" t="s">
        <v>852</v>
      </c>
      <c r="B46" s="90" t="s">
        <v>840</v>
      </c>
      <c r="C46" s="246" t="s">
        <v>11</v>
      </c>
      <c r="D46" s="253" t="s">
        <v>1414</v>
      </c>
      <c r="E46" s="246" t="s">
        <v>117</v>
      </c>
      <c r="F46" s="253" t="s">
        <v>381</v>
      </c>
      <c r="G46" s="253" t="s">
        <v>105</v>
      </c>
      <c r="H46" s="246" t="s">
        <v>110</v>
      </c>
      <c r="I46" s="246" t="s">
        <v>142</v>
      </c>
      <c r="J46" s="246" t="s">
        <v>47</v>
      </c>
      <c r="K46" s="256" t="s">
        <v>49</v>
      </c>
      <c r="L46" s="250" t="s">
        <v>18</v>
      </c>
      <c r="M46" s="90">
        <v>2</v>
      </c>
      <c r="N46" s="251">
        <v>0.5</v>
      </c>
      <c r="O46" s="97">
        <v>2.5</v>
      </c>
      <c r="P46" s="93">
        <v>115.64829973482435</v>
      </c>
      <c r="Q46" s="93">
        <v>28.912074933706087</v>
      </c>
      <c r="R46" s="93">
        <v>350.04166038999676</v>
      </c>
      <c r="S46" s="104">
        <v>87.510415097499191</v>
      </c>
      <c r="T46" s="254" t="s">
        <v>107</v>
      </c>
      <c r="U46" s="97">
        <v>0</v>
      </c>
      <c r="V46" s="252">
        <v>0</v>
      </c>
      <c r="W46" s="97">
        <v>0</v>
      </c>
      <c r="X46" s="93">
        <v>0</v>
      </c>
      <c r="Y46" s="93">
        <v>0</v>
      </c>
      <c r="Z46" s="93">
        <v>0</v>
      </c>
      <c r="AA46" s="104">
        <v>0</v>
      </c>
      <c r="AB46" s="250" t="s">
        <v>107</v>
      </c>
      <c r="AC46" s="97">
        <v>0</v>
      </c>
      <c r="AD46" s="252">
        <v>0</v>
      </c>
      <c r="AE46" s="97">
        <v>0</v>
      </c>
      <c r="AF46" s="93">
        <v>0</v>
      </c>
      <c r="AG46" s="93">
        <v>0</v>
      </c>
      <c r="AH46" s="93">
        <v>0</v>
      </c>
      <c r="AI46" s="93">
        <v>0</v>
      </c>
      <c r="AJ46" s="247" t="s">
        <v>49</v>
      </c>
      <c r="AK46" s="246"/>
      <c r="AL46" s="93">
        <v>0</v>
      </c>
      <c r="AM46" s="93">
        <v>0</v>
      </c>
      <c r="AN46" s="254" t="s">
        <v>0</v>
      </c>
      <c r="AO46" s="246">
        <v>0</v>
      </c>
      <c r="AP46" s="92">
        <v>0</v>
      </c>
      <c r="AQ46" s="282">
        <v>0</v>
      </c>
      <c r="AR46" s="93">
        <v>0</v>
      </c>
      <c r="AS46" s="104">
        <v>0</v>
      </c>
      <c r="AT46" s="245">
        <v>1</v>
      </c>
      <c r="AU46" s="260">
        <v>0</v>
      </c>
      <c r="AV46" s="93">
        <v>144.56037466853044</v>
      </c>
      <c r="AW46" s="104">
        <v>437.55207548749593</v>
      </c>
      <c r="AX46" s="93">
        <v>144.56037466853044</v>
      </c>
      <c r="AY46" s="243">
        <v>437.55207548749593</v>
      </c>
    </row>
    <row r="47" spans="1:51" ht="45">
      <c r="A47" s="113" t="s">
        <v>853</v>
      </c>
      <c r="B47" s="90" t="s">
        <v>841</v>
      </c>
      <c r="C47" s="246" t="s">
        <v>11</v>
      </c>
      <c r="D47" s="253" t="s">
        <v>1414</v>
      </c>
      <c r="E47" s="246" t="s">
        <v>117</v>
      </c>
      <c r="F47" s="253" t="s">
        <v>381</v>
      </c>
      <c r="G47" s="253" t="s">
        <v>111</v>
      </c>
      <c r="H47" s="246" t="s">
        <v>109</v>
      </c>
      <c r="I47" s="246" t="s">
        <v>142</v>
      </c>
      <c r="J47" s="246" t="s">
        <v>47</v>
      </c>
      <c r="K47" s="256" t="s">
        <v>49</v>
      </c>
      <c r="L47" s="250" t="s">
        <v>18</v>
      </c>
      <c r="M47" s="90">
        <v>0.33</v>
      </c>
      <c r="N47" s="251">
        <v>0.75</v>
      </c>
      <c r="O47" s="90">
        <v>1.08</v>
      </c>
      <c r="P47" s="93">
        <v>19.081969456246018</v>
      </c>
      <c r="Q47" s="93">
        <v>43.368112400559127</v>
      </c>
      <c r="R47" s="93">
        <v>57.75687396434946</v>
      </c>
      <c r="S47" s="104">
        <v>131.26562264624877</v>
      </c>
      <c r="T47" s="254" t="s">
        <v>107</v>
      </c>
      <c r="U47" s="97">
        <v>0</v>
      </c>
      <c r="V47" s="252">
        <v>0</v>
      </c>
      <c r="W47" s="97">
        <v>0</v>
      </c>
      <c r="X47" s="93">
        <v>0</v>
      </c>
      <c r="Y47" s="93">
        <v>0</v>
      </c>
      <c r="Z47" s="93">
        <v>0</v>
      </c>
      <c r="AA47" s="104">
        <v>0</v>
      </c>
      <c r="AB47" s="250" t="s">
        <v>107</v>
      </c>
      <c r="AC47" s="97">
        <v>0</v>
      </c>
      <c r="AD47" s="252">
        <v>0</v>
      </c>
      <c r="AE47" s="97">
        <v>0</v>
      </c>
      <c r="AF47" s="93">
        <v>0</v>
      </c>
      <c r="AG47" s="93">
        <v>0</v>
      </c>
      <c r="AH47" s="93">
        <v>0</v>
      </c>
      <c r="AI47" s="93">
        <v>0</v>
      </c>
      <c r="AJ47" s="247" t="s">
        <v>49</v>
      </c>
      <c r="AK47" s="246"/>
      <c r="AL47" s="93">
        <v>0</v>
      </c>
      <c r="AM47" s="93">
        <v>0</v>
      </c>
      <c r="AN47" s="254" t="s">
        <v>0</v>
      </c>
      <c r="AO47" s="246">
        <v>0</v>
      </c>
      <c r="AP47" s="92">
        <v>0</v>
      </c>
      <c r="AQ47" s="282">
        <v>0</v>
      </c>
      <c r="AR47" s="93">
        <v>0</v>
      </c>
      <c r="AS47" s="104">
        <v>0</v>
      </c>
      <c r="AT47" s="245">
        <v>1</v>
      </c>
      <c r="AU47" s="260">
        <v>0</v>
      </c>
      <c r="AV47" s="93">
        <v>62.450081856805141</v>
      </c>
      <c r="AW47" s="104">
        <v>189.02249661059824</v>
      </c>
      <c r="AX47" s="93">
        <v>62.450081856805141</v>
      </c>
      <c r="AY47" s="243">
        <v>189.02249661059824</v>
      </c>
    </row>
    <row r="48" spans="1:51" ht="45">
      <c r="A48" s="113" t="s">
        <v>854</v>
      </c>
      <c r="B48" s="90" t="s">
        <v>1199</v>
      </c>
      <c r="C48" s="246" t="s">
        <v>11</v>
      </c>
      <c r="D48" s="253" t="s">
        <v>1414</v>
      </c>
      <c r="E48" s="246" t="s">
        <v>117</v>
      </c>
      <c r="F48" s="253" t="s">
        <v>381</v>
      </c>
      <c r="G48" s="253" t="s">
        <v>111</v>
      </c>
      <c r="H48" s="246" t="s">
        <v>110</v>
      </c>
      <c r="I48" s="246" t="s">
        <v>142</v>
      </c>
      <c r="J48" s="246" t="s">
        <v>47</v>
      </c>
      <c r="K48" s="256" t="s">
        <v>49</v>
      </c>
      <c r="L48" s="250" t="s">
        <v>18</v>
      </c>
      <c r="M48" s="90">
        <v>2</v>
      </c>
      <c r="N48" s="251">
        <v>0.75</v>
      </c>
      <c r="O48" s="90">
        <v>2.75</v>
      </c>
      <c r="P48" s="93">
        <v>115.64829973482435</v>
      </c>
      <c r="Q48" s="93">
        <v>43.368112400559127</v>
      </c>
      <c r="R48" s="93">
        <v>350.04166038999676</v>
      </c>
      <c r="S48" s="104">
        <v>131.26562264624877</v>
      </c>
      <c r="T48" s="254" t="s">
        <v>107</v>
      </c>
      <c r="U48" s="97">
        <v>0</v>
      </c>
      <c r="V48" s="252">
        <v>0</v>
      </c>
      <c r="W48" s="97">
        <v>0</v>
      </c>
      <c r="X48" s="93">
        <v>0</v>
      </c>
      <c r="Y48" s="93">
        <v>0</v>
      </c>
      <c r="Z48" s="93">
        <v>0</v>
      </c>
      <c r="AA48" s="104">
        <v>0</v>
      </c>
      <c r="AB48" s="250" t="s">
        <v>107</v>
      </c>
      <c r="AC48" s="97">
        <v>0</v>
      </c>
      <c r="AD48" s="252">
        <v>0</v>
      </c>
      <c r="AE48" s="97">
        <v>0</v>
      </c>
      <c r="AF48" s="93">
        <v>0</v>
      </c>
      <c r="AG48" s="93">
        <v>0</v>
      </c>
      <c r="AH48" s="93">
        <v>0</v>
      </c>
      <c r="AI48" s="93">
        <v>0</v>
      </c>
      <c r="AJ48" s="247" t="s">
        <v>49</v>
      </c>
      <c r="AK48" s="246"/>
      <c r="AL48" s="93">
        <v>0</v>
      </c>
      <c r="AM48" s="93">
        <v>0</v>
      </c>
      <c r="AN48" s="254" t="s">
        <v>0</v>
      </c>
      <c r="AO48" s="246">
        <v>0</v>
      </c>
      <c r="AP48" s="92">
        <v>0</v>
      </c>
      <c r="AQ48" s="282">
        <v>0</v>
      </c>
      <c r="AR48" s="93">
        <v>0</v>
      </c>
      <c r="AS48" s="104">
        <v>0</v>
      </c>
      <c r="AT48" s="245">
        <v>1</v>
      </c>
      <c r="AU48" s="260">
        <v>0</v>
      </c>
      <c r="AV48" s="93">
        <v>159.01641213538346</v>
      </c>
      <c r="AW48" s="104">
        <v>481.30728303624551</v>
      </c>
      <c r="AX48" s="93">
        <v>159.01641213538346</v>
      </c>
      <c r="AY48" s="243">
        <v>481.30728303624551</v>
      </c>
    </row>
    <row r="49" spans="1:51" ht="45">
      <c r="A49" s="113" t="s">
        <v>855</v>
      </c>
      <c r="B49" s="90" t="s">
        <v>842</v>
      </c>
      <c r="C49" s="246" t="s">
        <v>11</v>
      </c>
      <c r="D49" s="253" t="s">
        <v>1414</v>
      </c>
      <c r="E49" s="246" t="s">
        <v>117</v>
      </c>
      <c r="F49" s="253" t="s">
        <v>381</v>
      </c>
      <c r="G49" s="253" t="s">
        <v>112</v>
      </c>
      <c r="H49" s="246" t="s">
        <v>109</v>
      </c>
      <c r="I49" s="246" t="s">
        <v>142</v>
      </c>
      <c r="J49" s="246" t="s">
        <v>113</v>
      </c>
      <c r="K49" s="256" t="s">
        <v>49</v>
      </c>
      <c r="L49" s="250" t="s">
        <v>18</v>
      </c>
      <c r="M49" s="90">
        <v>0.33</v>
      </c>
      <c r="N49" s="251">
        <v>0.5</v>
      </c>
      <c r="O49" s="90">
        <v>0.83000000000000007</v>
      </c>
      <c r="P49" s="93">
        <v>25.084366852241615</v>
      </c>
      <c r="Q49" s="93">
        <v>38.006616442790325</v>
      </c>
      <c r="R49" s="93">
        <v>75.924794769346875</v>
      </c>
      <c r="S49" s="104">
        <v>115.03756783234374</v>
      </c>
      <c r="T49" s="254" t="s">
        <v>107</v>
      </c>
      <c r="U49" s="97">
        <v>0</v>
      </c>
      <c r="V49" s="252">
        <v>0</v>
      </c>
      <c r="W49" s="97">
        <v>0</v>
      </c>
      <c r="X49" s="93">
        <v>0</v>
      </c>
      <c r="Y49" s="93">
        <v>0</v>
      </c>
      <c r="Z49" s="93">
        <v>0</v>
      </c>
      <c r="AA49" s="104">
        <v>0</v>
      </c>
      <c r="AB49" s="250" t="s">
        <v>107</v>
      </c>
      <c r="AC49" s="97">
        <v>0</v>
      </c>
      <c r="AD49" s="252">
        <v>0</v>
      </c>
      <c r="AE49" s="97">
        <v>0</v>
      </c>
      <c r="AF49" s="93">
        <v>0</v>
      </c>
      <c r="AG49" s="93">
        <v>0</v>
      </c>
      <c r="AH49" s="93">
        <v>0</v>
      </c>
      <c r="AI49" s="93">
        <v>0</v>
      </c>
      <c r="AJ49" s="247" t="s">
        <v>49</v>
      </c>
      <c r="AK49" s="246"/>
      <c r="AL49" s="93">
        <v>0</v>
      </c>
      <c r="AM49" s="93">
        <v>0</v>
      </c>
      <c r="AN49" s="254" t="s">
        <v>0</v>
      </c>
      <c r="AO49" s="246">
        <v>0</v>
      </c>
      <c r="AP49" s="92">
        <v>0</v>
      </c>
      <c r="AQ49" s="282">
        <v>0</v>
      </c>
      <c r="AR49" s="93">
        <v>0</v>
      </c>
      <c r="AS49" s="104">
        <v>0</v>
      </c>
      <c r="AT49" s="245">
        <v>1</v>
      </c>
      <c r="AU49" s="260">
        <v>0</v>
      </c>
      <c r="AV49" s="93">
        <v>63.09098329503194</v>
      </c>
      <c r="AW49" s="104">
        <v>190.96236260169061</v>
      </c>
      <c r="AX49" s="93">
        <v>63.09098329503194</v>
      </c>
      <c r="AY49" s="243">
        <v>190.96236260169061</v>
      </c>
    </row>
    <row r="50" spans="1:51" ht="45">
      <c r="A50" s="113" t="s">
        <v>856</v>
      </c>
      <c r="B50" s="90" t="s">
        <v>843</v>
      </c>
      <c r="C50" s="246" t="s">
        <v>11</v>
      </c>
      <c r="D50" s="253" t="s">
        <v>1414</v>
      </c>
      <c r="E50" s="246" t="s">
        <v>117</v>
      </c>
      <c r="F50" s="253" t="s">
        <v>381</v>
      </c>
      <c r="G50" s="253" t="s">
        <v>112</v>
      </c>
      <c r="H50" s="246" t="s">
        <v>110</v>
      </c>
      <c r="I50" s="246" t="s">
        <v>142</v>
      </c>
      <c r="J50" s="246" t="s">
        <v>113</v>
      </c>
      <c r="K50" s="256" t="s">
        <v>49</v>
      </c>
      <c r="L50" s="250" t="s">
        <v>18</v>
      </c>
      <c r="M50" s="90">
        <v>2</v>
      </c>
      <c r="N50" s="251">
        <v>0.5</v>
      </c>
      <c r="O50" s="90">
        <v>2.5</v>
      </c>
      <c r="P50" s="93">
        <v>152.0264657711613</v>
      </c>
      <c r="Q50" s="93">
        <v>38.006616442790325</v>
      </c>
      <c r="R50" s="93">
        <v>460.15027132937496</v>
      </c>
      <c r="S50" s="104">
        <v>115.03756783234374</v>
      </c>
      <c r="T50" s="254" t="s">
        <v>107</v>
      </c>
      <c r="U50" s="97">
        <v>0</v>
      </c>
      <c r="V50" s="252">
        <v>0</v>
      </c>
      <c r="W50" s="97">
        <v>0</v>
      </c>
      <c r="X50" s="93">
        <v>0</v>
      </c>
      <c r="Y50" s="93">
        <v>0</v>
      </c>
      <c r="Z50" s="93">
        <v>0</v>
      </c>
      <c r="AA50" s="104">
        <v>0</v>
      </c>
      <c r="AB50" s="250" t="s">
        <v>107</v>
      </c>
      <c r="AC50" s="97">
        <v>0</v>
      </c>
      <c r="AD50" s="252">
        <v>0</v>
      </c>
      <c r="AE50" s="97">
        <v>0</v>
      </c>
      <c r="AF50" s="93">
        <v>0</v>
      </c>
      <c r="AG50" s="93">
        <v>0</v>
      </c>
      <c r="AH50" s="93">
        <v>0</v>
      </c>
      <c r="AI50" s="93">
        <v>0</v>
      </c>
      <c r="AJ50" s="247" t="s">
        <v>49</v>
      </c>
      <c r="AK50" s="246"/>
      <c r="AL50" s="93">
        <v>0</v>
      </c>
      <c r="AM50" s="93">
        <v>0</v>
      </c>
      <c r="AN50" s="254" t="s">
        <v>0</v>
      </c>
      <c r="AO50" s="246">
        <v>0</v>
      </c>
      <c r="AP50" s="92">
        <v>0</v>
      </c>
      <c r="AQ50" s="282">
        <v>0</v>
      </c>
      <c r="AR50" s="93">
        <v>0</v>
      </c>
      <c r="AS50" s="104">
        <v>0</v>
      </c>
      <c r="AT50" s="245">
        <v>1</v>
      </c>
      <c r="AU50" s="260">
        <v>0</v>
      </c>
      <c r="AV50" s="93">
        <v>190.03308221395162</v>
      </c>
      <c r="AW50" s="104">
        <v>575.18783916171867</v>
      </c>
      <c r="AX50" s="93">
        <v>190.03308221395162</v>
      </c>
      <c r="AY50" s="243">
        <v>575.18783916171867</v>
      </c>
    </row>
    <row r="51" spans="1:51" ht="45">
      <c r="A51" s="113" t="s">
        <v>857</v>
      </c>
      <c r="B51" s="90" t="s">
        <v>844</v>
      </c>
      <c r="C51" s="246" t="s">
        <v>11</v>
      </c>
      <c r="D51" s="253" t="s">
        <v>1414</v>
      </c>
      <c r="E51" s="246" t="s">
        <v>117</v>
      </c>
      <c r="F51" s="253" t="s">
        <v>381</v>
      </c>
      <c r="G51" s="253" t="s">
        <v>121</v>
      </c>
      <c r="H51" s="246" t="s">
        <v>109</v>
      </c>
      <c r="I51" s="246" t="s">
        <v>142</v>
      </c>
      <c r="J51" s="246" t="s">
        <v>113</v>
      </c>
      <c r="K51" s="256" t="s">
        <v>49</v>
      </c>
      <c r="L51" s="250" t="s">
        <v>18</v>
      </c>
      <c r="M51" s="90">
        <v>0.33</v>
      </c>
      <c r="N51" s="251">
        <v>0.75</v>
      </c>
      <c r="O51" s="90">
        <v>1.08</v>
      </c>
      <c r="P51" s="93">
        <v>25.084366852241615</v>
      </c>
      <c r="Q51" s="93">
        <v>57.00992466418549</v>
      </c>
      <c r="R51" s="93">
        <v>75.924794769346875</v>
      </c>
      <c r="S51" s="104">
        <v>172.55635174851562</v>
      </c>
      <c r="T51" s="254" t="s">
        <v>107</v>
      </c>
      <c r="U51" s="97">
        <v>0</v>
      </c>
      <c r="V51" s="252">
        <v>0</v>
      </c>
      <c r="W51" s="97">
        <v>0</v>
      </c>
      <c r="X51" s="93">
        <v>0</v>
      </c>
      <c r="Y51" s="93">
        <v>0</v>
      </c>
      <c r="Z51" s="93">
        <v>0</v>
      </c>
      <c r="AA51" s="104">
        <v>0</v>
      </c>
      <c r="AB51" s="250" t="s">
        <v>107</v>
      </c>
      <c r="AC51" s="97">
        <v>0</v>
      </c>
      <c r="AD51" s="252">
        <v>0</v>
      </c>
      <c r="AE51" s="97">
        <v>0</v>
      </c>
      <c r="AF51" s="93">
        <v>0</v>
      </c>
      <c r="AG51" s="93">
        <v>0</v>
      </c>
      <c r="AH51" s="93">
        <v>0</v>
      </c>
      <c r="AI51" s="93">
        <v>0</v>
      </c>
      <c r="AJ51" s="247" t="s">
        <v>49</v>
      </c>
      <c r="AK51" s="246"/>
      <c r="AL51" s="93">
        <v>0</v>
      </c>
      <c r="AM51" s="93">
        <v>0</v>
      </c>
      <c r="AN51" s="254" t="s">
        <v>0</v>
      </c>
      <c r="AO51" s="246">
        <v>0</v>
      </c>
      <c r="AP51" s="92">
        <v>0</v>
      </c>
      <c r="AQ51" s="282">
        <v>0</v>
      </c>
      <c r="AR51" s="93">
        <v>0</v>
      </c>
      <c r="AS51" s="104">
        <v>0</v>
      </c>
      <c r="AT51" s="245">
        <v>1</v>
      </c>
      <c r="AU51" s="260">
        <v>0</v>
      </c>
      <c r="AV51" s="93">
        <v>82.094291516427106</v>
      </c>
      <c r="AW51" s="104">
        <v>248.4811465178625</v>
      </c>
      <c r="AX51" s="93">
        <v>82.094291516427106</v>
      </c>
      <c r="AY51" s="243">
        <v>248.4811465178625</v>
      </c>
    </row>
    <row r="52" spans="1:51" ht="45">
      <c r="A52" s="113" t="s">
        <v>858</v>
      </c>
      <c r="B52" s="90" t="s">
        <v>845</v>
      </c>
      <c r="C52" s="246" t="s">
        <v>11</v>
      </c>
      <c r="D52" s="253" t="s">
        <v>1414</v>
      </c>
      <c r="E52" s="246" t="s">
        <v>117</v>
      </c>
      <c r="F52" s="253" t="s">
        <v>381</v>
      </c>
      <c r="G52" s="253" t="s">
        <v>121</v>
      </c>
      <c r="H52" s="246" t="s">
        <v>110</v>
      </c>
      <c r="I52" s="246" t="s">
        <v>142</v>
      </c>
      <c r="J52" s="246" t="s">
        <v>113</v>
      </c>
      <c r="K52" s="256" t="s">
        <v>49</v>
      </c>
      <c r="L52" s="250" t="s">
        <v>18</v>
      </c>
      <c r="M52" s="90">
        <v>2</v>
      </c>
      <c r="N52" s="251">
        <v>0.75</v>
      </c>
      <c r="O52" s="90">
        <v>2.75</v>
      </c>
      <c r="P52" s="93">
        <v>152.0264657711613</v>
      </c>
      <c r="Q52" s="93">
        <v>57.00992466418549</v>
      </c>
      <c r="R52" s="93">
        <v>460.15027132937496</v>
      </c>
      <c r="S52" s="104">
        <v>172.55635174851562</v>
      </c>
      <c r="T52" s="254" t="s">
        <v>107</v>
      </c>
      <c r="U52" s="97">
        <v>0</v>
      </c>
      <c r="V52" s="252">
        <v>0</v>
      </c>
      <c r="W52" s="97">
        <v>0</v>
      </c>
      <c r="X52" s="93">
        <v>0</v>
      </c>
      <c r="Y52" s="93">
        <v>0</v>
      </c>
      <c r="Z52" s="93">
        <v>0</v>
      </c>
      <c r="AA52" s="104">
        <v>0</v>
      </c>
      <c r="AB52" s="250" t="s">
        <v>107</v>
      </c>
      <c r="AC52" s="97">
        <v>0</v>
      </c>
      <c r="AD52" s="252">
        <v>0</v>
      </c>
      <c r="AE52" s="97">
        <v>0</v>
      </c>
      <c r="AF52" s="93">
        <v>0</v>
      </c>
      <c r="AG52" s="93">
        <v>0</v>
      </c>
      <c r="AH52" s="93">
        <v>0</v>
      </c>
      <c r="AI52" s="93">
        <v>0</v>
      </c>
      <c r="AJ52" s="247" t="s">
        <v>49</v>
      </c>
      <c r="AK52" s="246"/>
      <c r="AL52" s="93">
        <v>0</v>
      </c>
      <c r="AM52" s="93">
        <v>0</v>
      </c>
      <c r="AN52" s="254" t="s">
        <v>0</v>
      </c>
      <c r="AO52" s="246">
        <v>0</v>
      </c>
      <c r="AP52" s="92">
        <v>0</v>
      </c>
      <c r="AQ52" s="282">
        <v>0</v>
      </c>
      <c r="AR52" s="93">
        <v>0</v>
      </c>
      <c r="AS52" s="104">
        <v>0</v>
      </c>
      <c r="AT52" s="245">
        <v>1</v>
      </c>
      <c r="AU52" s="260">
        <v>0</v>
      </c>
      <c r="AV52" s="93">
        <v>209.03639043534679</v>
      </c>
      <c r="AW52" s="104">
        <v>632.70662307789053</v>
      </c>
      <c r="AX52" s="93">
        <v>209.03639043534679</v>
      </c>
      <c r="AY52" s="243">
        <v>632.70662307789053</v>
      </c>
    </row>
    <row r="53" spans="1:51" ht="45">
      <c r="A53" s="113" t="s">
        <v>859</v>
      </c>
      <c r="B53" s="90" t="s">
        <v>846</v>
      </c>
      <c r="C53" s="246" t="s">
        <v>11</v>
      </c>
      <c r="D53" s="253" t="s">
        <v>1414</v>
      </c>
      <c r="E53" s="246" t="s">
        <v>117</v>
      </c>
      <c r="F53" s="253" t="s">
        <v>381</v>
      </c>
      <c r="G53" s="253" t="s">
        <v>119</v>
      </c>
      <c r="H53" s="246" t="s">
        <v>109</v>
      </c>
      <c r="I53" s="246" t="s">
        <v>142</v>
      </c>
      <c r="J53" s="246" t="s">
        <v>113</v>
      </c>
      <c r="K53" s="256" t="s">
        <v>49</v>
      </c>
      <c r="L53" s="250" t="s">
        <v>18</v>
      </c>
      <c r="M53" s="90">
        <v>0.33</v>
      </c>
      <c r="N53" s="251">
        <v>0.5</v>
      </c>
      <c r="O53" s="90">
        <v>0.83000000000000007</v>
      </c>
      <c r="P53" s="93">
        <v>25.084366852241615</v>
      </c>
      <c r="Q53" s="93">
        <v>38.006616442790325</v>
      </c>
      <c r="R53" s="93">
        <v>75.924794769346875</v>
      </c>
      <c r="S53" s="104">
        <v>115.03756783234374</v>
      </c>
      <c r="T53" s="254" t="s">
        <v>107</v>
      </c>
      <c r="U53" s="97">
        <v>0</v>
      </c>
      <c r="V53" s="252">
        <v>0</v>
      </c>
      <c r="W53" s="97">
        <v>0</v>
      </c>
      <c r="X53" s="93">
        <v>0</v>
      </c>
      <c r="Y53" s="93">
        <v>0</v>
      </c>
      <c r="Z53" s="93">
        <v>0</v>
      </c>
      <c r="AA53" s="104">
        <v>0</v>
      </c>
      <c r="AB53" s="250" t="s">
        <v>107</v>
      </c>
      <c r="AC53" s="97">
        <v>0</v>
      </c>
      <c r="AD53" s="252">
        <v>0</v>
      </c>
      <c r="AE53" s="97">
        <v>0</v>
      </c>
      <c r="AF53" s="93">
        <v>0</v>
      </c>
      <c r="AG53" s="93">
        <v>0</v>
      </c>
      <c r="AH53" s="93">
        <v>0</v>
      </c>
      <c r="AI53" s="93">
        <v>0</v>
      </c>
      <c r="AJ53" s="247" t="s">
        <v>49</v>
      </c>
      <c r="AK53" s="246"/>
      <c r="AL53" s="93">
        <v>0</v>
      </c>
      <c r="AM53" s="93">
        <v>0</v>
      </c>
      <c r="AN53" s="254" t="s">
        <v>0</v>
      </c>
      <c r="AO53" s="246">
        <v>0</v>
      </c>
      <c r="AP53" s="92">
        <v>0</v>
      </c>
      <c r="AQ53" s="282">
        <v>0</v>
      </c>
      <c r="AR53" s="93">
        <v>0</v>
      </c>
      <c r="AS53" s="104">
        <v>0</v>
      </c>
      <c r="AT53" s="245">
        <v>1</v>
      </c>
      <c r="AU53" s="260">
        <v>0</v>
      </c>
      <c r="AV53" s="93">
        <v>63.09098329503194</v>
      </c>
      <c r="AW53" s="104">
        <v>190.96236260169061</v>
      </c>
      <c r="AX53" s="93">
        <v>63.09098329503194</v>
      </c>
      <c r="AY53" s="243">
        <v>190.96236260169061</v>
      </c>
    </row>
    <row r="54" spans="1:51" ht="45">
      <c r="A54" s="113" t="s">
        <v>860</v>
      </c>
      <c r="B54" s="90" t="s">
        <v>1200</v>
      </c>
      <c r="C54" s="246" t="s">
        <v>11</v>
      </c>
      <c r="D54" s="253" t="s">
        <v>1414</v>
      </c>
      <c r="E54" s="246" t="s">
        <v>117</v>
      </c>
      <c r="F54" s="253" t="s">
        <v>381</v>
      </c>
      <c r="G54" s="253" t="s">
        <v>123</v>
      </c>
      <c r="H54" s="246" t="s">
        <v>109</v>
      </c>
      <c r="I54" s="246" t="s">
        <v>142</v>
      </c>
      <c r="J54" s="246" t="s">
        <v>113</v>
      </c>
      <c r="K54" s="256" t="s">
        <v>49</v>
      </c>
      <c r="L54" s="250" t="s">
        <v>18</v>
      </c>
      <c r="M54" s="90">
        <v>0.33</v>
      </c>
      <c r="N54" s="251">
        <v>0.75</v>
      </c>
      <c r="O54" s="90">
        <v>1.08</v>
      </c>
      <c r="P54" s="93">
        <v>25.084366852241615</v>
      </c>
      <c r="Q54" s="93">
        <v>57.00992466418549</v>
      </c>
      <c r="R54" s="93">
        <v>75.924794769346875</v>
      </c>
      <c r="S54" s="104">
        <v>172.55635174851562</v>
      </c>
      <c r="T54" s="254" t="s">
        <v>107</v>
      </c>
      <c r="U54" s="97">
        <v>0</v>
      </c>
      <c r="V54" s="252">
        <v>0</v>
      </c>
      <c r="W54" s="97">
        <v>0</v>
      </c>
      <c r="X54" s="93">
        <v>0</v>
      </c>
      <c r="Y54" s="93">
        <v>0</v>
      </c>
      <c r="Z54" s="93">
        <v>0</v>
      </c>
      <c r="AA54" s="104">
        <v>0</v>
      </c>
      <c r="AB54" s="250" t="s">
        <v>107</v>
      </c>
      <c r="AC54" s="97">
        <v>0</v>
      </c>
      <c r="AD54" s="252">
        <v>0</v>
      </c>
      <c r="AE54" s="97">
        <v>0</v>
      </c>
      <c r="AF54" s="93">
        <v>0</v>
      </c>
      <c r="AG54" s="93">
        <v>0</v>
      </c>
      <c r="AH54" s="93">
        <v>0</v>
      </c>
      <c r="AI54" s="93">
        <v>0</v>
      </c>
      <c r="AJ54" s="247" t="s">
        <v>49</v>
      </c>
      <c r="AK54" s="246"/>
      <c r="AL54" s="93">
        <v>0</v>
      </c>
      <c r="AM54" s="93">
        <v>0</v>
      </c>
      <c r="AN54" s="254" t="s">
        <v>0</v>
      </c>
      <c r="AO54" s="246">
        <v>0</v>
      </c>
      <c r="AP54" s="92">
        <v>0</v>
      </c>
      <c r="AQ54" s="282">
        <v>0</v>
      </c>
      <c r="AR54" s="93">
        <v>0</v>
      </c>
      <c r="AS54" s="104">
        <v>0</v>
      </c>
      <c r="AT54" s="245">
        <v>1</v>
      </c>
      <c r="AU54" s="260">
        <v>0</v>
      </c>
      <c r="AV54" s="93">
        <v>82.094291516427106</v>
      </c>
      <c r="AW54" s="104">
        <v>248.4811465178625</v>
      </c>
      <c r="AX54" s="93">
        <v>82.094291516427106</v>
      </c>
      <c r="AY54" s="243">
        <v>248.4811465178625</v>
      </c>
    </row>
    <row r="55" spans="1:51" ht="75">
      <c r="A55" s="113" t="s">
        <v>861</v>
      </c>
      <c r="B55" s="90" t="s">
        <v>847</v>
      </c>
      <c r="C55" s="246" t="s">
        <v>11</v>
      </c>
      <c r="D55" s="253" t="s">
        <v>1414</v>
      </c>
      <c r="E55" s="246" t="s">
        <v>117</v>
      </c>
      <c r="F55" s="253" t="s">
        <v>130</v>
      </c>
      <c r="G55" s="253" t="s">
        <v>105</v>
      </c>
      <c r="H55" s="246" t="s">
        <v>109</v>
      </c>
      <c r="I55" s="246" t="s">
        <v>142</v>
      </c>
      <c r="J55" s="246" t="s">
        <v>47</v>
      </c>
      <c r="K55" s="256" t="s">
        <v>49</v>
      </c>
      <c r="L55" s="250" t="s">
        <v>18</v>
      </c>
      <c r="M55" s="90">
        <v>0.33</v>
      </c>
      <c r="N55" s="251">
        <v>0.5</v>
      </c>
      <c r="O55" s="92">
        <v>0.83000000000000007</v>
      </c>
      <c r="P55" s="93">
        <v>19.081969456246018</v>
      </c>
      <c r="Q55" s="93">
        <v>28.912074933706087</v>
      </c>
      <c r="R55" s="93">
        <v>57.75687396434946</v>
      </c>
      <c r="S55" s="104">
        <v>87.510415097499191</v>
      </c>
      <c r="T55" s="254" t="s">
        <v>107</v>
      </c>
      <c r="U55" s="97">
        <v>0</v>
      </c>
      <c r="V55" s="252">
        <v>0</v>
      </c>
      <c r="W55" s="97">
        <v>0</v>
      </c>
      <c r="X55" s="93">
        <v>0</v>
      </c>
      <c r="Y55" s="93">
        <v>0</v>
      </c>
      <c r="Z55" s="93">
        <v>0</v>
      </c>
      <c r="AA55" s="104">
        <v>0</v>
      </c>
      <c r="AB55" s="250" t="s">
        <v>107</v>
      </c>
      <c r="AC55" s="97">
        <v>0</v>
      </c>
      <c r="AD55" s="252">
        <v>0</v>
      </c>
      <c r="AE55" s="97">
        <v>0</v>
      </c>
      <c r="AF55" s="93">
        <v>0</v>
      </c>
      <c r="AG55" s="93">
        <v>0</v>
      </c>
      <c r="AH55" s="93">
        <v>0</v>
      </c>
      <c r="AI55" s="93">
        <v>0</v>
      </c>
      <c r="AJ55" s="247" t="s">
        <v>49</v>
      </c>
      <c r="AK55" s="246"/>
      <c r="AL55" s="93">
        <v>0</v>
      </c>
      <c r="AM55" s="93">
        <v>0</v>
      </c>
      <c r="AN55" s="254" t="s">
        <v>0</v>
      </c>
      <c r="AO55" s="246">
        <v>0</v>
      </c>
      <c r="AP55" s="92">
        <v>0</v>
      </c>
      <c r="AQ55" s="282">
        <v>0</v>
      </c>
      <c r="AR55" s="93">
        <v>0</v>
      </c>
      <c r="AS55" s="104">
        <v>0</v>
      </c>
      <c r="AT55" s="245">
        <v>1</v>
      </c>
      <c r="AU55" s="260">
        <v>0</v>
      </c>
      <c r="AV55" s="93">
        <v>47.994044389952109</v>
      </c>
      <c r="AW55" s="104">
        <v>145.26728906184866</v>
      </c>
      <c r="AX55" s="93">
        <v>47.994044389952109</v>
      </c>
      <c r="AY55" s="243">
        <v>145.26728906184866</v>
      </c>
    </row>
    <row r="56" spans="1:51" ht="75">
      <c r="A56" s="113" t="s">
        <v>862</v>
      </c>
      <c r="B56" s="90" t="s">
        <v>848</v>
      </c>
      <c r="C56" s="246" t="s">
        <v>11</v>
      </c>
      <c r="D56" s="253" t="s">
        <v>1414</v>
      </c>
      <c r="E56" s="246" t="s">
        <v>117</v>
      </c>
      <c r="F56" s="253" t="s">
        <v>130</v>
      </c>
      <c r="G56" s="253" t="s">
        <v>105</v>
      </c>
      <c r="H56" s="246" t="s">
        <v>110</v>
      </c>
      <c r="I56" s="246" t="s">
        <v>142</v>
      </c>
      <c r="J56" s="246" t="s">
        <v>47</v>
      </c>
      <c r="K56" s="256" t="s">
        <v>49</v>
      </c>
      <c r="L56" s="250" t="s">
        <v>18</v>
      </c>
      <c r="M56" s="90">
        <v>2</v>
      </c>
      <c r="N56" s="251">
        <v>0.5</v>
      </c>
      <c r="O56" s="92">
        <v>2.5</v>
      </c>
      <c r="P56" s="93">
        <v>115.64829973482435</v>
      </c>
      <c r="Q56" s="93">
        <v>28.912074933706087</v>
      </c>
      <c r="R56" s="93">
        <v>350.04166038999676</v>
      </c>
      <c r="S56" s="104">
        <v>87.510415097499191</v>
      </c>
      <c r="T56" s="254" t="s">
        <v>107</v>
      </c>
      <c r="U56" s="97">
        <v>0</v>
      </c>
      <c r="V56" s="252">
        <v>0</v>
      </c>
      <c r="W56" s="97">
        <v>0</v>
      </c>
      <c r="X56" s="93">
        <v>0</v>
      </c>
      <c r="Y56" s="93">
        <v>0</v>
      </c>
      <c r="Z56" s="93">
        <v>0</v>
      </c>
      <c r="AA56" s="104">
        <v>0</v>
      </c>
      <c r="AB56" s="250" t="s">
        <v>107</v>
      </c>
      <c r="AC56" s="97">
        <v>0</v>
      </c>
      <c r="AD56" s="252">
        <v>0</v>
      </c>
      <c r="AE56" s="97">
        <v>0</v>
      </c>
      <c r="AF56" s="93">
        <v>0</v>
      </c>
      <c r="AG56" s="93">
        <v>0</v>
      </c>
      <c r="AH56" s="93">
        <v>0</v>
      </c>
      <c r="AI56" s="93">
        <v>0</v>
      </c>
      <c r="AJ56" s="247" t="s">
        <v>49</v>
      </c>
      <c r="AK56" s="246"/>
      <c r="AL56" s="93">
        <v>0</v>
      </c>
      <c r="AM56" s="93">
        <v>0</v>
      </c>
      <c r="AN56" s="254" t="s">
        <v>0</v>
      </c>
      <c r="AO56" s="246">
        <v>0</v>
      </c>
      <c r="AP56" s="92">
        <v>0</v>
      </c>
      <c r="AQ56" s="282">
        <v>0</v>
      </c>
      <c r="AR56" s="93">
        <v>0</v>
      </c>
      <c r="AS56" s="104">
        <v>0</v>
      </c>
      <c r="AT56" s="245">
        <v>1</v>
      </c>
      <c r="AU56" s="260">
        <v>0</v>
      </c>
      <c r="AV56" s="93">
        <v>144.56037466853044</v>
      </c>
      <c r="AW56" s="104">
        <v>437.55207548749593</v>
      </c>
      <c r="AX56" s="93">
        <v>144.56037466853044</v>
      </c>
      <c r="AY56" s="243">
        <v>437.55207548749593</v>
      </c>
    </row>
    <row r="57" spans="1:51" ht="75">
      <c r="A57" s="113" t="s">
        <v>863</v>
      </c>
      <c r="B57" s="90" t="s">
        <v>849</v>
      </c>
      <c r="C57" s="246" t="s">
        <v>11</v>
      </c>
      <c r="D57" s="253" t="s">
        <v>1414</v>
      </c>
      <c r="E57" s="246" t="s">
        <v>117</v>
      </c>
      <c r="F57" s="253" t="s">
        <v>130</v>
      </c>
      <c r="G57" s="253" t="s">
        <v>112</v>
      </c>
      <c r="H57" s="246" t="s">
        <v>109</v>
      </c>
      <c r="I57" s="246" t="s">
        <v>142</v>
      </c>
      <c r="J57" s="246" t="s">
        <v>113</v>
      </c>
      <c r="K57" s="256" t="s">
        <v>49</v>
      </c>
      <c r="L57" s="250" t="s">
        <v>18</v>
      </c>
      <c r="M57" s="90">
        <v>0.33</v>
      </c>
      <c r="N57" s="251">
        <v>0.5</v>
      </c>
      <c r="O57" s="92">
        <v>0.83000000000000007</v>
      </c>
      <c r="P57" s="93">
        <v>25.084366852241615</v>
      </c>
      <c r="Q57" s="93">
        <v>38.006616442790325</v>
      </c>
      <c r="R57" s="93">
        <v>75.924794769346875</v>
      </c>
      <c r="S57" s="104">
        <v>115.03756783234374</v>
      </c>
      <c r="T57" s="254" t="s">
        <v>107</v>
      </c>
      <c r="U57" s="97">
        <v>0</v>
      </c>
      <c r="V57" s="252">
        <v>0</v>
      </c>
      <c r="W57" s="97">
        <v>0</v>
      </c>
      <c r="X57" s="93">
        <v>0</v>
      </c>
      <c r="Y57" s="93">
        <v>0</v>
      </c>
      <c r="Z57" s="93">
        <v>0</v>
      </c>
      <c r="AA57" s="104">
        <v>0</v>
      </c>
      <c r="AB57" s="250" t="s">
        <v>107</v>
      </c>
      <c r="AC57" s="97">
        <v>0</v>
      </c>
      <c r="AD57" s="252">
        <v>0</v>
      </c>
      <c r="AE57" s="97">
        <v>0</v>
      </c>
      <c r="AF57" s="93">
        <v>0</v>
      </c>
      <c r="AG57" s="93">
        <v>0</v>
      </c>
      <c r="AH57" s="93">
        <v>0</v>
      </c>
      <c r="AI57" s="93">
        <v>0</v>
      </c>
      <c r="AJ57" s="247" t="s">
        <v>49</v>
      </c>
      <c r="AK57" s="246"/>
      <c r="AL57" s="93">
        <v>0</v>
      </c>
      <c r="AM57" s="93">
        <v>0</v>
      </c>
      <c r="AN57" s="254" t="s">
        <v>0</v>
      </c>
      <c r="AO57" s="246">
        <v>0</v>
      </c>
      <c r="AP57" s="92">
        <v>0</v>
      </c>
      <c r="AQ57" s="282">
        <v>0</v>
      </c>
      <c r="AR57" s="93">
        <v>0</v>
      </c>
      <c r="AS57" s="104">
        <v>0</v>
      </c>
      <c r="AT57" s="245">
        <v>1</v>
      </c>
      <c r="AU57" s="260">
        <v>0</v>
      </c>
      <c r="AV57" s="93">
        <v>63.09098329503194</v>
      </c>
      <c r="AW57" s="104">
        <v>190.96236260169061</v>
      </c>
      <c r="AX57" s="93">
        <v>63.09098329503194</v>
      </c>
      <c r="AY57" s="243">
        <v>190.96236260169061</v>
      </c>
    </row>
    <row r="58" spans="1:51" ht="75">
      <c r="A58" s="113" t="s">
        <v>864</v>
      </c>
      <c r="B58" s="90" t="s">
        <v>850</v>
      </c>
      <c r="C58" s="246" t="s">
        <v>11</v>
      </c>
      <c r="D58" s="253" t="s">
        <v>1414</v>
      </c>
      <c r="E58" s="246" t="s">
        <v>117</v>
      </c>
      <c r="F58" s="253" t="s">
        <v>130</v>
      </c>
      <c r="G58" s="253" t="s">
        <v>112</v>
      </c>
      <c r="H58" s="246" t="s">
        <v>110</v>
      </c>
      <c r="I58" s="246" t="s">
        <v>142</v>
      </c>
      <c r="J58" s="246" t="s">
        <v>113</v>
      </c>
      <c r="K58" s="256" t="s">
        <v>49</v>
      </c>
      <c r="L58" s="250" t="s">
        <v>18</v>
      </c>
      <c r="M58" s="90">
        <v>2</v>
      </c>
      <c r="N58" s="251">
        <v>0.5</v>
      </c>
      <c r="O58" s="92">
        <v>2.5</v>
      </c>
      <c r="P58" s="93">
        <v>152.0264657711613</v>
      </c>
      <c r="Q58" s="93">
        <v>38.006616442790325</v>
      </c>
      <c r="R58" s="93">
        <v>460.15027132937496</v>
      </c>
      <c r="S58" s="104">
        <v>115.03756783234374</v>
      </c>
      <c r="T58" s="254" t="s">
        <v>107</v>
      </c>
      <c r="U58" s="97">
        <v>0</v>
      </c>
      <c r="V58" s="252">
        <v>0</v>
      </c>
      <c r="W58" s="97">
        <v>0</v>
      </c>
      <c r="X58" s="93">
        <v>0</v>
      </c>
      <c r="Y58" s="93">
        <v>0</v>
      </c>
      <c r="Z58" s="93">
        <v>0</v>
      </c>
      <c r="AA58" s="104">
        <v>0</v>
      </c>
      <c r="AB58" s="250" t="s">
        <v>107</v>
      </c>
      <c r="AC58" s="97">
        <v>0</v>
      </c>
      <c r="AD58" s="252">
        <v>0</v>
      </c>
      <c r="AE58" s="97">
        <v>0</v>
      </c>
      <c r="AF58" s="93">
        <v>0</v>
      </c>
      <c r="AG58" s="93">
        <v>0</v>
      </c>
      <c r="AH58" s="93">
        <v>0</v>
      </c>
      <c r="AI58" s="93">
        <v>0</v>
      </c>
      <c r="AJ58" s="247" t="s">
        <v>49</v>
      </c>
      <c r="AK58" s="246"/>
      <c r="AL58" s="93">
        <v>0</v>
      </c>
      <c r="AM58" s="93">
        <v>0</v>
      </c>
      <c r="AN58" s="254" t="s">
        <v>0</v>
      </c>
      <c r="AO58" s="246">
        <v>0</v>
      </c>
      <c r="AP58" s="92">
        <v>0</v>
      </c>
      <c r="AQ58" s="282">
        <v>0</v>
      </c>
      <c r="AR58" s="93">
        <v>0</v>
      </c>
      <c r="AS58" s="104">
        <v>0</v>
      </c>
      <c r="AT58" s="245">
        <v>1</v>
      </c>
      <c r="AU58" s="260">
        <v>0</v>
      </c>
      <c r="AV58" s="93">
        <v>190.03308221395162</v>
      </c>
      <c r="AW58" s="104">
        <v>575.18783916171867</v>
      </c>
      <c r="AX58" s="93">
        <v>190.03308221395162</v>
      </c>
      <c r="AY58" s="243">
        <v>575.18783916171867</v>
      </c>
    </row>
    <row r="59" spans="1:51" ht="75">
      <c r="A59" s="113" t="s">
        <v>865</v>
      </c>
      <c r="B59" s="90" t="s">
        <v>851</v>
      </c>
      <c r="C59" s="246" t="s">
        <v>11</v>
      </c>
      <c r="D59" s="253" t="s">
        <v>1414</v>
      </c>
      <c r="E59" s="246" t="s">
        <v>117</v>
      </c>
      <c r="F59" s="253" t="s">
        <v>130</v>
      </c>
      <c r="G59" s="253" t="s">
        <v>119</v>
      </c>
      <c r="H59" s="246" t="s">
        <v>109</v>
      </c>
      <c r="I59" s="246" t="s">
        <v>142</v>
      </c>
      <c r="J59" s="246" t="s">
        <v>113</v>
      </c>
      <c r="K59" s="256" t="s">
        <v>49</v>
      </c>
      <c r="L59" s="250" t="s">
        <v>18</v>
      </c>
      <c r="M59" s="90">
        <v>0.33</v>
      </c>
      <c r="N59" s="251">
        <v>0.5</v>
      </c>
      <c r="O59" s="92">
        <v>0.83000000000000007</v>
      </c>
      <c r="P59" s="93">
        <v>25.084366852241615</v>
      </c>
      <c r="Q59" s="93">
        <v>38.006616442790325</v>
      </c>
      <c r="R59" s="93">
        <v>75.924794769346875</v>
      </c>
      <c r="S59" s="104">
        <v>115.03756783234374</v>
      </c>
      <c r="T59" s="254" t="s">
        <v>107</v>
      </c>
      <c r="U59" s="97">
        <v>0</v>
      </c>
      <c r="V59" s="252">
        <v>0</v>
      </c>
      <c r="W59" s="97">
        <v>0</v>
      </c>
      <c r="X59" s="93">
        <v>0</v>
      </c>
      <c r="Y59" s="93">
        <v>0</v>
      </c>
      <c r="Z59" s="93">
        <v>0</v>
      </c>
      <c r="AA59" s="104">
        <v>0</v>
      </c>
      <c r="AB59" s="250" t="s">
        <v>107</v>
      </c>
      <c r="AC59" s="97">
        <v>0</v>
      </c>
      <c r="AD59" s="252">
        <v>0</v>
      </c>
      <c r="AE59" s="97">
        <v>0</v>
      </c>
      <c r="AF59" s="93">
        <v>0</v>
      </c>
      <c r="AG59" s="93">
        <v>0</v>
      </c>
      <c r="AH59" s="93">
        <v>0</v>
      </c>
      <c r="AI59" s="93">
        <v>0</v>
      </c>
      <c r="AJ59" s="247" t="s">
        <v>49</v>
      </c>
      <c r="AK59" s="246"/>
      <c r="AL59" s="93">
        <v>0</v>
      </c>
      <c r="AM59" s="93">
        <v>0</v>
      </c>
      <c r="AN59" s="254" t="s">
        <v>0</v>
      </c>
      <c r="AO59" s="246">
        <v>0</v>
      </c>
      <c r="AP59" s="92">
        <v>0</v>
      </c>
      <c r="AQ59" s="282">
        <v>0</v>
      </c>
      <c r="AR59" s="93">
        <v>0</v>
      </c>
      <c r="AS59" s="104">
        <v>0</v>
      </c>
      <c r="AT59" s="245">
        <v>1</v>
      </c>
      <c r="AU59" s="260">
        <v>0</v>
      </c>
      <c r="AV59" s="93">
        <v>63.09098329503194</v>
      </c>
      <c r="AW59" s="104">
        <v>190.96236260169061</v>
      </c>
      <c r="AX59" s="93">
        <v>63.09098329503194</v>
      </c>
      <c r="AY59" s="243">
        <v>190.96236260169061</v>
      </c>
    </row>
    <row r="60" spans="1:51" ht="75">
      <c r="A60" s="113" t="s">
        <v>866</v>
      </c>
      <c r="B60" s="90" t="s">
        <v>852</v>
      </c>
      <c r="C60" s="246" t="s">
        <v>11</v>
      </c>
      <c r="D60" s="253" t="s">
        <v>1414</v>
      </c>
      <c r="E60" s="246" t="s">
        <v>117</v>
      </c>
      <c r="F60" s="253" t="s">
        <v>130</v>
      </c>
      <c r="G60" s="253" t="s">
        <v>111</v>
      </c>
      <c r="H60" s="246" t="s">
        <v>109</v>
      </c>
      <c r="I60" s="246" t="s">
        <v>142</v>
      </c>
      <c r="J60" s="246" t="s">
        <v>47</v>
      </c>
      <c r="K60" s="256" t="s">
        <v>49</v>
      </c>
      <c r="L60" s="250" t="s">
        <v>18</v>
      </c>
      <c r="M60" s="90">
        <v>0.33</v>
      </c>
      <c r="N60" s="251">
        <v>0.75</v>
      </c>
      <c r="O60" s="90">
        <v>1.08</v>
      </c>
      <c r="P60" s="93">
        <v>19.081969456246018</v>
      </c>
      <c r="Q60" s="93">
        <v>43.368112400559127</v>
      </c>
      <c r="R60" s="93">
        <v>57.75687396434946</v>
      </c>
      <c r="S60" s="104">
        <v>131.26562264624877</v>
      </c>
      <c r="T60" s="254" t="s">
        <v>107</v>
      </c>
      <c r="U60" s="97">
        <v>0</v>
      </c>
      <c r="V60" s="252">
        <v>0</v>
      </c>
      <c r="W60" s="97">
        <v>0</v>
      </c>
      <c r="X60" s="93">
        <v>0</v>
      </c>
      <c r="Y60" s="93">
        <v>0</v>
      </c>
      <c r="Z60" s="93">
        <v>0</v>
      </c>
      <c r="AA60" s="104">
        <v>0</v>
      </c>
      <c r="AB60" s="250" t="s">
        <v>107</v>
      </c>
      <c r="AC60" s="97">
        <v>0</v>
      </c>
      <c r="AD60" s="252">
        <v>0</v>
      </c>
      <c r="AE60" s="97">
        <v>0</v>
      </c>
      <c r="AF60" s="93">
        <v>0</v>
      </c>
      <c r="AG60" s="93">
        <v>0</v>
      </c>
      <c r="AH60" s="93">
        <v>0</v>
      </c>
      <c r="AI60" s="93">
        <v>0</v>
      </c>
      <c r="AJ60" s="247" t="s">
        <v>49</v>
      </c>
      <c r="AK60" s="246"/>
      <c r="AL60" s="93">
        <v>0</v>
      </c>
      <c r="AM60" s="93">
        <v>0</v>
      </c>
      <c r="AN60" s="254" t="s">
        <v>0</v>
      </c>
      <c r="AO60" s="246">
        <v>0</v>
      </c>
      <c r="AP60" s="92">
        <v>0</v>
      </c>
      <c r="AQ60" s="282">
        <v>0</v>
      </c>
      <c r="AR60" s="93">
        <v>0</v>
      </c>
      <c r="AS60" s="104">
        <v>0</v>
      </c>
      <c r="AT60" s="245">
        <v>1</v>
      </c>
      <c r="AU60" s="260">
        <v>0</v>
      </c>
      <c r="AV60" s="93">
        <v>62.450081856805141</v>
      </c>
      <c r="AW60" s="104">
        <v>189.02249661059824</v>
      </c>
      <c r="AX60" s="93">
        <v>62.450081856805141</v>
      </c>
      <c r="AY60" s="243">
        <v>189.02249661059824</v>
      </c>
    </row>
    <row r="61" spans="1:51" ht="75">
      <c r="A61" s="113" t="s">
        <v>867</v>
      </c>
      <c r="B61" s="90" t="s">
        <v>853</v>
      </c>
      <c r="C61" s="246" t="s">
        <v>11</v>
      </c>
      <c r="D61" s="253" t="s">
        <v>1414</v>
      </c>
      <c r="E61" s="246" t="s">
        <v>117</v>
      </c>
      <c r="F61" s="253" t="s">
        <v>130</v>
      </c>
      <c r="G61" s="253" t="s">
        <v>111</v>
      </c>
      <c r="H61" s="246" t="s">
        <v>110</v>
      </c>
      <c r="I61" s="246" t="s">
        <v>142</v>
      </c>
      <c r="J61" s="246" t="s">
        <v>47</v>
      </c>
      <c r="K61" s="256" t="s">
        <v>49</v>
      </c>
      <c r="L61" s="250" t="s">
        <v>18</v>
      </c>
      <c r="M61" s="90">
        <v>2</v>
      </c>
      <c r="N61" s="251">
        <v>0.75</v>
      </c>
      <c r="O61" s="90">
        <v>2.75</v>
      </c>
      <c r="P61" s="93">
        <v>115.64829973482435</v>
      </c>
      <c r="Q61" s="93">
        <v>43.368112400559127</v>
      </c>
      <c r="R61" s="93">
        <v>350.04166038999676</v>
      </c>
      <c r="S61" s="104">
        <v>131.26562264624877</v>
      </c>
      <c r="T61" s="254" t="s">
        <v>107</v>
      </c>
      <c r="U61" s="97">
        <v>0</v>
      </c>
      <c r="V61" s="252">
        <v>0</v>
      </c>
      <c r="W61" s="97">
        <v>0</v>
      </c>
      <c r="X61" s="93">
        <v>0</v>
      </c>
      <c r="Y61" s="93">
        <v>0</v>
      </c>
      <c r="Z61" s="93">
        <v>0</v>
      </c>
      <c r="AA61" s="104">
        <v>0</v>
      </c>
      <c r="AB61" s="250" t="s">
        <v>107</v>
      </c>
      <c r="AC61" s="97">
        <v>0</v>
      </c>
      <c r="AD61" s="252">
        <v>0</v>
      </c>
      <c r="AE61" s="97">
        <v>0</v>
      </c>
      <c r="AF61" s="93">
        <v>0</v>
      </c>
      <c r="AG61" s="93">
        <v>0</v>
      </c>
      <c r="AH61" s="93">
        <v>0</v>
      </c>
      <c r="AI61" s="93">
        <v>0</v>
      </c>
      <c r="AJ61" s="247" t="s">
        <v>49</v>
      </c>
      <c r="AK61" s="246"/>
      <c r="AL61" s="93">
        <v>0</v>
      </c>
      <c r="AM61" s="93">
        <v>0</v>
      </c>
      <c r="AN61" s="254" t="s">
        <v>0</v>
      </c>
      <c r="AO61" s="246">
        <v>0</v>
      </c>
      <c r="AP61" s="92">
        <v>0</v>
      </c>
      <c r="AQ61" s="282">
        <v>0</v>
      </c>
      <c r="AR61" s="93">
        <v>0</v>
      </c>
      <c r="AS61" s="104">
        <v>0</v>
      </c>
      <c r="AT61" s="245">
        <v>1</v>
      </c>
      <c r="AU61" s="260">
        <v>0</v>
      </c>
      <c r="AV61" s="93">
        <v>159.01641213538346</v>
      </c>
      <c r="AW61" s="104">
        <v>481.30728303624551</v>
      </c>
      <c r="AX61" s="93">
        <v>159.01641213538346</v>
      </c>
      <c r="AY61" s="243">
        <v>481.30728303624551</v>
      </c>
    </row>
    <row r="62" spans="1:51" ht="75">
      <c r="A62" s="113" t="s">
        <v>868</v>
      </c>
      <c r="B62" s="90" t="s">
        <v>854</v>
      </c>
      <c r="C62" s="246" t="s">
        <v>11</v>
      </c>
      <c r="D62" s="253" t="s">
        <v>1414</v>
      </c>
      <c r="E62" s="246" t="s">
        <v>117</v>
      </c>
      <c r="F62" s="253" t="s">
        <v>130</v>
      </c>
      <c r="G62" s="253" t="s">
        <v>121</v>
      </c>
      <c r="H62" s="246" t="s">
        <v>109</v>
      </c>
      <c r="I62" s="246" t="s">
        <v>142</v>
      </c>
      <c r="J62" s="246" t="s">
        <v>113</v>
      </c>
      <c r="K62" s="256" t="s">
        <v>49</v>
      </c>
      <c r="L62" s="250" t="s">
        <v>18</v>
      </c>
      <c r="M62" s="90">
        <v>0.33</v>
      </c>
      <c r="N62" s="251">
        <v>0.75</v>
      </c>
      <c r="O62" s="90">
        <v>1.08</v>
      </c>
      <c r="P62" s="93">
        <v>25.084366852241615</v>
      </c>
      <c r="Q62" s="93">
        <v>57.00992466418549</v>
      </c>
      <c r="R62" s="93">
        <v>75.924794769346875</v>
      </c>
      <c r="S62" s="104">
        <v>172.55635174851562</v>
      </c>
      <c r="T62" s="254" t="s">
        <v>107</v>
      </c>
      <c r="U62" s="97">
        <v>0</v>
      </c>
      <c r="V62" s="252">
        <v>0</v>
      </c>
      <c r="W62" s="97">
        <v>0</v>
      </c>
      <c r="X62" s="93">
        <v>0</v>
      </c>
      <c r="Y62" s="93">
        <v>0</v>
      </c>
      <c r="Z62" s="93">
        <v>0</v>
      </c>
      <c r="AA62" s="104">
        <v>0</v>
      </c>
      <c r="AB62" s="250" t="s">
        <v>107</v>
      </c>
      <c r="AC62" s="97">
        <v>0</v>
      </c>
      <c r="AD62" s="252">
        <v>0</v>
      </c>
      <c r="AE62" s="97">
        <v>0</v>
      </c>
      <c r="AF62" s="93">
        <v>0</v>
      </c>
      <c r="AG62" s="93">
        <v>0</v>
      </c>
      <c r="AH62" s="93">
        <v>0</v>
      </c>
      <c r="AI62" s="93">
        <v>0</v>
      </c>
      <c r="AJ62" s="247" t="s">
        <v>49</v>
      </c>
      <c r="AK62" s="246"/>
      <c r="AL62" s="93">
        <v>0</v>
      </c>
      <c r="AM62" s="93">
        <v>0</v>
      </c>
      <c r="AN62" s="254" t="s">
        <v>0</v>
      </c>
      <c r="AO62" s="246">
        <v>0</v>
      </c>
      <c r="AP62" s="92">
        <v>0</v>
      </c>
      <c r="AQ62" s="282">
        <v>0</v>
      </c>
      <c r="AR62" s="93">
        <v>0</v>
      </c>
      <c r="AS62" s="104">
        <v>0</v>
      </c>
      <c r="AT62" s="245">
        <v>1</v>
      </c>
      <c r="AU62" s="260">
        <v>0</v>
      </c>
      <c r="AV62" s="93">
        <v>82.094291516427106</v>
      </c>
      <c r="AW62" s="104">
        <v>248.4811465178625</v>
      </c>
      <c r="AX62" s="93">
        <v>82.094291516427106</v>
      </c>
      <c r="AY62" s="243">
        <v>248.4811465178625</v>
      </c>
    </row>
    <row r="63" spans="1:51" ht="75">
      <c r="A63" s="113" t="s">
        <v>869</v>
      </c>
      <c r="B63" s="90" t="s">
        <v>855</v>
      </c>
      <c r="C63" s="246" t="s">
        <v>11</v>
      </c>
      <c r="D63" s="253" t="s">
        <v>1414</v>
      </c>
      <c r="E63" s="246" t="s">
        <v>117</v>
      </c>
      <c r="F63" s="253" t="s">
        <v>130</v>
      </c>
      <c r="G63" s="253" t="s">
        <v>121</v>
      </c>
      <c r="H63" s="246" t="s">
        <v>110</v>
      </c>
      <c r="I63" s="246" t="s">
        <v>142</v>
      </c>
      <c r="J63" s="246" t="s">
        <v>113</v>
      </c>
      <c r="K63" s="256" t="s">
        <v>49</v>
      </c>
      <c r="L63" s="250" t="s">
        <v>18</v>
      </c>
      <c r="M63" s="90">
        <v>2</v>
      </c>
      <c r="N63" s="251">
        <v>0.75</v>
      </c>
      <c r="O63" s="90">
        <v>2.75</v>
      </c>
      <c r="P63" s="93">
        <v>152.0264657711613</v>
      </c>
      <c r="Q63" s="93">
        <v>57.00992466418549</v>
      </c>
      <c r="R63" s="93">
        <v>460.15027132937496</v>
      </c>
      <c r="S63" s="104">
        <v>172.55635174851562</v>
      </c>
      <c r="T63" s="254" t="s">
        <v>107</v>
      </c>
      <c r="U63" s="97">
        <v>0</v>
      </c>
      <c r="V63" s="252">
        <v>0</v>
      </c>
      <c r="W63" s="97">
        <v>0</v>
      </c>
      <c r="X63" s="93">
        <v>0</v>
      </c>
      <c r="Y63" s="93">
        <v>0</v>
      </c>
      <c r="Z63" s="93">
        <v>0</v>
      </c>
      <c r="AA63" s="104">
        <v>0</v>
      </c>
      <c r="AB63" s="250" t="s">
        <v>107</v>
      </c>
      <c r="AC63" s="97">
        <v>0</v>
      </c>
      <c r="AD63" s="252">
        <v>0</v>
      </c>
      <c r="AE63" s="97">
        <v>0</v>
      </c>
      <c r="AF63" s="93">
        <v>0</v>
      </c>
      <c r="AG63" s="93">
        <v>0</v>
      </c>
      <c r="AH63" s="93">
        <v>0</v>
      </c>
      <c r="AI63" s="93">
        <v>0</v>
      </c>
      <c r="AJ63" s="247" t="s">
        <v>49</v>
      </c>
      <c r="AK63" s="246"/>
      <c r="AL63" s="93">
        <v>0</v>
      </c>
      <c r="AM63" s="93">
        <v>0</v>
      </c>
      <c r="AN63" s="254" t="s">
        <v>0</v>
      </c>
      <c r="AO63" s="246">
        <v>0</v>
      </c>
      <c r="AP63" s="92">
        <v>0</v>
      </c>
      <c r="AQ63" s="282">
        <v>0</v>
      </c>
      <c r="AR63" s="93">
        <v>0</v>
      </c>
      <c r="AS63" s="104">
        <v>0</v>
      </c>
      <c r="AT63" s="245">
        <v>1</v>
      </c>
      <c r="AU63" s="260">
        <v>0</v>
      </c>
      <c r="AV63" s="93">
        <v>209.03639043534679</v>
      </c>
      <c r="AW63" s="104">
        <v>632.70662307789053</v>
      </c>
      <c r="AX63" s="93">
        <v>209.03639043534679</v>
      </c>
      <c r="AY63" s="243">
        <v>632.70662307789053</v>
      </c>
    </row>
    <row r="64" spans="1:51" ht="75">
      <c r="A64" s="113" t="s">
        <v>870</v>
      </c>
      <c r="B64" s="90" t="s">
        <v>856</v>
      </c>
      <c r="C64" s="246" t="s">
        <v>11</v>
      </c>
      <c r="D64" s="253" t="s">
        <v>1414</v>
      </c>
      <c r="E64" s="246" t="s">
        <v>117</v>
      </c>
      <c r="F64" s="253" t="s">
        <v>130</v>
      </c>
      <c r="G64" s="253" t="s">
        <v>123</v>
      </c>
      <c r="H64" s="246" t="s">
        <v>109</v>
      </c>
      <c r="I64" s="246" t="s">
        <v>142</v>
      </c>
      <c r="J64" s="246" t="s">
        <v>113</v>
      </c>
      <c r="K64" s="256" t="s">
        <v>49</v>
      </c>
      <c r="L64" s="250" t="s">
        <v>18</v>
      </c>
      <c r="M64" s="90">
        <v>0.33</v>
      </c>
      <c r="N64" s="251">
        <v>0.75</v>
      </c>
      <c r="O64" s="90">
        <v>1.08</v>
      </c>
      <c r="P64" s="93">
        <v>25.084366852241615</v>
      </c>
      <c r="Q64" s="93">
        <v>57.00992466418549</v>
      </c>
      <c r="R64" s="93">
        <v>75.924794769346875</v>
      </c>
      <c r="S64" s="104">
        <v>172.55635174851562</v>
      </c>
      <c r="T64" s="254" t="s">
        <v>107</v>
      </c>
      <c r="U64" s="97">
        <v>0</v>
      </c>
      <c r="V64" s="252">
        <v>0</v>
      </c>
      <c r="W64" s="97">
        <v>0</v>
      </c>
      <c r="X64" s="93">
        <v>0</v>
      </c>
      <c r="Y64" s="93">
        <v>0</v>
      </c>
      <c r="Z64" s="93">
        <v>0</v>
      </c>
      <c r="AA64" s="104">
        <v>0</v>
      </c>
      <c r="AB64" s="250" t="s">
        <v>107</v>
      </c>
      <c r="AC64" s="97">
        <v>0</v>
      </c>
      <c r="AD64" s="252">
        <v>0</v>
      </c>
      <c r="AE64" s="97">
        <v>0</v>
      </c>
      <c r="AF64" s="93">
        <v>0</v>
      </c>
      <c r="AG64" s="93">
        <v>0</v>
      </c>
      <c r="AH64" s="93">
        <v>0</v>
      </c>
      <c r="AI64" s="93">
        <v>0</v>
      </c>
      <c r="AJ64" s="247" t="s">
        <v>49</v>
      </c>
      <c r="AK64" s="246"/>
      <c r="AL64" s="93">
        <v>0</v>
      </c>
      <c r="AM64" s="93">
        <v>0</v>
      </c>
      <c r="AN64" s="254" t="s">
        <v>0</v>
      </c>
      <c r="AO64" s="246">
        <v>0</v>
      </c>
      <c r="AP64" s="92">
        <v>0</v>
      </c>
      <c r="AQ64" s="282">
        <v>0</v>
      </c>
      <c r="AR64" s="93">
        <v>0</v>
      </c>
      <c r="AS64" s="104">
        <v>0</v>
      </c>
      <c r="AT64" s="245">
        <v>1</v>
      </c>
      <c r="AU64" s="260">
        <v>0</v>
      </c>
      <c r="AV64" s="93">
        <v>82.094291516427106</v>
      </c>
      <c r="AW64" s="104">
        <v>248.4811465178625</v>
      </c>
      <c r="AX64" s="93">
        <v>82.094291516427106</v>
      </c>
      <c r="AY64" s="243">
        <v>248.4811465178625</v>
      </c>
    </row>
    <row r="65" spans="1:51" ht="60">
      <c r="A65" s="113" t="s">
        <v>871</v>
      </c>
      <c r="B65" s="90" t="s">
        <v>857</v>
      </c>
      <c r="C65" s="246" t="s">
        <v>11</v>
      </c>
      <c r="D65" s="253" t="s">
        <v>1414</v>
      </c>
      <c r="E65" s="246" t="s">
        <v>117</v>
      </c>
      <c r="F65" s="253" t="s">
        <v>188</v>
      </c>
      <c r="G65" s="253" t="s">
        <v>127</v>
      </c>
      <c r="H65" s="246" t="s">
        <v>1298</v>
      </c>
      <c r="I65" s="246" t="s">
        <v>49</v>
      </c>
      <c r="J65" s="246" t="s">
        <v>47</v>
      </c>
      <c r="K65" s="256" t="s">
        <v>49</v>
      </c>
      <c r="L65" s="250" t="s">
        <v>21</v>
      </c>
      <c r="M65" s="90">
        <v>0</v>
      </c>
      <c r="N65" s="251">
        <v>0.5</v>
      </c>
      <c r="O65" s="90">
        <v>0.5</v>
      </c>
      <c r="P65" s="93">
        <v>0</v>
      </c>
      <c r="Q65" s="93">
        <v>31.315809338014457</v>
      </c>
      <c r="R65" s="93">
        <v>0</v>
      </c>
      <c r="S65" s="104">
        <v>94.785984076463563</v>
      </c>
      <c r="T65" s="254" t="s">
        <v>107</v>
      </c>
      <c r="U65" s="97">
        <v>0</v>
      </c>
      <c r="V65" s="252">
        <v>0</v>
      </c>
      <c r="W65" s="97">
        <v>0</v>
      </c>
      <c r="X65" s="93">
        <v>0</v>
      </c>
      <c r="Y65" s="93">
        <v>0</v>
      </c>
      <c r="Z65" s="93">
        <v>0</v>
      </c>
      <c r="AA65" s="104">
        <v>0</v>
      </c>
      <c r="AB65" s="250" t="s">
        <v>107</v>
      </c>
      <c r="AC65" s="97">
        <v>0</v>
      </c>
      <c r="AD65" s="252">
        <v>0</v>
      </c>
      <c r="AE65" s="97">
        <v>0</v>
      </c>
      <c r="AF65" s="93">
        <v>0</v>
      </c>
      <c r="AG65" s="93">
        <v>0</v>
      </c>
      <c r="AH65" s="93">
        <v>0</v>
      </c>
      <c r="AI65" s="93">
        <v>0</v>
      </c>
      <c r="AJ65" s="247" t="s">
        <v>49</v>
      </c>
      <c r="AK65" s="246"/>
      <c r="AL65" s="93">
        <v>0</v>
      </c>
      <c r="AM65" s="93">
        <v>0</v>
      </c>
      <c r="AN65" s="254" t="s">
        <v>0</v>
      </c>
      <c r="AO65" s="246">
        <v>0</v>
      </c>
      <c r="AP65" s="92">
        <v>0</v>
      </c>
      <c r="AQ65" s="282">
        <v>0</v>
      </c>
      <c r="AR65" s="93">
        <v>0</v>
      </c>
      <c r="AS65" s="104">
        <v>0</v>
      </c>
      <c r="AT65" s="245">
        <v>1</v>
      </c>
      <c r="AU65" s="260">
        <v>0</v>
      </c>
      <c r="AV65" s="93">
        <v>31.315809338014457</v>
      </c>
      <c r="AW65" s="104">
        <v>94.785984076463563</v>
      </c>
      <c r="AX65" s="93">
        <v>31.315809338014457</v>
      </c>
      <c r="AY65" s="243">
        <v>94.785984076463563</v>
      </c>
    </row>
    <row r="66" spans="1:51" ht="60">
      <c r="A66" s="113" t="s">
        <v>872</v>
      </c>
      <c r="B66" s="90" t="s">
        <v>858</v>
      </c>
      <c r="C66" s="246" t="s">
        <v>11</v>
      </c>
      <c r="D66" s="253" t="s">
        <v>1414</v>
      </c>
      <c r="E66" s="246" t="s">
        <v>117</v>
      </c>
      <c r="F66" s="253" t="s">
        <v>188</v>
      </c>
      <c r="G66" s="253" t="s">
        <v>122</v>
      </c>
      <c r="H66" s="246" t="s">
        <v>1298</v>
      </c>
      <c r="I66" s="246" t="s">
        <v>49</v>
      </c>
      <c r="J66" s="246" t="s">
        <v>113</v>
      </c>
      <c r="K66" s="256" t="s">
        <v>49</v>
      </c>
      <c r="L66" s="250" t="s">
        <v>21</v>
      </c>
      <c r="M66" s="90">
        <v>0</v>
      </c>
      <c r="N66" s="251">
        <v>0.5</v>
      </c>
      <c r="O66" s="90">
        <v>0.5</v>
      </c>
      <c r="P66" s="93">
        <v>0</v>
      </c>
      <c r="Q66" s="93">
        <v>39.42620038406816</v>
      </c>
      <c r="R66" s="93">
        <v>0</v>
      </c>
      <c r="S66" s="104">
        <v>119.33433242816804</v>
      </c>
      <c r="T66" s="254" t="s">
        <v>107</v>
      </c>
      <c r="U66" s="97">
        <v>0</v>
      </c>
      <c r="V66" s="252">
        <v>0</v>
      </c>
      <c r="W66" s="97">
        <v>0</v>
      </c>
      <c r="X66" s="93">
        <v>0</v>
      </c>
      <c r="Y66" s="93">
        <v>0</v>
      </c>
      <c r="Z66" s="93">
        <v>0</v>
      </c>
      <c r="AA66" s="104">
        <v>0</v>
      </c>
      <c r="AB66" s="250" t="s">
        <v>107</v>
      </c>
      <c r="AC66" s="97">
        <v>0</v>
      </c>
      <c r="AD66" s="252">
        <v>0</v>
      </c>
      <c r="AE66" s="97">
        <v>0</v>
      </c>
      <c r="AF66" s="93">
        <v>0</v>
      </c>
      <c r="AG66" s="93">
        <v>0</v>
      </c>
      <c r="AH66" s="93">
        <v>0</v>
      </c>
      <c r="AI66" s="93">
        <v>0</v>
      </c>
      <c r="AJ66" s="247" t="s">
        <v>49</v>
      </c>
      <c r="AK66" s="246"/>
      <c r="AL66" s="93">
        <v>0</v>
      </c>
      <c r="AM66" s="93">
        <v>0</v>
      </c>
      <c r="AN66" s="254" t="s">
        <v>0</v>
      </c>
      <c r="AO66" s="246">
        <v>0</v>
      </c>
      <c r="AP66" s="92">
        <v>0</v>
      </c>
      <c r="AQ66" s="282">
        <v>0</v>
      </c>
      <c r="AR66" s="93">
        <v>0</v>
      </c>
      <c r="AS66" s="104">
        <v>0</v>
      </c>
      <c r="AT66" s="245">
        <v>1</v>
      </c>
      <c r="AU66" s="260">
        <v>0</v>
      </c>
      <c r="AV66" s="93">
        <v>39.42620038406816</v>
      </c>
      <c r="AW66" s="104">
        <v>119.33433242816804</v>
      </c>
      <c r="AX66" s="93">
        <v>39.42620038406816</v>
      </c>
      <c r="AY66" s="243">
        <v>119.33433242816804</v>
      </c>
    </row>
    <row r="67" spans="1:51" ht="60">
      <c r="A67" s="113" t="s">
        <v>873</v>
      </c>
      <c r="B67" s="90" t="s">
        <v>859</v>
      </c>
      <c r="C67" s="246" t="s">
        <v>11</v>
      </c>
      <c r="D67" s="253" t="s">
        <v>1414</v>
      </c>
      <c r="E67" s="246" t="s">
        <v>117</v>
      </c>
      <c r="F67" s="253" t="s">
        <v>188</v>
      </c>
      <c r="G67" s="253" t="s">
        <v>128</v>
      </c>
      <c r="H67" s="246" t="s">
        <v>1298</v>
      </c>
      <c r="I67" s="246" t="s">
        <v>49</v>
      </c>
      <c r="J67" s="246" t="s">
        <v>113</v>
      </c>
      <c r="K67" s="256" t="s">
        <v>49</v>
      </c>
      <c r="L67" s="250" t="s">
        <v>21</v>
      </c>
      <c r="M67" s="90">
        <v>0</v>
      </c>
      <c r="N67" s="251">
        <v>0.5</v>
      </c>
      <c r="O67" s="90">
        <v>0.5</v>
      </c>
      <c r="P67" s="93">
        <v>0</v>
      </c>
      <c r="Q67" s="93">
        <v>39.42620038406816</v>
      </c>
      <c r="R67" s="93">
        <v>0</v>
      </c>
      <c r="S67" s="104">
        <v>119.33433242816804</v>
      </c>
      <c r="T67" s="254" t="s">
        <v>107</v>
      </c>
      <c r="U67" s="97">
        <v>0</v>
      </c>
      <c r="V67" s="252">
        <v>0</v>
      </c>
      <c r="W67" s="97">
        <v>0</v>
      </c>
      <c r="X67" s="93">
        <v>0</v>
      </c>
      <c r="Y67" s="93">
        <v>0</v>
      </c>
      <c r="Z67" s="93">
        <v>0</v>
      </c>
      <c r="AA67" s="104">
        <v>0</v>
      </c>
      <c r="AB67" s="250" t="s">
        <v>107</v>
      </c>
      <c r="AC67" s="97">
        <v>0</v>
      </c>
      <c r="AD67" s="252">
        <v>0</v>
      </c>
      <c r="AE67" s="97">
        <v>0</v>
      </c>
      <c r="AF67" s="93">
        <v>0</v>
      </c>
      <c r="AG67" s="93">
        <v>0</v>
      </c>
      <c r="AH67" s="93">
        <v>0</v>
      </c>
      <c r="AI67" s="93">
        <v>0</v>
      </c>
      <c r="AJ67" s="247" t="s">
        <v>49</v>
      </c>
      <c r="AK67" s="246"/>
      <c r="AL67" s="93">
        <v>0</v>
      </c>
      <c r="AM67" s="93">
        <v>0</v>
      </c>
      <c r="AN67" s="254" t="s">
        <v>0</v>
      </c>
      <c r="AO67" s="246">
        <v>0</v>
      </c>
      <c r="AP67" s="92">
        <v>0</v>
      </c>
      <c r="AQ67" s="282">
        <v>0</v>
      </c>
      <c r="AR67" s="93">
        <v>0</v>
      </c>
      <c r="AS67" s="104">
        <v>0</v>
      </c>
      <c r="AT67" s="245">
        <v>1</v>
      </c>
      <c r="AU67" s="260">
        <v>0</v>
      </c>
      <c r="AV67" s="93">
        <v>39.42620038406816</v>
      </c>
      <c r="AW67" s="104">
        <v>119.33433242816804</v>
      </c>
      <c r="AX67" s="93">
        <v>39.42620038406816</v>
      </c>
      <c r="AY67" s="243">
        <v>119.33433242816804</v>
      </c>
    </row>
    <row r="68" spans="1:51" ht="45">
      <c r="A68" s="113" t="s">
        <v>874</v>
      </c>
      <c r="B68" s="90" t="s">
        <v>1201</v>
      </c>
      <c r="C68" s="246" t="s">
        <v>11</v>
      </c>
      <c r="D68" s="253" t="s">
        <v>1414</v>
      </c>
      <c r="E68" s="246" t="s">
        <v>117</v>
      </c>
      <c r="F68" s="253" t="s">
        <v>189</v>
      </c>
      <c r="G68" s="253" t="s">
        <v>127</v>
      </c>
      <c r="H68" s="246" t="s">
        <v>1298</v>
      </c>
      <c r="I68" s="246" t="s">
        <v>49</v>
      </c>
      <c r="J68" s="246" t="s">
        <v>47</v>
      </c>
      <c r="K68" s="256" t="s">
        <v>49</v>
      </c>
      <c r="L68" s="250" t="s">
        <v>21</v>
      </c>
      <c r="M68" s="90">
        <v>0</v>
      </c>
      <c r="N68" s="251">
        <v>0.5</v>
      </c>
      <c r="O68" s="90">
        <v>0.5</v>
      </c>
      <c r="P68" s="93">
        <v>0</v>
      </c>
      <c r="Q68" s="93">
        <v>31.315809338014457</v>
      </c>
      <c r="R68" s="93">
        <v>0</v>
      </c>
      <c r="S68" s="104">
        <v>94.785984076463563</v>
      </c>
      <c r="T68" s="254" t="s">
        <v>107</v>
      </c>
      <c r="U68" s="97">
        <v>0</v>
      </c>
      <c r="V68" s="252">
        <v>0</v>
      </c>
      <c r="W68" s="97">
        <v>0</v>
      </c>
      <c r="X68" s="93">
        <v>0</v>
      </c>
      <c r="Y68" s="93">
        <v>0</v>
      </c>
      <c r="Z68" s="93">
        <v>0</v>
      </c>
      <c r="AA68" s="104">
        <v>0</v>
      </c>
      <c r="AB68" s="250" t="s">
        <v>107</v>
      </c>
      <c r="AC68" s="97">
        <v>0</v>
      </c>
      <c r="AD68" s="252">
        <v>0</v>
      </c>
      <c r="AE68" s="97">
        <v>0</v>
      </c>
      <c r="AF68" s="93">
        <v>0</v>
      </c>
      <c r="AG68" s="93">
        <v>0</v>
      </c>
      <c r="AH68" s="93">
        <v>0</v>
      </c>
      <c r="AI68" s="93">
        <v>0</v>
      </c>
      <c r="AJ68" s="247" t="s">
        <v>49</v>
      </c>
      <c r="AK68" s="246"/>
      <c r="AL68" s="93">
        <v>0</v>
      </c>
      <c r="AM68" s="93">
        <v>0</v>
      </c>
      <c r="AN68" s="254" t="s">
        <v>0</v>
      </c>
      <c r="AO68" s="246">
        <v>0</v>
      </c>
      <c r="AP68" s="92">
        <v>0</v>
      </c>
      <c r="AQ68" s="282">
        <v>0</v>
      </c>
      <c r="AR68" s="93">
        <v>0</v>
      </c>
      <c r="AS68" s="104">
        <v>0</v>
      </c>
      <c r="AT68" s="245">
        <v>1</v>
      </c>
      <c r="AU68" s="260">
        <v>0</v>
      </c>
      <c r="AV68" s="93">
        <v>31.315809338014457</v>
      </c>
      <c r="AW68" s="104">
        <v>94.785984076463563</v>
      </c>
      <c r="AX68" s="93">
        <v>31.315809338014457</v>
      </c>
      <c r="AY68" s="243">
        <v>94.785984076463563</v>
      </c>
    </row>
    <row r="69" spans="1:51" ht="45">
      <c r="A69" s="113" t="s">
        <v>875</v>
      </c>
      <c r="B69" s="90" t="s">
        <v>860</v>
      </c>
      <c r="C69" s="246" t="s">
        <v>11</v>
      </c>
      <c r="D69" s="253" t="s">
        <v>1414</v>
      </c>
      <c r="E69" s="246" t="s">
        <v>117</v>
      </c>
      <c r="F69" s="253" t="s">
        <v>189</v>
      </c>
      <c r="G69" s="253" t="s">
        <v>122</v>
      </c>
      <c r="H69" s="246" t="s">
        <v>1298</v>
      </c>
      <c r="I69" s="246" t="s">
        <v>49</v>
      </c>
      <c r="J69" s="246" t="s">
        <v>113</v>
      </c>
      <c r="K69" s="256" t="s">
        <v>49</v>
      </c>
      <c r="L69" s="250" t="s">
        <v>21</v>
      </c>
      <c r="M69" s="90">
        <v>0</v>
      </c>
      <c r="N69" s="251">
        <v>0.5</v>
      </c>
      <c r="O69" s="90">
        <v>0.5</v>
      </c>
      <c r="P69" s="93">
        <v>0</v>
      </c>
      <c r="Q69" s="93">
        <v>39.42620038406816</v>
      </c>
      <c r="R69" s="93">
        <v>0</v>
      </c>
      <c r="S69" s="104">
        <v>119.33433242816804</v>
      </c>
      <c r="T69" s="254" t="s">
        <v>107</v>
      </c>
      <c r="U69" s="97">
        <v>0</v>
      </c>
      <c r="V69" s="252">
        <v>0</v>
      </c>
      <c r="W69" s="97">
        <v>0</v>
      </c>
      <c r="X69" s="93">
        <v>0</v>
      </c>
      <c r="Y69" s="93">
        <v>0</v>
      </c>
      <c r="Z69" s="93">
        <v>0</v>
      </c>
      <c r="AA69" s="104">
        <v>0</v>
      </c>
      <c r="AB69" s="250" t="s">
        <v>107</v>
      </c>
      <c r="AC69" s="97">
        <v>0</v>
      </c>
      <c r="AD69" s="252">
        <v>0</v>
      </c>
      <c r="AE69" s="97">
        <v>0</v>
      </c>
      <c r="AF69" s="93">
        <v>0</v>
      </c>
      <c r="AG69" s="93">
        <v>0</v>
      </c>
      <c r="AH69" s="93">
        <v>0</v>
      </c>
      <c r="AI69" s="93">
        <v>0</v>
      </c>
      <c r="AJ69" s="247" t="s">
        <v>49</v>
      </c>
      <c r="AK69" s="246"/>
      <c r="AL69" s="93">
        <v>0</v>
      </c>
      <c r="AM69" s="93">
        <v>0</v>
      </c>
      <c r="AN69" s="254" t="s">
        <v>0</v>
      </c>
      <c r="AO69" s="246">
        <v>0</v>
      </c>
      <c r="AP69" s="92">
        <v>0</v>
      </c>
      <c r="AQ69" s="282">
        <v>0</v>
      </c>
      <c r="AR69" s="93">
        <v>0</v>
      </c>
      <c r="AS69" s="104">
        <v>0</v>
      </c>
      <c r="AT69" s="245">
        <v>1</v>
      </c>
      <c r="AU69" s="260">
        <v>0</v>
      </c>
      <c r="AV69" s="93">
        <v>39.42620038406816</v>
      </c>
      <c r="AW69" s="104">
        <v>119.33433242816804</v>
      </c>
      <c r="AX69" s="93">
        <v>39.42620038406816</v>
      </c>
      <c r="AY69" s="243">
        <v>119.33433242816804</v>
      </c>
    </row>
    <row r="70" spans="1:51" ht="45">
      <c r="A70" s="113" t="s">
        <v>876</v>
      </c>
      <c r="B70" s="90" t="s">
        <v>1202</v>
      </c>
      <c r="C70" s="246" t="s">
        <v>11</v>
      </c>
      <c r="D70" s="253" t="s">
        <v>1414</v>
      </c>
      <c r="E70" s="246" t="s">
        <v>117</v>
      </c>
      <c r="F70" s="253" t="s">
        <v>189</v>
      </c>
      <c r="G70" s="253" t="s">
        <v>128</v>
      </c>
      <c r="H70" s="246" t="s">
        <v>1298</v>
      </c>
      <c r="I70" s="246" t="s">
        <v>49</v>
      </c>
      <c r="J70" s="246" t="s">
        <v>113</v>
      </c>
      <c r="K70" s="256" t="s">
        <v>49</v>
      </c>
      <c r="L70" s="250" t="s">
        <v>21</v>
      </c>
      <c r="M70" s="90">
        <v>0</v>
      </c>
      <c r="N70" s="251">
        <v>0.5</v>
      </c>
      <c r="O70" s="90">
        <v>0.5</v>
      </c>
      <c r="P70" s="93">
        <v>0</v>
      </c>
      <c r="Q70" s="93">
        <v>39.42620038406816</v>
      </c>
      <c r="R70" s="93">
        <v>0</v>
      </c>
      <c r="S70" s="104">
        <v>119.33433242816804</v>
      </c>
      <c r="T70" s="254" t="s">
        <v>107</v>
      </c>
      <c r="U70" s="97">
        <v>0</v>
      </c>
      <c r="V70" s="252">
        <v>0</v>
      </c>
      <c r="W70" s="97">
        <v>0</v>
      </c>
      <c r="X70" s="93">
        <v>0</v>
      </c>
      <c r="Y70" s="93">
        <v>0</v>
      </c>
      <c r="Z70" s="93">
        <v>0</v>
      </c>
      <c r="AA70" s="104">
        <v>0</v>
      </c>
      <c r="AB70" s="250" t="s">
        <v>107</v>
      </c>
      <c r="AC70" s="97">
        <v>0</v>
      </c>
      <c r="AD70" s="252">
        <v>0</v>
      </c>
      <c r="AE70" s="97">
        <v>0</v>
      </c>
      <c r="AF70" s="93">
        <v>0</v>
      </c>
      <c r="AG70" s="93">
        <v>0</v>
      </c>
      <c r="AH70" s="93">
        <v>0</v>
      </c>
      <c r="AI70" s="93">
        <v>0</v>
      </c>
      <c r="AJ70" s="247" t="s">
        <v>49</v>
      </c>
      <c r="AK70" s="246"/>
      <c r="AL70" s="93">
        <v>0</v>
      </c>
      <c r="AM70" s="93">
        <v>0</v>
      </c>
      <c r="AN70" s="254" t="s">
        <v>0</v>
      </c>
      <c r="AO70" s="246">
        <v>0</v>
      </c>
      <c r="AP70" s="92">
        <v>0</v>
      </c>
      <c r="AQ70" s="282">
        <v>0</v>
      </c>
      <c r="AR70" s="93">
        <v>0</v>
      </c>
      <c r="AS70" s="104">
        <v>0</v>
      </c>
      <c r="AT70" s="245">
        <v>1</v>
      </c>
      <c r="AU70" s="260">
        <v>0</v>
      </c>
      <c r="AV70" s="93">
        <v>39.42620038406816</v>
      </c>
      <c r="AW70" s="104">
        <v>119.33433242816804</v>
      </c>
      <c r="AX70" s="93">
        <v>39.42620038406816</v>
      </c>
      <c r="AY70" s="243">
        <v>119.33433242816804</v>
      </c>
    </row>
    <row r="71" spans="1:51" ht="105">
      <c r="A71" s="113" t="s">
        <v>877</v>
      </c>
      <c r="B71" s="90" t="s">
        <v>861</v>
      </c>
      <c r="C71" s="246" t="s">
        <v>11</v>
      </c>
      <c r="D71" s="253" t="s">
        <v>1414</v>
      </c>
      <c r="E71" s="253" t="s">
        <v>154</v>
      </c>
      <c r="F71" s="253" t="s">
        <v>1357</v>
      </c>
      <c r="G71" s="253" t="s">
        <v>147</v>
      </c>
      <c r="H71" s="246" t="s">
        <v>109</v>
      </c>
      <c r="I71" s="246" t="s">
        <v>142</v>
      </c>
      <c r="J71" s="246" t="s">
        <v>47</v>
      </c>
      <c r="K71" s="256" t="s">
        <v>49</v>
      </c>
      <c r="L71" s="250" t="s">
        <v>18</v>
      </c>
      <c r="M71" s="90">
        <v>0.33</v>
      </c>
      <c r="N71" s="251">
        <v>0.67</v>
      </c>
      <c r="O71" s="92">
        <v>1</v>
      </c>
      <c r="P71" s="93">
        <v>19.081969456246018</v>
      </c>
      <c r="Q71" s="93">
        <v>38.74218041116616</v>
      </c>
      <c r="R71" s="93">
        <v>57.75687396434946</v>
      </c>
      <c r="S71" s="104">
        <v>117.26395623064893</v>
      </c>
      <c r="T71" s="254" t="s">
        <v>18</v>
      </c>
      <c r="U71" s="97">
        <v>0.33</v>
      </c>
      <c r="V71" s="251">
        <v>0.67</v>
      </c>
      <c r="W71" s="97">
        <v>1</v>
      </c>
      <c r="X71" s="93">
        <v>19.081969456246018</v>
      </c>
      <c r="Y71" s="93">
        <v>38.74218041116616</v>
      </c>
      <c r="Z71" s="93">
        <v>57.75687396434946</v>
      </c>
      <c r="AA71" s="104">
        <v>117.26395623064893</v>
      </c>
      <c r="AB71" s="250" t="s">
        <v>107</v>
      </c>
      <c r="AC71" s="97">
        <v>0</v>
      </c>
      <c r="AD71" s="252">
        <v>0</v>
      </c>
      <c r="AE71" s="97">
        <v>0</v>
      </c>
      <c r="AF71" s="93">
        <v>0</v>
      </c>
      <c r="AG71" s="93">
        <v>0</v>
      </c>
      <c r="AH71" s="93">
        <v>0</v>
      </c>
      <c r="AI71" s="93">
        <v>0</v>
      </c>
      <c r="AJ71" s="247" t="s">
        <v>49</v>
      </c>
      <c r="AK71" s="246"/>
      <c r="AL71" s="93">
        <v>0</v>
      </c>
      <c r="AM71" s="93">
        <v>0</v>
      </c>
      <c r="AN71" s="254" t="s">
        <v>0</v>
      </c>
      <c r="AO71" s="246">
        <v>0</v>
      </c>
      <c r="AP71" s="92">
        <v>0</v>
      </c>
      <c r="AQ71" s="282">
        <v>0</v>
      </c>
      <c r="AR71" s="93">
        <v>0</v>
      </c>
      <c r="AS71" s="104">
        <v>0</v>
      </c>
      <c r="AT71" s="245">
        <v>1</v>
      </c>
      <c r="AU71" s="260">
        <v>0</v>
      </c>
      <c r="AV71" s="93">
        <v>115.64829973482435</v>
      </c>
      <c r="AW71" s="104">
        <v>350.04166038999676</v>
      </c>
      <c r="AX71" s="93">
        <v>115.64829973482435</v>
      </c>
      <c r="AY71" s="243">
        <v>350.04166038999676</v>
      </c>
    </row>
    <row r="72" spans="1:51" ht="105">
      <c r="A72" s="113" t="s">
        <v>878</v>
      </c>
      <c r="B72" s="90" t="s">
        <v>862</v>
      </c>
      <c r="C72" s="246" t="s">
        <v>11</v>
      </c>
      <c r="D72" s="253" t="s">
        <v>1414</v>
      </c>
      <c r="E72" s="253" t="s">
        <v>154</v>
      </c>
      <c r="F72" s="253" t="s">
        <v>1357</v>
      </c>
      <c r="G72" s="253" t="s">
        <v>147</v>
      </c>
      <c r="H72" s="246" t="s">
        <v>110</v>
      </c>
      <c r="I72" s="246" t="s">
        <v>142</v>
      </c>
      <c r="J72" s="246" t="s">
        <v>47</v>
      </c>
      <c r="K72" s="256" t="s">
        <v>49</v>
      </c>
      <c r="L72" s="250" t="s">
        <v>18</v>
      </c>
      <c r="M72" s="90">
        <v>2</v>
      </c>
      <c r="N72" s="251">
        <v>0.67</v>
      </c>
      <c r="O72" s="92">
        <v>2.67</v>
      </c>
      <c r="P72" s="93">
        <v>115.64829973482435</v>
      </c>
      <c r="Q72" s="93">
        <v>38.74218041116616</v>
      </c>
      <c r="R72" s="93">
        <v>350.04166038999676</v>
      </c>
      <c r="S72" s="104">
        <v>117.26395623064893</v>
      </c>
      <c r="T72" s="254" t="s">
        <v>18</v>
      </c>
      <c r="U72" s="97">
        <v>2</v>
      </c>
      <c r="V72" s="251">
        <v>0.67</v>
      </c>
      <c r="W72" s="97">
        <v>2.67</v>
      </c>
      <c r="X72" s="93">
        <v>115.64829973482435</v>
      </c>
      <c r="Y72" s="93">
        <v>38.74218041116616</v>
      </c>
      <c r="Z72" s="93">
        <v>350.04166038999676</v>
      </c>
      <c r="AA72" s="104">
        <v>117.26395623064893</v>
      </c>
      <c r="AB72" s="250" t="s">
        <v>107</v>
      </c>
      <c r="AC72" s="97">
        <v>0</v>
      </c>
      <c r="AD72" s="252">
        <v>0</v>
      </c>
      <c r="AE72" s="97">
        <v>0</v>
      </c>
      <c r="AF72" s="93">
        <v>0</v>
      </c>
      <c r="AG72" s="93">
        <v>0</v>
      </c>
      <c r="AH72" s="93">
        <v>0</v>
      </c>
      <c r="AI72" s="93">
        <v>0</v>
      </c>
      <c r="AJ72" s="247" t="s">
        <v>49</v>
      </c>
      <c r="AK72" s="246"/>
      <c r="AL72" s="93">
        <v>0</v>
      </c>
      <c r="AM72" s="93">
        <v>0</v>
      </c>
      <c r="AN72" s="254" t="s">
        <v>0</v>
      </c>
      <c r="AO72" s="246">
        <v>0</v>
      </c>
      <c r="AP72" s="92">
        <v>0</v>
      </c>
      <c r="AQ72" s="282">
        <v>0</v>
      </c>
      <c r="AR72" s="93">
        <v>0</v>
      </c>
      <c r="AS72" s="104">
        <v>0</v>
      </c>
      <c r="AT72" s="245">
        <v>1</v>
      </c>
      <c r="AU72" s="260">
        <v>0</v>
      </c>
      <c r="AV72" s="93">
        <v>308.78096029198105</v>
      </c>
      <c r="AW72" s="104">
        <v>934.61123324129142</v>
      </c>
      <c r="AX72" s="93">
        <v>308.78096029198105</v>
      </c>
      <c r="AY72" s="243">
        <v>934.61123324129142</v>
      </c>
    </row>
    <row r="73" spans="1:51" ht="105">
      <c r="A73" s="113" t="s">
        <v>879</v>
      </c>
      <c r="B73" s="90" t="s">
        <v>863</v>
      </c>
      <c r="C73" s="246" t="s">
        <v>11</v>
      </c>
      <c r="D73" s="253" t="s">
        <v>1414</v>
      </c>
      <c r="E73" s="253" t="s">
        <v>154</v>
      </c>
      <c r="F73" s="253" t="s">
        <v>1357</v>
      </c>
      <c r="G73" s="253" t="s">
        <v>148</v>
      </c>
      <c r="H73" s="246" t="s">
        <v>109</v>
      </c>
      <c r="I73" s="246" t="s">
        <v>142</v>
      </c>
      <c r="J73" s="246" t="s">
        <v>113</v>
      </c>
      <c r="K73" s="256" t="s">
        <v>49</v>
      </c>
      <c r="L73" s="250" t="s">
        <v>18</v>
      </c>
      <c r="M73" s="90">
        <v>0.33</v>
      </c>
      <c r="N73" s="251">
        <v>0.67</v>
      </c>
      <c r="O73" s="92">
        <v>1</v>
      </c>
      <c r="P73" s="93">
        <v>25.084366852241615</v>
      </c>
      <c r="Q73" s="93">
        <v>50.928866033339041</v>
      </c>
      <c r="R73" s="93">
        <v>75.924794769346875</v>
      </c>
      <c r="S73" s="104">
        <v>154.15034089534063</v>
      </c>
      <c r="T73" s="254" t="s">
        <v>18</v>
      </c>
      <c r="U73" s="97">
        <v>0.33</v>
      </c>
      <c r="V73" s="251">
        <v>0.67</v>
      </c>
      <c r="W73" s="97">
        <v>1</v>
      </c>
      <c r="X73" s="93">
        <v>25.084366852241615</v>
      </c>
      <c r="Y73" s="93">
        <v>50.928866033339041</v>
      </c>
      <c r="Z73" s="93">
        <v>75.924794769346875</v>
      </c>
      <c r="AA73" s="104">
        <v>154.15034089534063</v>
      </c>
      <c r="AB73" s="250" t="s">
        <v>107</v>
      </c>
      <c r="AC73" s="97">
        <v>0</v>
      </c>
      <c r="AD73" s="252">
        <v>0</v>
      </c>
      <c r="AE73" s="97">
        <v>0</v>
      </c>
      <c r="AF73" s="93">
        <v>0</v>
      </c>
      <c r="AG73" s="93">
        <v>0</v>
      </c>
      <c r="AH73" s="93">
        <v>0</v>
      </c>
      <c r="AI73" s="93">
        <v>0</v>
      </c>
      <c r="AJ73" s="247" t="s">
        <v>49</v>
      </c>
      <c r="AK73" s="246"/>
      <c r="AL73" s="93">
        <v>0</v>
      </c>
      <c r="AM73" s="93">
        <v>0</v>
      </c>
      <c r="AN73" s="254" t="s">
        <v>0</v>
      </c>
      <c r="AO73" s="246">
        <v>0</v>
      </c>
      <c r="AP73" s="92">
        <v>0</v>
      </c>
      <c r="AQ73" s="282">
        <v>0</v>
      </c>
      <c r="AR73" s="93">
        <v>0</v>
      </c>
      <c r="AS73" s="104">
        <v>0</v>
      </c>
      <c r="AT73" s="245">
        <v>1</v>
      </c>
      <c r="AU73" s="260">
        <v>0</v>
      </c>
      <c r="AV73" s="93">
        <v>152.02646577116133</v>
      </c>
      <c r="AW73" s="104">
        <v>460.15027132937496</v>
      </c>
      <c r="AX73" s="93">
        <v>152.02646577116133</v>
      </c>
      <c r="AY73" s="243">
        <v>460.15027132937496</v>
      </c>
    </row>
    <row r="74" spans="1:51" ht="105">
      <c r="A74" s="113" t="s">
        <v>880</v>
      </c>
      <c r="B74" s="90" t="s">
        <v>864</v>
      </c>
      <c r="C74" s="246" t="s">
        <v>11</v>
      </c>
      <c r="D74" s="253" t="s">
        <v>1414</v>
      </c>
      <c r="E74" s="253" t="s">
        <v>154</v>
      </c>
      <c r="F74" s="253" t="s">
        <v>1357</v>
      </c>
      <c r="G74" s="253" t="s">
        <v>148</v>
      </c>
      <c r="H74" s="246" t="s">
        <v>110</v>
      </c>
      <c r="I74" s="246" t="s">
        <v>142</v>
      </c>
      <c r="J74" s="246" t="s">
        <v>113</v>
      </c>
      <c r="K74" s="256" t="s">
        <v>49</v>
      </c>
      <c r="L74" s="250" t="s">
        <v>18</v>
      </c>
      <c r="M74" s="90">
        <v>2</v>
      </c>
      <c r="N74" s="251">
        <v>0.67</v>
      </c>
      <c r="O74" s="92">
        <v>2.67</v>
      </c>
      <c r="P74" s="93">
        <v>152.0264657711613</v>
      </c>
      <c r="Q74" s="93">
        <v>50.928866033339041</v>
      </c>
      <c r="R74" s="93">
        <v>460.15027132937496</v>
      </c>
      <c r="S74" s="104">
        <v>154.15034089534063</v>
      </c>
      <c r="T74" s="254" t="s">
        <v>18</v>
      </c>
      <c r="U74" s="97">
        <v>2</v>
      </c>
      <c r="V74" s="251">
        <v>0.67</v>
      </c>
      <c r="W74" s="97">
        <v>2.67</v>
      </c>
      <c r="X74" s="93">
        <v>152.0264657711613</v>
      </c>
      <c r="Y74" s="93">
        <v>50.928866033339041</v>
      </c>
      <c r="Z74" s="93">
        <v>460.15027132937496</v>
      </c>
      <c r="AA74" s="104">
        <v>154.15034089534063</v>
      </c>
      <c r="AB74" s="250" t="s">
        <v>107</v>
      </c>
      <c r="AC74" s="97">
        <v>0</v>
      </c>
      <c r="AD74" s="252">
        <v>0</v>
      </c>
      <c r="AE74" s="97">
        <v>0</v>
      </c>
      <c r="AF74" s="93">
        <v>0</v>
      </c>
      <c r="AG74" s="93">
        <v>0</v>
      </c>
      <c r="AH74" s="93">
        <v>0</v>
      </c>
      <c r="AI74" s="93">
        <v>0</v>
      </c>
      <c r="AJ74" s="247" t="s">
        <v>49</v>
      </c>
      <c r="AK74" s="246"/>
      <c r="AL74" s="93">
        <v>0</v>
      </c>
      <c r="AM74" s="93">
        <v>0</v>
      </c>
      <c r="AN74" s="254" t="s">
        <v>0</v>
      </c>
      <c r="AO74" s="246">
        <v>0</v>
      </c>
      <c r="AP74" s="92">
        <v>0</v>
      </c>
      <c r="AQ74" s="282">
        <v>0</v>
      </c>
      <c r="AR74" s="93">
        <v>0</v>
      </c>
      <c r="AS74" s="104">
        <v>0</v>
      </c>
      <c r="AT74" s="245">
        <v>1</v>
      </c>
      <c r="AU74" s="260">
        <v>0</v>
      </c>
      <c r="AV74" s="93">
        <v>405.91066360900066</v>
      </c>
      <c r="AW74" s="104">
        <v>1228.6012244494311</v>
      </c>
      <c r="AX74" s="93">
        <v>405.91066360900066</v>
      </c>
      <c r="AY74" s="243">
        <v>1228.6012244494311</v>
      </c>
    </row>
    <row r="75" spans="1:51" ht="83.25" customHeight="1">
      <c r="A75" s="113" t="s">
        <v>881</v>
      </c>
      <c r="B75" s="90" t="s">
        <v>866</v>
      </c>
      <c r="C75" s="246" t="s">
        <v>11</v>
      </c>
      <c r="D75" s="253" t="s">
        <v>1414</v>
      </c>
      <c r="E75" s="253" t="s">
        <v>154</v>
      </c>
      <c r="F75" s="253" t="s">
        <v>181</v>
      </c>
      <c r="G75" s="253" t="s">
        <v>419</v>
      </c>
      <c r="H75" s="246" t="s">
        <v>109</v>
      </c>
      <c r="I75" s="246" t="s">
        <v>142</v>
      </c>
      <c r="J75" s="246" t="s">
        <v>47</v>
      </c>
      <c r="K75" s="256" t="s">
        <v>49</v>
      </c>
      <c r="L75" s="250" t="s">
        <v>18</v>
      </c>
      <c r="M75" s="90">
        <v>0.33</v>
      </c>
      <c r="N75" s="251">
        <v>2</v>
      </c>
      <c r="O75" s="92">
        <v>2.33</v>
      </c>
      <c r="P75" s="93">
        <v>19.081969456246018</v>
      </c>
      <c r="Q75" s="93">
        <v>115.64829973482435</v>
      </c>
      <c r="R75" s="93">
        <v>57.75687396434946</v>
      </c>
      <c r="S75" s="104">
        <v>350.04166038999676</v>
      </c>
      <c r="T75" s="254" t="s">
        <v>18</v>
      </c>
      <c r="U75" s="97">
        <v>0.33</v>
      </c>
      <c r="V75" s="252">
        <v>2</v>
      </c>
      <c r="W75" s="97">
        <v>2.33</v>
      </c>
      <c r="X75" s="93">
        <v>19.081969456246018</v>
      </c>
      <c r="Y75" s="93">
        <v>115.64829973482435</v>
      </c>
      <c r="Z75" s="93">
        <v>57.75687396434946</v>
      </c>
      <c r="AA75" s="104">
        <v>350.04166038999676</v>
      </c>
      <c r="AB75" s="250" t="s">
        <v>107</v>
      </c>
      <c r="AC75" s="97">
        <v>0</v>
      </c>
      <c r="AD75" s="252">
        <v>0</v>
      </c>
      <c r="AE75" s="97">
        <v>0</v>
      </c>
      <c r="AF75" s="93">
        <v>0</v>
      </c>
      <c r="AG75" s="93">
        <v>0</v>
      </c>
      <c r="AH75" s="93">
        <v>0</v>
      </c>
      <c r="AI75" s="93">
        <v>0</v>
      </c>
      <c r="AJ75" s="247" t="s">
        <v>49</v>
      </c>
      <c r="AK75" s="246"/>
      <c r="AL75" s="93">
        <v>0</v>
      </c>
      <c r="AM75" s="93">
        <v>0</v>
      </c>
      <c r="AN75" s="254" t="s">
        <v>0</v>
      </c>
      <c r="AO75" s="246">
        <v>0</v>
      </c>
      <c r="AP75" s="92">
        <v>0</v>
      </c>
      <c r="AQ75" s="282">
        <v>0</v>
      </c>
      <c r="AR75" s="93">
        <v>0</v>
      </c>
      <c r="AS75" s="104">
        <v>0</v>
      </c>
      <c r="AT75" s="245">
        <v>1</v>
      </c>
      <c r="AU75" s="260">
        <v>0</v>
      </c>
      <c r="AV75" s="93">
        <v>269.46053838214073</v>
      </c>
      <c r="AW75" s="104">
        <v>815.5970687086924</v>
      </c>
      <c r="AX75" s="93">
        <v>269.46053838214073</v>
      </c>
      <c r="AY75" s="243">
        <v>815.5970687086924</v>
      </c>
    </row>
    <row r="76" spans="1:51" ht="92.25" customHeight="1">
      <c r="A76" s="113" t="s">
        <v>882</v>
      </c>
      <c r="B76" s="90" t="s">
        <v>867</v>
      </c>
      <c r="C76" s="246" t="s">
        <v>11</v>
      </c>
      <c r="D76" s="253" t="s">
        <v>1414</v>
      </c>
      <c r="E76" s="253" t="s">
        <v>154</v>
      </c>
      <c r="F76" s="253" t="s">
        <v>181</v>
      </c>
      <c r="G76" s="253" t="s">
        <v>419</v>
      </c>
      <c r="H76" s="246" t="s">
        <v>110</v>
      </c>
      <c r="I76" s="246" t="s">
        <v>142</v>
      </c>
      <c r="J76" s="246" t="s">
        <v>47</v>
      </c>
      <c r="K76" s="256" t="s">
        <v>49</v>
      </c>
      <c r="L76" s="250" t="s">
        <v>18</v>
      </c>
      <c r="M76" s="90">
        <v>2</v>
      </c>
      <c r="N76" s="251">
        <v>2</v>
      </c>
      <c r="O76" s="92">
        <v>4</v>
      </c>
      <c r="P76" s="93">
        <v>115.64829973482435</v>
      </c>
      <c r="Q76" s="93">
        <v>115.64829973482435</v>
      </c>
      <c r="R76" s="93">
        <v>350.04166038999676</v>
      </c>
      <c r="S76" s="104">
        <v>350.04166038999676</v>
      </c>
      <c r="T76" s="254" t="s">
        <v>18</v>
      </c>
      <c r="U76" s="97">
        <v>2</v>
      </c>
      <c r="V76" s="252">
        <v>2</v>
      </c>
      <c r="W76" s="97">
        <v>4</v>
      </c>
      <c r="X76" s="93">
        <v>115.64829973482435</v>
      </c>
      <c r="Y76" s="93">
        <v>115.64829973482435</v>
      </c>
      <c r="Z76" s="93">
        <v>350.04166038999676</v>
      </c>
      <c r="AA76" s="104">
        <v>350.04166038999676</v>
      </c>
      <c r="AB76" s="250" t="s">
        <v>107</v>
      </c>
      <c r="AC76" s="97">
        <v>0</v>
      </c>
      <c r="AD76" s="252">
        <v>0</v>
      </c>
      <c r="AE76" s="97">
        <v>0</v>
      </c>
      <c r="AF76" s="93">
        <v>0</v>
      </c>
      <c r="AG76" s="93">
        <v>0</v>
      </c>
      <c r="AH76" s="93">
        <v>0</v>
      </c>
      <c r="AI76" s="93">
        <v>0</v>
      </c>
      <c r="AJ76" s="247" t="s">
        <v>49</v>
      </c>
      <c r="AK76" s="246"/>
      <c r="AL76" s="93">
        <v>0</v>
      </c>
      <c r="AM76" s="93">
        <v>0</v>
      </c>
      <c r="AN76" s="254" t="s">
        <v>0</v>
      </c>
      <c r="AO76" s="246">
        <v>0</v>
      </c>
      <c r="AP76" s="92">
        <v>0</v>
      </c>
      <c r="AQ76" s="282">
        <v>0</v>
      </c>
      <c r="AR76" s="93">
        <v>0</v>
      </c>
      <c r="AS76" s="104">
        <v>0</v>
      </c>
      <c r="AT76" s="245">
        <v>1</v>
      </c>
      <c r="AU76" s="260">
        <v>0</v>
      </c>
      <c r="AV76" s="93">
        <v>462.59319893929739</v>
      </c>
      <c r="AW76" s="104">
        <v>1400.1666415599871</v>
      </c>
      <c r="AX76" s="93">
        <v>462.59319893929739</v>
      </c>
      <c r="AY76" s="243">
        <v>1400.1666415599871</v>
      </c>
    </row>
    <row r="77" spans="1:51" ht="99" customHeight="1">
      <c r="A77" s="113" t="s">
        <v>883</v>
      </c>
      <c r="B77" s="90" t="s">
        <v>868</v>
      </c>
      <c r="C77" s="246" t="s">
        <v>11</v>
      </c>
      <c r="D77" s="253" t="s">
        <v>1414</v>
      </c>
      <c r="E77" s="253" t="s">
        <v>154</v>
      </c>
      <c r="F77" s="253" t="s">
        <v>181</v>
      </c>
      <c r="G77" s="253" t="s">
        <v>420</v>
      </c>
      <c r="H77" s="246" t="s">
        <v>109</v>
      </c>
      <c r="I77" s="246" t="s">
        <v>142</v>
      </c>
      <c r="J77" s="246" t="s">
        <v>47</v>
      </c>
      <c r="K77" s="256" t="s">
        <v>49</v>
      </c>
      <c r="L77" s="250" t="s">
        <v>18</v>
      </c>
      <c r="M77" s="90">
        <v>0.33</v>
      </c>
      <c r="N77" s="251">
        <v>2.5</v>
      </c>
      <c r="O77" s="92">
        <v>2.83</v>
      </c>
      <c r="P77" s="93">
        <v>19.081969456246018</v>
      </c>
      <c r="Q77" s="93">
        <v>144.56037466853044</v>
      </c>
      <c r="R77" s="93">
        <v>57.75687396434946</v>
      </c>
      <c r="S77" s="104">
        <v>437.55207548749598</v>
      </c>
      <c r="T77" s="254" t="s">
        <v>18</v>
      </c>
      <c r="U77" s="97">
        <v>0.33</v>
      </c>
      <c r="V77" s="252">
        <v>2.5</v>
      </c>
      <c r="W77" s="97">
        <v>2.83</v>
      </c>
      <c r="X77" s="93">
        <v>19.081969456246018</v>
      </c>
      <c r="Y77" s="93">
        <v>144.56037466853044</v>
      </c>
      <c r="Z77" s="93">
        <v>57.75687396434946</v>
      </c>
      <c r="AA77" s="104">
        <v>437.55207548749598</v>
      </c>
      <c r="AB77" s="250" t="s">
        <v>107</v>
      </c>
      <c r="AC77" s="97">
        <v>0</v>
      </c>
      <c r="AD77" s="252">
        <v>0</v>
      </c>
      <c r="AE77" s="97">
        <v>0</v>
      </c>
      <c r="AF77" s="93">
        <v>0</v>
      </c>
      <c r="AG77" s="93">
        <v>0</v>
      </c>
      <c r="AH77" s="93">
        <v>0</v>
      </c>
      <c r="AI77" s="93">
        <v>0</v>
      </c>
      <c r="AJ77" s="247" t="s">
        <v>49</v>
      </c>
      <c r="AK77" s="246"/>
      <c r="AL77" s="93">
        <v>0</v>
      </c>
      <c r="AM77" s="93">
        <v>0</v>
      </c>
      <c r="AN77" s="254" t="s">
        <v>0</v>
      </c>
      <c r="AO77" s="246">
        <v>0</v>
      </c>
      <c r="AP77" s="92">
        <v>0</v>
      </c>
      <c r="AQ77" s="282">
        <v>0</v>
      </c>
      <c r="AR77" s="93">
        <v>0</v>
      </c>
      <c r="AS77" s="104">
        <v>0</v>
      </c>
      <c r="AT77" s="245">
        <v>1</v>
      </c>
      <c r="AU77" s="260">
        <v>0</v>
      </c>
      <c r="AV77" s="93">
        <v>327.28468824955291</v>
      </c>
      <c r="AW77" s="104">
        <v>990.61789890369096</v>
      </c>
      <c r="AX77" s="93">
        <v>327.28468824955291</v>
      </c>
      <c r="AY77" s="243">
        <v>990.61789890369096</v>
      </c>
    </row>
    <row r="78" spans="1:51" ht="96.75" customHeight="1">
      <c r="A78" s="113" t="s">
        <v>884</v>
      </c>
      <c r="B78" s="90" t="s">
        <v>869</v>
      </c>
      <c r="C78" s="246" t="s">
        <v>11</v>
      </c>
      <c r="D78" s="253" t="s">
        <v>1414</v>
      </c>
      <c r="E78" s="253" t="s">
        <v>154</v>
      </c>
      <c r="F78" s="253" t="s">
        <v>181</v>
      </c>
      <c r="G78" s="253" t="s">
        <v>420</v>
      </c>
      <c r="H78" s="246" t="s">
        <v>110</v>
      </c>
      <c r="I78" s="246" t="s">
        <v>142</v>
      </c>
      <c r="J78" s="246" t="s">
        <v>47</v>
      </c>
      <c r="K78" s="256" t="s">
        <v>49</v>
      </c>
      <c r="L78" s="250" t="s">
        <v>18</v>
      </c>
      <c r="M78" s="90">
        <v>2</v>
      </c>
      <c r="N78" s="251">
        <v>2.5</v>
      </c>
      <c r="O78" s="92">
        <v>4.5</v>
      </c>
      <c r="P78" s="93">
        <v>115.64829973482435</v>
      </c>
      <c r="Q78" s="93">
        <v>144.56037466853044</v>
      </c>
      <c r="R78" s="93">
        <v>350.04166038999676</v>
      </c>
      <c r="S78" s="104">
        <v>437.55207548749598</v>
      </c>
      <c r="T78" s="254" t="s">
        <v>18</v>
      </c>
      <c r="U78" s="97">
        <v>2</v>
      </c>
      <c r="V78" s="252">
        <v>2.5</v>
      </c>
      <c r="W78" s="97">
        <v>4.5</v>
      </c>
      <c r="X78" s="93">
        <v>115.64829973482435</v>
      </c>
      <c r="Y78" s="93">
        <v>144.56037466853044</v>
      </c>
      <c r="Z78" s="93">
        <v>350.04166038999676</v>
      </c>
      <c r="AA78" s="104">
        <v>437.55207548749598</v>
      </c>
      <c r="AB78" s="250" t="s">
        <v>107</v>
      </c>
      <c r="AC78" s="97">
        <v>0</v>
      </c>
      <c r="AD78" s="252">
        <v>0</v>
      </c>
      <c r="AE78" s="97">
        <v>0</v>
      </c>
      <c r="AF78" s="93">
        <v>0</v>
      </c>
      <c r="AG78" s="93">
        <v>0</v>
      </c>
      <c r="AH78" s="93">
        <v>0</v>
      </c>
      <c r="AI78" s="93">
        <v>0</v>
      </c>
      <c r="AJ78" s="247" t="s">
        <v>49</v>
      </c>
      <c r="AK78" s="246"/>
      <c r="AL78" s="93">
        <v>0</v>
      </c>
      <c r="AM78" s="93">
        <v>0</v>
      </c>
      <c r="AN78" s="254" t="s">
        <v>0</v>
      </c>
      <c r="AO78" s="246">
        <v>0</v>
      </c>
      <c r="AP78" s="92">
        <v>0</v>
      </c>
      <c r="AQ78" s="282">
        <v>0</v>
      </c>
      <c r="AR78" s="93">
        <v>0</v>
      </c>
      <c r="AS78" s="104">
        <v>0</v>
      </c>
      <c r="AT78" s="245">
        <v>1</v>
      </c>
      <c r="AU78" s="260">
        <v>0</v>
      </c>
      <c r="AV78" s="93">
        <v>520.41734880670958</v>
      </c>
      <c r="AW78" s="104">
        <v>1575.1874717549854</v>
      </c>
      <c r="AX78" s="93">
        <v>520.41734880670958</v>
      </c>
      <c r="AY78" s="243">
        <v>1575.1874717549854</v>
      </c>
    </row>
    <row r="79" spans="1:51" ht="105">
      <c r="A79" s="113" t="s">
        <v>885</v>
      </c>
      <c r="B79" s="90" t="s">
        <v>870</v>
      </c>
      <c r="C79" s="246" t="s">
        <v>11</v>
      </c>
      <c r="D79" s="253" t="s">
        <v>1414</v>
      </c>
      <c r="E79" s="253" t="s">
        <v>154</v>
      </c>
      <c r="F79" s="253" t="s">
        <v>181</v>
      </c>
      <c r="G79" s="253" t="s">
        <v>421</v>
      </c>
      <c r="H79" s="246" t="s">
        <v>109</v>
      </c>
      <c r="I79" s="246" t="s">
        <v>142</v>
      </c>
      <c r="J79" s="246" t="s">
        <v>47</v>
      </c>
      <c r="K79" s="256" t="s">
        <v>142</v>
      </c>
      <c r="L79" s="250" t="s">
        <v>18</v>
      </c>
      <c r="M79" s="90">
        <v>0.33</v>
      </c>
      <c r="N79" s="251">
        <v>2</v>
      </c>
      <c r="O79" s="92">
        <v>2.33</v>
      </c>
      <c r="P79" s="93">
        <v>19.081969456246018</v>
      </c>
      <c r="Q79" s="93">
        <v>115.64829973482435</v>
      </c>
      <c r="R79" s="93">
        <v>57.75687396434946</v>
      </c>
      <c r="S79" s="104">
        <v>350.04166038999676</v>
      </c>
      <c r="T79" s="254" t="s">
        <v>18</v>
      </c>
      <c r="U79" s="97">
        <v>0.33</v>
      </c>
      <c r="V79" s="252">
        <v>2</v>
      </c>
      <c r="W79" s="97">
        <v>2.33</v>
      </c>
      <c r="X79" s="93">
        <v>19.081969456246018</v>
      </c>
      <c r="Y79" s="93">
        <v>115.64829973482435</v>
      </c>
      <c r="Z79" s="93">
        <v>57.75687396434946</v>
      </c>
      <c r="AA79" s="104">
        <v>350.04166038999676</v>
      </c>
      <c r="AB79" s="250" t="s">
        <v>107</v>
      </c>
      <c r="AC79" s="97">
        <v>0</v>
      </c>
      <c r="AD79" s="252">
        <v>0</v>
      </c>
      <c r="AE79" s="97">
        <v>0</v>
      </c>
      <c r="AF79" s="93">
        <v>0</v>
      </c>
      <c r="AG79" s="93">
        <v>0</v>
      </c>
      <c r="AH79" s="93">
        <v>0</v>
      </c>
      <c r="AI79" s="93">
        <v>0</v>
      </c>
      <c r="AJ79" s="247" t="s">
        <v>49</v>
      </c>
      <c r="AK79" s="246"/>
      <c r="AL79" s="93">
        <v>0</v>
      </c>
      <c r="AM79" s="93">
        <v>0</v>
      </c>
      <c r="AN79" s="254" t="s">
        <v>0</v>
      </c>
      <c r="AO79" s="246">
        <v>0</v>
      </c>
      <c r="AP79" s="92">
        <v>0</v>
      </c>
      <c r="AQ79" s="282">
        <v>0</v>
      </c>
      <c r="AR79" s="93">
        <v>700.3791783912435</v>
      </c>
      <c r="AS79" s="104">
        <v>801.19082556287378</v>
      </c>
      <c r="AT79" s="245">
        <v>1</v>
      </c>
      <c r="AU79" s="260">
        <v>0</v>
      </c>
      <c r="AV79" s="93">
        <v>269.46053838214073</v>
      </c>
      <c r="AW79" s="104">
        <v>815.5970687086924</v>
      </c>
      <c r="AX79" s="93">
        <v>969.83971677338423</v>
      </c>
      <c r="AY79" s="243">
        <v>1616.7878942715661</v>
      </c>
    </row>
    <row r="80" spans="1:51" ht="105">
      <c r="A80" s="113" t="s">
        <v>886</v>
      </c>
      <c r="B80" s="90" t="s">
        <v>1203</v>
      </c>
      <c r="C80" s="246" t="s">
        <v>11</v>
      </c>
      <c r="D80" s="253" t="s">
        <v>1414</v>
      </c>
      <c r="E80" s="253" t="s">
        <v>154</v>
      </c>
      <c r="F80" s="253" t="s">
        <v>181</v>
      </c>
      <c r="G80" s="253" t="s">
        <v>421</v>
      </c>
      <c r="H80" s="246" t="s">
        <v>110</v>
      </c>
      <c r="I80" s="246" t="s">
        <v>142</v>
      </c>
      <c r="J80" s="246" t="s">
        <v>47</v>
      </c>
      <c r="K80" s="256" t="s">
        <v>142</v>
      </c>
      <c r="L80" s="250" t="s">
        <v>18</v>
      </c>
      <c r="M80" s="90">
        <v>2</v>
      </c>
      <c r="N80" s="251">
        <v>2</v>
      </c>
      <c r="O80" s="92">
        <v>4</v>
      </c>
      <c r="P80" s="93">
        <v>115.64829973482435</v>
      </c>
      <c r="Q80" s="93">
        <v>115.64829973482435</v>
      </c>
      <c r="R80" s="93">
        <v>350.04166038999676</v>
      </c>
      <c r="S80" s="104">
        <v>350.04166038999676</v>
      </c>
      <c r="T80" s="254" t="s">
        <v>18</v>
      </c>
      <c r="U80" s="97">
        <v>2</v>
      </c>
      <c r="V80" s="252">
        <v>2</v>
      </c>
      <c r="W80" s="97">
        <v>4</v>
      </c>
      <c r="X80" s="93">
        <v>115.64829973482435</v>
      </c>
      <c r="Y80" s="93">
        <v>115.64829973482435</v>
      </c>
      <c r="Z80" s="93">
        <v>350.04166038999676</v>
      </c>
      <c r="AA80" s="104">
        <v>350.04166038999676</v>
      </c>
      <c r="AB80" s="250" t="s">
        <v>107</v>
      </c>
      <c r="AC80" s="97">
        <v>0</v>
      </c>
      <c r="AD80" s="252">
        <v>0</v>
      </c>
      <c r="AE80" s="97">
        <v>0</v>
      </c>
      <c r="AF80" s="93">
        <v>0</v>
      </c>
      <c r="AG80" s="93">
        <v>0</v>
      </c>
      <c r="AH80" s="93">
        <v>0</v>
      </c>
      <c r="AI80" s="93">
        <v>0</v>
      </c>
      <c r="AJ80" s="247" t="s">
        <v>49</v>
      </c>
      <c r="AK80" s="246"/>
      <c r="AL80" s="93">
        <v>0</v>
      </c>
      <c r="AM80" s="93">
        <v>0</v>
      </c>
      <c r="AN80" s="254" t="s">
        <v>0</v>
      </c>
      <c r="AO80" s="246">
        <v>0</v>
      </c>
      <c r="AP80" s="92">
        <v>0</v>
      </c>
      <c r="AQ80" s="282">
        <v>0</v>
      </c>
      <c r="AR80" s="93">
        <v>700.3791783912435</v>
      </c>
      <c r="AS80" s="104">
        <v>801.19082556287378</v>
      </c>
      <c r="AT80" s="245">
        <v>1</v>
      </c>
      <c r="AU80" s="260">
        <v>0</v>
      </c>
      <c r="AV80" s="93">
        <v>462.59319893929739</v>
      </c>
      <c r="AW80" s="104">
        <v>1400.1666415599871</v>
      </c>
      <c r="AX80" s="93">
        <v>1162.9723773305409</v>
      </c>
      <c r="AY80" s="243">
        <v>2201.3574671228607</v>
      </c>
    </row>
    <row r="81" spans="1:51" ht="105">
      <c r="A81" s="113" t="s">
        <v>887</v>
      </c>
      <c r="B81" s="90" t="s">
        <v>871</v>
      </c>
      <c r="C81" s="246" t="s">
        <v>11</v>
      </c>
      <c r="D81" s="253" t="s">
        <v>1414</v>
      </c>
      <c r="E81" s="253" t="s">
        <v>154</v>
      </c>
      <c r="F81" s="253" t="s">
        <v>181</v>
      </c>
      <c r="G81" s="253" t="s">
        <v>422</v>
      </c>
      <c r="H81" s="246" t="s">
        <v>109</v>
      </c>
      <c r="I81" s="246" t="s">
        <v>142</v>
      </c>
      <c r="J81" s="246" t="s">
        <v>47</v>
      </c>
      <c r="K81" s="256" t="s">
        <v>142</v>
      </c>
      <c r="L81" s="250" t="s">
        <v>18</v>
      </c>
      <c r="M81" s="90">
        <v>0.33</v>
      </c>
      <c r="N81" s="251">
        <v>2.5</v>
      </c>
      <c r="O81" s="92">
        <v>2.83</v>
      </c>
      <c r="P81" s="93">
        <v>19.081969456246018</v>
      </c>
      <c r="Q81" s="93">
        <v>144.56037466853044</v>
      </c>
      <c r="R81" s="93">
        <v>57.75687396434946</v>
      </c>
      <c r="S81" s="104">
        <v>437.55207548749598</v>
      </c>
      <c r="T81" s="254" t="s">
        <v>18</v>
      </c>
      <c r="U81" s="97">
        <v>0.33</v>
      </c>
      <c r="V81" s="252">
        <v>2.5</v>
      </c>
      <c r="W81" s="97">
        <v>2.83</v>
      </c>
      <c r="X81" s="93">
        <v>19.081969456246018</v>
      </c>
      <c r="Y81" s="93">
        <v>144.56037466853044</v>
      </c>
      <c r="Z81" s="93">
        <v>57.75687396434946</v>
      </c>
      <c r="AA81" s="104">
        <v>437.55207548749598</v>
      </c>
      <c r="AB81" s="250" t="s">
        <v>107</v>
      </c>
      <c r="AC81" s="97">
        <v>0</v>
      </c>
      <c r="AD81" s="252">
        <v>0</v>
      </c>
      <c r="AE81" s="97">
        <v>0</v>
      </c>
      <c r="AF81" s="93">
        <v>0</v>
      </c>
      <c r="AG81" s="93">
        <v>0</v>
      </c>
      <c r="AH81" s="93">
        <v>0</v>
      </c>
      <c r="AI81" s="93">
        <v>0</v>
      </c>
      <c r="AJ81" s="247" t="s">
        <v>49</v>
      </c>
      <c r="AK81" s="246"/>
      <c r="AL81" s="93">
        <v>0</v>
      </c>
      <c r="AM81" s="93">
        <v>0</v>
      </c>
      <c r="AN81" s="254" t="s">
        <v>0</v>
      </c>
      <c r="AO81" s="246">
        <v>0</v>
      </c>
      <c r="AP81" s="92">
        <v>0</v>
      </c>
      <c r="AQ81" s="282">
        <v>0</v>
      </c>
      <c r="AR81" s="93">
        <v>700.3791783912435</v>
      </c>
      <c r="AS81" s="104">
        <v>801.19082556287378</v>
      </c>
      <c r="AT81" s="245">
        <v>1</v>
      </c>
      <c r="AU81" s="260">
        <v>0</v>
      </c>
      <c r="AV81" s="93">
        <v>327.28468824955291</v>
      </c>
      <c r="AW81" s="104">
        <v>990.61789890369096</v>
      </c>
      <c r="AX81" s="93">
        <v>1027.6638666407964</v>
      </c>
      <c r="AY81" s="243">
        <v>1791.8087244665649</v>
      </c>
    </row>
    <row r="82" spans="1:51" ht="105">
      <c r="A82" s="113" t="s">
        <v>888</v>
      </c>
      <c r="B82" s="90" t="s">
        <v>872</v>
      </c>
      <c r="C82" s="246" t="s">
        <v>11</v>
      </c>
      <c r="D82" s="253" t="s">
        <v>1414</v>
      </c>
      <c r="E82" s="253" t="s">
        <v>154</v>
      </c>
      <c r="F82" s="253" t="s">
        <v>181</v>
      </c>
      <c r="G82" s="253" t="s">
        <v>422</v>
      </c>
      <c r="H82" s="246" t="s">
        <v>110</v>
      </c>
      <c r="I82" s="246" t="s">
        <v>142</v>
      </c>
      <c r="J82" s="246" t="s">
        <v>47</v>
      </c>
      <c r="K82" s="256" t="s">
        <v>142</v>
      </c>
      <c r="L82" s="250" t="s">
        <v>18</v>
      </c>
      <c r="M82" s="90">
        <v>2</v>
      </c>
      <c r="N82" s="251">
        <v>2.5</v>
      </c>
      <c r="O82" s="92">
        <v>4.5</v>
      </c>
      <c r="P82" s="93">
        <v>115.64829973482435</v>
      </c>
      <c r="Q82" s="93">
        <v>144.56037466853044</v>
      </c>
      <c r="R82" s="93">
        <v>350.04166038999676</v>
      </c>
      <c r="S82" s="104">
        <v>437.55207548749598</v>
      </c>
      <c r="T82" s="254" t="s">
        <v>18</v>
      </c>
      <c r="U82" s="97">
        <v>2</v>
      </c>
      <c r="V82" s="252">
        <v>2.5</v>
      </c>
      <c r="W82" s="97">
        <v>4.5</v>
      </c>
      <c r="X82" s="93">
        <v>115.64829973482435</v>
      </c>
      <c r="Y82" s="93">
        <v>144.56037466853044</v>
      </c>
      <c r="Z82" s="93">
        <v>350.04166038999676</v>
      </c>
      <c r="AA82" s="104">
        <v>437.55207548749598</v>
      </c>
      <c r="AB82" s="250" t="s">
        <v>107</v>
      </c>
      <c r="AC82" s="97">
        <v>0</v>
      </c>
      <c r="AD82" s="252">
        <v>0</v>
      </c>
      <c r="AE82" s="97">
        <v>0</v>
      </c>
      <c r="AF82" s="93">
        <v>0</v>
      </c>
      <c r="AG82" s="93">
        <v>0</v>
      </c>
      <c r="AH82" s="93">
        <v>0</v>
      </c>
      <c r="AI82" s="93">
        <v>0</v>
      </c>
      <c r="AJ82" s="247" t="s">
        <v>49</v>
      </c>
      <c r="AK82" s="246"/>
      <c r="AL82" s="93">
        <v>0</v>
      </c>
      <c r="AM82" s="93">
        <v>0</v>
      </c>
      <c r="AN82" s="254" t="s">
        <v>0</v>
      </c>
      <c r="AO82" s="246">
        <v>0</v>
      </c>
      <c r="AP82" s="92">
        <v>0</v>
      </c>
      <c r="AQ82" s="282">
        <v>0</v>
      </c>
      <c r="AR82" s="93">
        <v>700.3791783912435</v>
      </c>
      <c r="AS82" s="104">
        <v>801.19082556287378</v>
      </c>
      <c r="AT82" s="245">
        <v>1</v>
      </c>
      <c r="AU82" s="260">
        <v>0</v>
      </c>
      <c r="AV82" s="93">
        <v>520.41734880670958</v>
      </c>
      <c r="AW82" s="104">
        <v>1575.1874717549854</v>
      </c>
      <c r="AX82" s="93">
        <v>1220.7965271979531</v>
      </c>
      <c r="AY82" s="243">
        <v>2376.3782973178591</v>
      </c>
    </row>
    <row r="83" spans="1:51" ht="105">
      <c r="A83" s="113" t="s">
        <v>889</v>
      </c>
      <c r="B83" s="90" t="s">
        <v>873</v>
      </c>
      <c r="C83" s="246" t="s">
        <v>11</v>
      </c>
      <c r="D83" s="253" t="s">
        <v>1414</v>
      </c>
      <c r="E83" s="253" t="s">
        <v>154</v>
      </c>
      <c r="F83" s="253" t="s">
        <v>181</v>
      </c>
      <c r="G83" s="253" t="s">
        <v>423</v>
      </c>
      <c r="H83" s="246" t="s">
        <v>109</v>
      </c>
      <c r="I83" s="246" t="s">
        <v>142</v>
      </c>
      <c r="J83" s="246" t="s">
        <v>113</v>
      </c>
      <c r="K83" s="256" t="s">
        <v>49</v>
      </c>
      <c r="L83" s="250" t="s">
        <v>18</v>
      </c>
      <c r="M83" s="90">
        <v>0.33</v>
      </c>
      <c r="N83" s="251">
        <v>2</v>
      </c>
      <c r="O83" s="92">
        <v>2.33</v>
      </c>
      <c r="P83" s="93">
        <v>25.084366852241615</v>
      </c>
      <c r="Q83" s="93">
        <v>152.0264657711613</v>
      </c>
      <c r="R83" s="93">
        <v>75.924794769346875</v>
      </c>
      <c r="S83" s="104">
        <v>460.15027132937496</v>
      </c>
      <c r="T83" s="254" t="s">
        <v>18</v>
      </c>
      <c r="U83" s="97">
        <v>0.33</v>
      </c>
      <c r="V83" s="252">
        <v>2</v>
      </c>
      <c r="W83" s="97">
        <v>2.33</v>
      </c>
      <c r="X83" s="93">
        <v>25.084366852241615</v>
      </c>
      <c r="Y83" s="93">
        <v>152.0264657711613</v>
      </c>
      <c r="Z83" s="93">
        <v>75.924794769346875</v>
      </c>
      <c r="AA83" s="104">
        <v>460.15027132937496</v>
      </c>
      <c r="AB83" s="250" t="s">
        <v>107</v>
      </c>
      <c r="AC83" s="97">
        <v>0</v>
      </c>
      <c r="AD83" s="252">
        <v>0</v>
      </c>
      <c r="AE83" s="97">
        <v>0</v>
      </c>
      <c r="AF83" s="93">
        <v>0</v>
      </c>
      <c r="AG83" s="93">
        <v>0</v>
      </c>
      <c r="AH83" s="93">
        <v>0</v>
      </c>
      <c r="AI83" s="93">
        <v>0</v>
      </c>
      <c r="AJ83" s="247" t="s">
        <v>49</v>
      </c>
      <c r="AK83" s="246"/>
      <c r="AL83" s="93">
        <v>0</v>
      </c>
      <c r="AM83" s="93">
        <v>0</v>
      </c>
      <c r="AN83" s="254" t="s">
        <v>0</v>
      </c>
      <c r="AO83" s="246">
        <v>0</v>
      </c>
      <c r="AP83" s="92">
        <v>0</v>
      </c>
      <c r="AQ83" s="282">
        <v>0</v>
      </c>
      <c r="AR83" s="93">
        <v>0</v>
      </c>
      <c r="AS83" s="104">
        <v>0</v>
      </c>
      <c r="AT83" s="245">
        <v>1</v>
      </c>
      <c r="AU83" s="260">
        <v>0</v>
      </c>
      <c r="AV83" s="93">
        <v>354.22166524680586</v>
      </c>
      <c r="AW83" s="104">
        <v>1072.1501321974438</v>
      </c>
      <c r="AX83" s="93">
        <v>354.22166524680586</v>
      </c>
      <c r="AY83" s="243">
        <v>1072.1501321974438</v>
      </c>
    </row>
    <row r="84" spans="1:51" ht="105">
      <c r="A84" s="113" t="s">
        <v>890</v>
      </c>
      <c r="B84" s="90" t="s">
        <v>874</v>
      </c>
      <c r="C84" s="246" t="s">
        <v>11</v>
      </c>
      <c r="D84" s="253" t="s">
        <v>1414</v>
      </c>
      <c r="E84" s="253" t="s">
        <v>154</v>
      </c>
      <c r="F84" s="253" t="s">
        <v>181</v>
      </c>
      <c r="G84" s="253" t="s">
        <v>423</v>
      </c>
      <c r="H84" s="246" t="s">
        <v>110</v>
      </c>
      <c r="I84" s="246" t="s">
        <v>142</v>
      </c>
      <c r="J84" s="246" t="s">
        <v>113</v>
      </c>
      <c r="K84" s="256" t="s">
        <v>49</v>
      </c>
      <c r="L84" s="250" t="s">
        <v>18</v>
      </c>
      <c r="M84" s="90">
        <v>2</v>
      </c>
      <c r="N84" s="251">
        <v>2</v>
      </c>
      <c r="O84" s="92">
        <v>4</v>
      </c>
      <c r="P84" s="93">
        <v>152.0264657711613</v>
      </c>
      <c r="Q84" s="93">
        <v>152.0264657711613</v>
      </c>
      <c r="R84" s="93">
        <v>460.15027132937496</v>
      </c>
      <c r="S84" s="104">
        <v>460.15027132937496</v>
      </c>
      <c r="T84" s="254" t="s">
        <v>18</v>
      </c>
      <c r="U84" s="97">
        <v>2</v>
      </c>
      <c r="V84" s="252">
        <v>2</v>
      </c>
      <c r="W84" s="97">
        <v>4</v>
      </c>
      <c r="X84" s="93">
        <v>152.0264657711613</v>
      </c>
      <c r="Y84" s="93">
        <v>152.0264657711613</v>
      </c>
      <c r="Z84" s="93">
        <v>460.15027132937496</v>
      </c>
      <c r="AA84" s="104">
        <v>460.15027132937496</v>
      </c>
      <c r="AB84" s="250" t="s">
        <v>107</v>
      </c>
      <c r="AC84" s="97">
        <v>0</v>
      </c>
      <c r="AD84" s="252">
        <v>0</v>
      </c>
      <c r="AE84" s="97">
        <v>0</v>
      </c>
      <c r="AF84" s="93">
        <v>0</v>
      </c>
      <c r="AG84" s="93">
        <v>0</v>
      </c>
      <c r="AH84" s="93">
        <v>0</v>
      </c>
      <c r="AI84" s="93">
        <v>0</v>
      </c>
      <c r="AJ84" s="247" t="s">
        <v>49</v>
      </c>
      <c r="AK84" s="246"/>
      <c r="AL84" s="93">
        <v>0</v>
      </c>
      <c r="AM84" s="93">
        <v>0</v>
      </c>
      <c r="AN84" s="254" t="s">
        <v>0</v>
      </c>
      <c r="AO84" s="246">
        <v>0</v>
      </c>
      <c r="AP84" s="92">
        <v>0</v>
      </c>
      <c r="AQ84" s="282">
        <v>0</v>
      </c>
      <c r="AR84" s="93">
        <v>0</v>
      </c>
      <c r="AS84" s="104">
        <v>0</v>
      </c>
      <c r="AT84" s="245">
        <v>1</v>
      </c>
      <c r="AU84" s="260">
        <v>0</v>
      </c>
      <c r="AV84" s="93">
        <v>608.10586308464519</v>
      </c>
      <c r="AW84" s="104">
        <v>1840.6010853174998</v>
      </c>
      <c r="AX84" s="93">
        <v>608.10586308464519</v>
      </c>
      <c r="AY84" s="243">
        <v>1840.6010853174998</v>
      </c>
    </row>
    <row r="85" spans="1:51" ht="105">
      <c r="A85" s="113" t="s">
        <v>891</v>
      </c>
      <c r="B85" s="90" t="s">
        <v>875</v>
      </c>
      <c r="C85" s="246" t="s">
        <v>11</v>
      </c>
      <c r="D85" s="253" t="s">
        <v>1414</v>
      </c>
      <c r="E85" s="253" t="s">
        <v>154</v>
      </c>
      <c r="F85" s="253" t="s">
        <v>181</v>
      </c>
      <c r="G85" s="253" t="s">
        <v>424</v>
      </c>
      <c r="H85" s="246" t="s">
        <v>109</v>
      </c>
      <c r="I85" s="246" t="s">
        <v>142</v>
      </c>
      <c r="J85" s="246" t="s">
        <v>113</v>
      </c>
      <c r="K85" s="256" t="s">
        <v>49</v>
      </c>
      <c r="L85" s="250" t="s">
        <v>18</v>
      </c>
      <c r="M85" s="90">
        <v>0.33</v>
      </c>
      <c r="N85" s="251">
        <v>2.5</v>
      </c>
      <c r="O85" s="92">
        <v>2.83</v>
      </c>
      <c r="P85" s="93">
        <v>25.084366852241615</v>
      </c>
      <c r="Q85" s="93">
        <v>190.03308221395162</v>
      </c>
      <c r="R85" s="93">
        <v>75.924794769346875</v>
      </c>
      <c r="S85" s="104">
        <v>575.18783916171878</v>
      </c>
      <c r="T85" s="254" t="s">
        <v>18</v>
      </c>
      <c r="U85" s="97">
        <v>0.33</v>
      </c>
      <c r="V85" s="252">
        <v>2.5</v>
      </c>
      <c r="W85" s="97">
        <v>2.83</v>
      </c>
      <c r="X85" s="93">
        <v>25.084366852241615</v>
      </c>
      <c r="Y85" s="93">
        <v>190.03308221395162</v>
      </c>
      <c r="Z85" s="93">
        <v>75.924794769346875</v>
      </c>
      <c r="AA85" s="104">
        <v>575.18783916171878</v>
      </c>
      <c r="AB85" s="250" t="s">
        <v>107</v>
      </c>
      <c r="AC85" s="97">
        <v>0</v>
      </c>
      <c r="AD85" s="252">
        <v>0</v>
      </c>
      <c r="AE85" s="97">
        <v>0</v>
      </c>
      <c r="AF85" s="93">
        <v>0</v>
      </c>
      <c r="AG85" s="93">
        <v>0</v>
      </c>
      <c r="AH85" s="93">
        <v>0</v>
      </c>
      <c r="AI85" s="93">
        <v>0</v>
      </c>
      <c r="AJ85" s="247" t="s">
        <v>49</v>
      </c>
      <c r="AK85" s="246"/>
      <c r="AL85" s="93">
        <v>0</v>
      </c>
      <c r="AM85" s="93">
        <v>0</v>
      </c>
      <c r="AN85" s="254" t="s">
        <v>0</v>
      </c>
      <c r="AO85" s="246">
        <v>0</v>
      </c>
      <c r="AP85" s="92">
        <v>0</v>
      </c>
      <c r="AQ85" s="282">
        <v>0</v>
      </c>
      <c r="AR85" s="93">
        <v>0</v>
      </c>
      <c r="AS85" s="104">
        <v>0</v>
      </c>
      <c r="AT85" s="245">
        <v>1</v>
      </c>
      <c r="AU85" s="260">
        <v>0</v>
      </c>
      <c r="AV85" s="93">
        <v>430.23489813238643</v>
      </c>
      <c r="AW85" s="104">
        <v>1302.2252678621312</v>
      </c>
      <c r="AX85" s="93">
        <v>430.23489813238643</v>
      </c>
      <c r="AY85" s="243">
        <v>1302.2252678621312</v>
      </c>
    </row>
    <row r="86" spans="1:51" ht="105">
      <c r="A86" s="113" t="s">
        <v>892</v>
      </c>
      <c r="B86" s="90" t="s">
        <v>876</v>
      </c>
      <c r="C86" s="246" t="s">
        <v>11</v>
      </c>
      <c r="D86" s="253" t="s">
        <v>1414</v>
      </c>
      <c r="E86" s="253" t="s">
        <v>154</v>
      </c>
      <c r="F86" s="253" t="s">
        <v>181</v>
      </c>
      <c r="G86" s="253" t="s">
        <v>424</v>
      </c>
      <c r="H86" s="246" t="s">
        <v>110</v>
      </c>
      <c r="I86" s="246" t="s">
        <v>142</v>
      </c>
      <c r="J86" s="246" t="s">
        <v>113</v>
      </c>
      <c r="K86" s="256" t="s">
        <v>49</v>
      </c>
      <c r="L86" s="250" t="s">
        <v>18</v>
      </c>
      <c r="M86" s="90">
        <v>2</v>
      </c>
      <c r="N86" s="251">
        <v>2.5</v>
      </c>
      <c r="O86" s="92">
        <v>4.5</v>
      </c>
      <c r="P86" s="93">
        <v>152.0264657711613</v>
      </c>
      <c r="Q86" s="93">
        <v>190.03308221395162</v>
      </c>
      <c r="R86" s="93">
        <v>460.15027132937496</v>
      </c>
      <c r="S86" s="104">
        <v>575.18783916171878</v>
      </c>
      <c r="T86" s="254" t="s">
        <v>18</v>
      </c>
      <c r="U86" s="97">
        <v>2</v>
      </c>
      <c r="V86" s="252">
        <v>2.5</v>
      </c>
      <c r="W86" s="97">
        <v>4.5</v>
      </c>
      <c r="X86" s="93">
        <v>152.0264657711613</v>
      </c>
      <c r="Y86" s="93">
        <v>190.03308221395162</v>
      </c>
      <c r="Z86" s="93">
        <v>460.15027132937496</v>
      </c>
      <c r="AA86" s="104">
        <v>575.18783916171878</v>
      </c>
      <c r="AB86" s="250" t="s">
        <v>107</v>
      </c>
      <c r="AC86" s="97">
        <v>0</v>
      </c>
      <c r="AD86" s="252">
        <v>0</v>
      </c>
      <c r="AE86" s="97">
        <v>0</v>
      </c>
      <c r="AF86" s="93">
        <v>0</v>
      </c>
      <c r="AG86" s="93">
        <v>0</v>
      </c>
      <c r="AH86" s="93">
        <v>0</v>
      </c>
      <c r="AI86" s="93">
        <v>0</v>
      </c>
      <c r="AJ86" s="247" t="s">
        <v>49</v>
      </c>
      <c r="AK86" s="246"/>
      <c r="AL86" s="93">
        <v>0</v>
      </c>
      <c r="AM86" s="93">
        <v>0</v>
      </c>
      <c r="AN86" s="254" t="s">
        <v>0</v>
      </c>
      <c r="AO86" s="246">
        <v>0</v>
      </c>
      <c r="AP86" s="92">
        <v>0</v>
      </c>
      <c r="AQ86" s="282">
        <v>0</v>
      </c>
      <c r="AR86" s="93">
        <v>0</v>
      </c>
      <c r="AS86" s="104">
        <v>0</v>
      </c>
      <c r="AT86" s="245">
        <v>1</v>
      </c>
      <c r="AU86" s="260">
        <v>0</v>
      </c>
      <c r="AV86" s="93">
        <v>684.11909597022577</v>
      </c>
      <c r="AW86" s="104">
        <v>2070.6762209821873</v>
      </c>
      <c r="AX86" s="93">
        <v>684.11909597022577</v>
      </c>
      <c r="AY86" s="243">
        <v>2070.6762209821873</v>
      </c>
    </row>
    <row r="87" spans="1:51" ht="105">
      <c r="A87" s="113" t="s">
        <v>893</v>
      </c>
      <c r="B87" s="90" t="s">
        <v>877</v>
      </c>
      <c r="C87" s="246" t="s">
        <v>11</v>
      </c>
      <c r="D87" s="253" t="s">
        <v>1414</v>
      </c>
      <c r="E87" s="253" t="s">
        <v>154</v>
      </c>
      <c r="F87" s="253" t="s">
        <v>181</v>
      </c>
      <c r="G87" s="253" t="s">
        <v>429</v>
      </c>
      <c r="H87" s="246" t="s">
        <v>109</v>
      </c>
      <c r="I87" s="246" t="s">
        <v>142</v>
      </c>
      <c r="J87" s="246" t="s">
        <v>113</v>
      </c>
      <c r="K87" s="256" t="s">
        <v>142</v>
      </c>
      <c r="L87" s="250" t="s">
        <v>18</v>
      </c>
      <c r="M87" s="90">
        <v>0.33</v>
      </c>
      <c r="N87" s="251">
        <v>2</v>
      </c>
      <c r="O87" s="92">
        <v>2.33</v>
      </c>
      <c r="P87" s="93">
        <v>25.084366852241615</v>
      </c>
      <c r="Q87" s="93">
        <v>152.0264657711613</v>
      </c>
      <c r="R87" s="93">
        <v>75.924794769346875</v>
      </c>
      <c r="S87" s="104">
        <v>460.15027132937496</v>
      </c>
      <c r="T87" s="250" t="s">
        <v>18</v>
      </c>
      <c r="U87" s="90">
        <v>0.33</v>
      </c>
      <c r="V87" s="252">
        <v>2</v>
      </c>
      <c r="W87" s="90">
        <v>2.33</v>
      </c>
      <c r="X87" s="93">
        <v>25.084366852241615</v>
      </c>
      <c r="Y87" s="93">
        <v>152.0264657711613</v>
      </c>
      <c r="Z87" s="93">
        <v>75.924794769346875</v>
      </c>
      <c r="AA87" s="104">
        <v>460.15027132937496</v>
      </c>
      <c r="AB87" s="250" t="s">
        <v>107</v>
      </c>
      <c r="AC87" s="97">
        <v>0</v>
      </c>
      <c r="AD87" s="252">
        <v>0</v>
      </c>
      <c r="AE87" s="97">
        <v>0</v>
      </c>
      <c r="AF87" s="93">
        <v>0</v>
      </c>
      <c r="AG87" s="93">
        <v>0</v>
      </c>
      <c r="AH87" s="93">
        <v>0</v>
      </c>
      <c r="AI87" s="93">
        <v>0</v>
      </c>
      <c r="AJ87" s="247" t="s">
        <v>49</v>
      </c>
      <c r="AK87" s="246"/>
      <c r="AL87" s="93">
        <v>0</v>
      </c>
      <c r="AM87" s="93">
        <v>0</v>
      </c>
      <c r="AN87" s="254" t="s">
        <v>0</v>
      </c>
      <c r="AO87" s="246">
        <v>0</v>
      </c>
      <c r="AP87" s="92">
        <v>0</v>
      </c>
      <c r="AQ87" s="282">
        <v>0</v>
      </c>
      <c r="AR87" s="93">
        <v>700.3791783912435</v>
      </c>
      <c r="AS87" s="104">
        <v>801.19082556287378</v>
      </c>
      <c r="AT87" s="245">
        <v>1</v>
      </c>
      <c r="AU87" s="260">
        <v>0</v>
      </c>
      <c r="AV87" s="93">
        <v>354.22166524680586</v>
      </c>
      <c r="AW87" s="104">
        <v>1072.1501321974438</v>
      </c>
      <c r="AX87" s="93">
        <v>1054.6008436380494</v>
      </c>
      <c r="AY87" s="243">
        <v>1873.3409577603175</v>
      </c>
    </row>
    <row r="88" spans="1:51" ht="105">
      <c r="A88" s="113" t="s">
        <v>894</v>
      </c>
      <c r="B88" s="90" t="s">
        <v>878</v>
      </c>
      <c r="C88" s="246" t="s">
        <v>11</v>
      </c>
      <c r="D88" s="253" t="s">
        <v>1414</v>
      </c>
      <c r="E88" s="253" t="s">
        <v>154</v>
      </c>
      <c r="F88" s="253" t="s">
        <v>181</v>
      </c>
      <c r="G88" s="253" t="s">
        <v>429</v>
      </c>
      <c r="H88" s="246" t="s">
        <v>110</v>
      </c>
      <c r="I88" s="246" t="s">
        <v>142</v>
      </c>
      <c r="J88" s="246" t="s">
        <v>113</v>
      </c>
      <c r="K88" s="256" t="s">
        <v>142</v>
      </c>
      <c r="L88" s="250" t="s">
        <v>18</v>
      </c>
      <c r="M88" s="90">
        <v>2</v>
      </c>
      <c r="N88" s="251">
        <v>2</v>
      </c>
      <c r="O88" s="92">
        <v>4</v>
      </c>
      <c r="P88" s="93">
        <v>152.0264657711613</v>
      </c>
      <c r="Q88" s="93">
        <v>152.0264657711613</v>
      </c>
      <c r="R88" s="93">
        <v>460.15027132937496</v>
      </c>
      <c r="S88" s="104">
        <v>460.15027132937496</v>
      </c>
      <c r="T88" s="250" t="s">
        <v>18</v>
      </c>
      <c r="U88" s="90">
        <v>2</v>
      </c>
      <c r="V88" s="252">
        <v>2</v>
      </c>
      <c r="W88" s="90">
        <v>4</v>
      </c>
      <c r="X88" s="93">
        <v>152.0264657711613</v>
      </c>
      <c r="Y88" s="93">
        <v>152.0264657711613</v>
      </c>
      <c r="Z88" s="93">
        <v>460.15027132937496</v>
      </c>
      <c r="AA88" s="104">
        <v>460.15027132937496</v>
      </c>
      <c r="AB88" s="250" t="s">
        <v>107</v>
      </c>
      <c r="AC88" s="97">
        <v>0</v>
      </c>
      <c r="AD88" s="252">
        <v>0</v>
      </c>
      <c r="AE88" s="97">
        <v>0</v>
      </c>
      <c r="AF88" s="93">
        <v>0</v>
      </c>
      <c r="AG88" s="93">
        <v>0</v>
      </c>
      <c r="AH88" s="93">
        <v>0</v>
      </c>
      <c r="AI88" s="93">
        <v>0</v>
      </c>
      <c r="AJ88" s="247" t="s">
        <v>49</v>
      </c>
      <c r="AK88" s="246"/>
      <c r="AL88" s="93">
        <v>0</v>
      </c>
      <c r="AM88" s="93">
        <v>0</v>
      </c>
      <c r="AN88" s="254" t="s">
        <v>0</v>
      </c>
      <c r="AO88" s="246">
        <v>0</v>
      </c>
      <c r="AP88" s="92">
        <v>0</v>
      </c>
      <c r="AQ88" s="282">
        <v>0</v>
      </c>
      <c r="AR88" s="93">
        <v>700.3791783912435</v>
      </c>
      <c r="AS88" s="104">
        <v>801.19082556287378</v>
      </c>
      <c r="AT88" s="245">
        <v>1</v>
      </c>
      <c r="AU88" s="260">
        <v>0</v>
      </c>
      <c r="AV88" s="93">
        <v>608.10586308464519</v>
      </c>
      <c r="AW88" s="104">
        <v>1840.6010853174998</v>
      </c>
      <c r="AX88" s="93">
        <v>1308.4850414758887</v>
      </c>
      <c r="AY88" s="243">
        <v>2641.7919108803735</v>
      </c>
    </row>
    <row r="89" spans="1:51" ht="105">
      <c r="A89" s="113" t="s">
        <v>895</v>
      </c>
      <c r="B89" s="90" t="s">
        <v>879</v>
      </c>
      <c r="C89" s="246" t="s">
        <v>11</v>
      </c>
      <c r="D89" s="253" t="s">
        <v>1414</v>
      </c>
      <c r="E89" s="253" t="s">
        <v>154</v>
      </c>
      <c r="F89" s="253" t="s">
        <v>181</v>
      </c>
      <c r="G89" s="253" t="s">
        <v>430</v>
      </c>
      <c r="H89" s="246" t="s">
        <v>109</v>
      </c>
      <c r="I89" s="246" t="s">
        <v>142</v>
      </c>
      <c r="J89" s="246" t="s">
        <v>113</v>
      </c>
      <c r="K89" s="256" t="s">
        <v>142</v>
      </c>
      <c r="L89" s="250" t="s">
        <v>18</v>
      </c>
      <c r="M89" s="90">
        <v>0.33</v>
      </c>
      <c r="N89" s="251">
        <v>2.5</v>
      </c>
      <c r="O89" s="92">
        <v>2.83</v>
      </c>
      <c r="P89" s="93">
        <v>25.084366852241615</v>
      </c>
      <c r="Q89" s="93">
        <v>190.03308221395162</v>
      </c>
      <c r="R89" s="93">
        <v>75.924794769346875</v>
      </c>
      <c r="S89" s="104">
        <v>575.18783916171878</v>
      </c>
      <c r="T89" s="250" t="s">
        <v>18</v>
      </c>
      <c r="U89" s="90">
        <v>0.33</v>
      </c>
      <c r="V89" s="252">
        <v>2.5</v>
      </c>
      <c r="W89" s="90">
        <v>2.83</v>
      </c>
      <c r="X89" s="93">
        <v>25.084366852241615</v>
      </c>
      <c r="Y89" s="93">
        <v>190.03308221395162</v>
      </c>
      <c r="Z89" s="93">
        <v>75.924794769346875</v>
      </c>
      <c r="AA89" s="104">
        <v>575.18783916171878</v>
      </c>
      <c r="AB89" s="250" t="s">
        <v>107</v>
      </c>
      <c r="AC89" s="97">
        <v>0</v>
      </c>
      <c r="AD89" s="252">
        <v>0</v>
      </c>
      <c r="AE89" s="97">
        <v>0</v>
      </c>
      <c r="AF89" s="93">
        <v>0</v>
      </c>
      <c r="AG89" s="93">
        <v>0</v>
      </c>
      <c r="AH89" s="93">
        <v>0</v>
      </c>
      <c r="AI89" s="93">
        <v>0</v>
      </c>
      <c r="AJ89" s="247" t="s">
        <v>49</v>
      </c>
      <c r="AK89" s="246"/>
      <c r="AL89" s="93">
        <v>0</v>
      </c>
      <c r="AM89" s="93">
        <v>0</v>
      </c>
      <c r="AN89" s="254" t="s">
        <v>0</v>
      </c>
      <c r="AO89" s="246">
        <v>0</v>
      </c>
      <c r="AP89" s="92">
        <v>0</v>
      </c>
      <c r="AQ89" s="282">
        <v>0</v>
      </c>
      <c r="AR89" s="93">
        <v>700.3791783912435</v>
      </c>
      <c r="AS89" s="104">
        <v>801.19082556287378</v>
      </c>
      <c r="AT89" s="245">
        <v>1</v>
      </c>
      <c r="AU89" s="260">
        <v>0</v>
      </c>
      <c r="AV89" s="93">
        <v>430.23489813238643</v>
      </c>
      <c r="AW89" s="104">
        <v>1302.2252678621312</v>
      </c>
      <c r="AX89" s="93">
        <v>1130.61407652363</v>
      </c>
      <c r="AY89" s="243">
        <v>2103.4160934250049</v>
      </c>
    </row>
    <row r="90" spans="1:51" ht="105">
      <c r="A90" s="113" t="s">
        <v>896</v>
      </c>
      <c r="B90" s="90" t="s">
        <v>880</v>
      </c>
      <c r="C90" s="246" t="s">
        <v>11</v>
      </c>
      <c r="D90" s="253" t="s">
        <v>1414</v>
      </c>
      <c r="E90" s="253" t="s">
        <v>154</v>
      </c>
      <c r="F90" s="253" t="s">
        <v>181</v>
      </c>
      <c r="G90" s="253" t="s">
        <v>430</v>
      </c>
      <c r="H90" s="246" t="s">
        <v>110</v>
      </c>
      <c r="I90" s="246" t="s">
        <v>142</v>
      </c>
      <c r="J90" s="246" t="s">
        <v>113</v>
      </c>
      <c r="K90" s="256" t="s">
        <v>142</v>
      </c>
      <c r="L90" s="250" t="s">
        <v>18</v>
      </c>
      <c r="M90" s="90">
        <v>2</v>
      </c>
      <c r="N90" s="251">
        <v>2.5</v>
      </c>
      <c r="O90" s="92">
        <v>4.5</v>
      </c>
      <c r="P90" s="93">
        <v>152.0264657711613</v>
      </c>
      <c r="Q90" s="93">
        <v>190.03308221395162</v>
      </c>
      <c r="R90" s="93">
        <v>460.15027132937496</v>
      </c>
      <c r="S90" s="104">
        <v>575.18783916171878</v>
      </c>
      <c r="T90" s="250" t="s">
        <v>18</v>
      </c>
      <c r="U90" s="90">
        <v>2</v>
      </c>
      <c r="V90" s="252">
        <v>2.5</v>
      </c>
      <c r="W90" s="90">
        <v>4.5</v>
      </c>
      <c r="X90" s="93">
        <v>152.0264657711613</v>
      </c>
      <c r="Y90" s="93">
        <v>190.03308221395162</v>
      </c>
      <c r="Z90" s="93">
        <v>460.15027132937496</v>
      </c>
      <c r="AA90" s="104">
        <v>575.18783916171878</v>
      </c>
      <c r="AB90" s="250" t="s">
        <v>107</v>
      </c>
      <c r="AC90" s="97">
        <v>0</v>
      </c>
      <c r="AD90" s="252">
        <v>0</v>
      </c>
      <c r="AE90" s="97">
        <v>0</v>
      </c>
      <c r="AF90" s="93">
        <v>0</v>
      </c>
      <c r="AG90" s="93">
        <v>0</v>
      </c>
      <c r="AH90" s="93">
        <v>0</v>
      </c>
      <c r="AI90" s="93">
        <v>0</v>
      </c>
      <c r="AJ90" s="247" t="s">
        <v>49</v>
      </c>
      <c r="AK90" s="246"/>
      <c r="AL90" s="93">
        <v>0</v>
      </c>
      <c r="AM90" s="93">
        <v>0</v>
      </c>
      <c r="AN90" s="254" t="s">
        <v>0</v>
      </c>
      <c r="AO90" s="246">
        <v>0</v>
      </c>
      <c r="AP90" s="92">
        <v>0</v>
      </c>
      <c r="AQ90" s="282">
        <v>0</v>
      </c>
      <c r="AR90" s="93">
        <v>700.3791783912435</v>
      </c>
      <c r="AS90" s="104">
        <v>801.19082556287378</v>
      </c>
      <c r="AT90" s="245">
        <v>1</v>
      </c>
      <c r="AU90" s="260">
        <v>0</v>
      </c>
      <c r="AV90" s="93">
        <v>684.11909597022577</v>
      </c>
      <c r="AW90" s="104">
        <v>2070.6762209821873</v>
      </c>
      <c r="AX90" s="93">
        <v>1384.4982743614692</v>
      </c>
      <c r="AY90" s="243">
        <v>2871.8670465450609</v>
      </c>
    </row>
    <row r="91" spans="1:51" ht="90">
      <c r="A91" s="113" t="s">
        <v>905</v>
      </c>
      <c r="B91" s="90" t="s">
        <v>887</v>
      </c>
      <c r="C91" s="246" t="s">
        <v>11</v>
      </c>
      <c r="D91" s="253" t="s">
        <v>1414</v>
      </c>
      <c r="E91" s="253" t="s">
        <v>193</v>
      </c>
      <c r="F91" s="253" t="s">
        <v>457</v>
      </c>
      <c r="G91" s="253" t="s">
        <v>127</v>
      </c>
      <c r="H91" s="246" t="s">
        <v>1298</v>
      </c>
      <c r="I91" s="246" t="s">
        <v>49</v>
      </c>
      <c r="J91" s="246" t="s">
        <v>47</v>
      </c>
      <c r="K91" s="256" t="s">
        <v>49</v>
      </c>
      <c r="L91" s="250" t="s">
        <v>18</v>
      </c>
      <c r="M91" s="90">
        <v>0</v>
      </c>
      <c r="N91" s="251">
        <v>0.5</v>
      </c>
      <c r="O91" s="90">
        <v>0.5</v>
      </c>
      <c r="P91" s="93">
        <v>0</v>
      </c>
      <c r="Q91" s="93">
        <v>28.912074933706087</v>
      </c>
      <c r="R91" s="93">
        <v>0</v>
      </c>
      <c r="S91" s="104">
        <v>87.510415097499191</v>
      </c>
      <c r="T91" s="250" t="s">
        <v>18</v>
      </c>
      <c r="U91" s="90">
        <v>0</v>
      </c>
      <c r="V91" s="251">
        <v>0.5</v>
      </c>
      <c r="W91" s="90">
        <v>0.5</v>
      </c>
      <c r="X91" s="93">
        <v>0</v>
      </c>
      <c r="Y91" s="93">
        <v>28.912074933706087</v>
      </c>
      <c r="Z91" s="93">
        <v>0</v>
      </c>
      <c r="AA91" s="104">
        <v>87.510415097499191</v>
      </c>
      <c r="AB91" s="250" t="s">
        <v>107</v>
      </c>
      <c r="AC91" s="97">
        <v>0</v>
      </c>
      <c r="AD91" s="252">
        <v>0</v>
      </c>
      <c r="AE91" s="97">
        <v>0</v>
      </c>
      <c r="AF91" s="93">
        <v>0</v>
      </c>
      <c r="AG91" s="93">
        <v>0</v>
      </c>
      <c r="AH91" s="93">
        <v>0</v>
      </c>
      <c r="AI91" s="93">
        <v>0</v>
      </c>
      <c r="AJ91" s="247" t="s">
        <v>49</v>
      </c>
      <c r="AK91" s="246"/>
      <c r="AL91" s="93">
        <v>0</v>
      </c>
      <c r="AM91" s="93">
        <v>0</v>
      </c>
      <c r="AN91" s="254" t="s">
        <v>0</v>
      </c>
      <c r="AO91" s="246">
        <v>0</v>
      </c>
      <c r="AP91" s="92">
        <v>0</v>
      </c>
      <c r="AQ91" s="282">
        <v>0</v>
      </c>
      <c r="AR91" s="93">
        <v>0</v>
      </c>
      <c r="AS91" s="104">
        <v>0</v>
      </c>
      <c r="AT91" s="245">
        <v>1</v>
      </c>
      <c r="AU91" s="260">
        <v>0</v>
      </c>
      <c r="AV91" s="93">
        <v>57.824149867412174</v>
      </c>
      <c r="AW91" s="104">
        <v>175.02083019499838</v>
      </c>
      <c r="AX91" s="93">
        <v>57.824149867412174</v>
      </c>
      <c r="AY91" s="243">
        <v>175.02083019499838</v>
      </c>
    </row>
    <row r="92" spans="1:51" ht="45">
      <c r="A92" s="113" t="s">
        <v>906</v>
      </c>
      <c r="B92" s="90" t="s">
        <v>888</v>
      </c>
      <c r="C92" s="246" t="s">
        <v>11</v>
      </c>
      <c r="D92" s="253" t="s">
        <v>1414</v>
      </c>
      <c r="E92" s="253" t="s">
        <v>193</v>
      </c>
      <c r="F92" s="253" t="s">
        <v>1437</v>
      </c>
      <c r="G92" s="253" t="s">
        <v>105</v>
      </c>
      <c r="H92" s="246" t="s">
        <v>109</v>
      </c>
      <c r="I92" s="246" t="s">
        <v>142</v>
      </c>
      <c r="J92" s="246" t="s">
        <v>47</v>
      </c>
      <c r="K92" s="256" t="s">
        <v>49</v>
      </c>
      <c r="L92" s="250" t="s">
        <v>18</v>
      </c>
      <c r="M92" s="90">
        <v>0.33</v>
      </c>
      <c r="N92" s="251">
        <v>2.5</v>
      </c>
      <c r="O92" s="90">
        <v>2.83</v>
      </c>
      <c r="P92" s="93">
        <v>19.081969456246018</v>
      </c>
      <c r="Q92" s="93">
        <v>144.56037466853044</v>
      </c>
      <c r="R92" s="93">
        <v>57.75687396434946</v>
      </c>
      <c r="S92" s="104">
        <v>437.55207548749598</v>
      </c>
      <c r="T92" s="250" t="s">
        <v>18</v>
      </c>
      <c r="U92" s="90">
        <v>0.33</v>
      </c>
      <c r="V92" s="251">
        <v>2.5</v>
      </c>
      <c r="W92" s="90">
        <v>2.83</v>
      </c>
      <c r="X92" s="93">
        <v>19.081969456246018</v>
      </c>
      <c r="Y92" s="93">
        <v>144.56037466853044</v>
      </c>
      <c r="Z92" s="93">
        <v>57.75687396434946</v>
      </c>
      <c r="AA92" s="104">
        <v>437.55207548749598</v>
      </c>
      <c r="AB92" s="250" t="s">
        <v>107</v>
      </c>
      <c r="AC92" s="90">
        <v>0</v>
      </c>
      <c r="AD92" s="251">
        <v>0</v>
      </c>
      <c r="AE92" s="90">
        <v>0</v>
      </c>
      <c r="AF92" s="93">
        <v>0</v>
      </c>
      <c r="AG92" s="93">
        <v>0</v>
      </c>
      <c r="AH92" s="93">
        <v>0</v>
      </c>
      <c r="AI92" s="93">
        <v>0</v>
      </c>
      <c r="AJ92" s="247" t="s">
        <v>49</v>
      </c>
      <c r="AK92" s="246"/>
      <c r="AL92" s="93">
        <v>0</v>
      </c>
      <c r="AM92" s="93">
        <v>0</v>
      </c>
      <c r="AN92" s="254" t="s">
        <v>0</v>
      </c>
      <c r="AO92" s="246">
        <v>0</v>
      </c>
      <c r="AP92" s="92">
        <v>0</v>
      </c>
      <c r="AQ92" s="282">
        <v>0</v>
      </c>
      <c r="AR92" s="93">
        <v>0</v>
      </c>
      <c r="AS92" s="104">
        <v>0</v>
      </c>
      <c r="AT92" s="245">
        <v>1</v>
      </c>
      <c r="AU92" s="260">
        <v>0</v>
      </c>
      <c r="AV92" s="93">
        <v>327.28468824955291</v>
      </c>
      <c r="AW92" s="104">
        <v>990.61789890369096</v>
      </c>
      <c r="AX92" s="93">
        <v>327.28468824955291</v>
      </c>
      <c r="AY92" s="243">
        <v>990.61789890369096</v>
      </c>
    </row>
    <row r="93" spans="1:51" ht="45">
      <c r="A93" s="113" t="s">
        <v>907</v>
      </c>
      <c r="B93" s="90" t="s">
        <v>889</v>
      </c>
      <c r="C93" s="246" t="s">
        <v>11</v>
      </c>
      <c r="D93" s="253" t="s">
        <v>1414</v>
      </c>
      <c r="E93" s="253" t="s">
        <v>193</v>
      </c>
      <c r="F93" s="253" t="s">
        <v>1437</v>
      </c>
      <c r="G93" s="253" t="s">
        <v>105</v>
      </c>
      <c r="H93" s="246" t="s">
        <v>110</v>
      </c>
      <c r="I93" s="246" t="s">
        <v>142</v>
      </c>
      <c r="J93" s="246" t="s">
        <v>47</v>
      </c>
      <c r="K93" s="256" t="s">
        <v>49</v>
      </c>
      <c r="L93" s="250" t="s">
        <v>18</v>
      </c>
      <c r="M93" s="90">
        <v>2</v>
      </c>
      <c r="N93" s="251">
        <v>2.5</v>
      </c>
      <c r="O93" s="90">
        <v>4.5</v>
      </c>
      <c r="P93" s="93">
        <v>115.64829973482435</v>
      </c>
      <c r="Q93" s="93">
        <v>144.56037466853044</v>
      </c>
      <c r="R93" s="93">
        <v>350.04166038999676</v>
      </c>
      <c r="S93" s="104">
        <v>437.55207548749598</v>
      </c>
      <c r="T93" s="250" t="s">
        <v>18</v>
      </c>
      <c r="U93" s="97">
        <v>2</v>
      </c>
      <c r="V93" s="251">
        <v>2.5</v>
      </c>
      <c r="W93" s="90">
        <v>4.5</v>
      </c>
      <c r="X93" s="93">
        <v>115.64829973482435</v>
      </c>
      <c r="Y93" s="93">
        <v>144.56037466853044</v>
      </c>
      <c r="Z93" s="93">
        <v>350.04166038999676</v>
      </c>
      <c r="AA93" s="104">
        <v>437.55207548749598</v>
      </c>
      <c r="AB93" s="250" t="s">
        <v>107</v>
      </c>
      <c r="AC93" s="90">
        <v>0</v>
      </c>
      <c r="AD93" s="251">
        <v>0</v>
      </c>
      <c r="AE93" s="90">
        <v>0</v>
      </c>
      <c r="AF93" s="93">
        <v>0</v>
      </c>
      <c r="AG93" s="93">
        <v>0</v>
      </c>
      <c r="AH93" s="93">
        <v>0</v>
      </c>
      <c r="AI93" s="93">
        <v>0</v>
      </c>
      <c r="AJ93" s="247" t="s">
        <v>49</v>
      </c>
      <c r="AK93" s="246"/>
      <c r="AL93" s="93">
        <v>0</v>
      </c>
      <c r="AM93" s="93">
        <v>0</v>
      </c>
      <c r="AN93" s="254" t="s">
        <v>0</v>
      </c>
      <c r="AO93" s="246">
        <v>0</v>
      </c>
      <c r="AP93" s="92">
        <v>0</v>
      </c>
      <c r="AQ93" s="282">
        <v>0</v>
      </c>
      <c r="AR93" s="93">
        <v>0</v>
      </c>
      <c r="AS93" s="104">
        <v>0</v>
      </c>
      <c r="AT93" s="245">
        <v>1</v>
      </c>
      <c r="AU93" s="260">
        <v>0</v>
      </c>
      <c r="AV93" s="93">
        <v>520.41734880670958</v>
      </c>
      <c r="AW93" s="104">
        <v>1575.1874717549854</v>
      </c>
      <c r="AX93" s="93">
        <v>520.41734880670958</v>
      </c>
      <c r="AY93" s="243">
        <v>1575.1874717549854</v>
      </c>
    </row>
    <row r="94" spans="1:51" ht="45">
      <c r="A94" s="113" t="s">
        <v>908</v>
      </c>
      <c r="B94" s="90" t="s">
        <v>890</v>
      </c>
      <c r="C94" s="246" t="s">
        <v>11</v>
      </c>
      <c r="D94" s="253" t="s">
        <v>1414</v>
      </c>
      <c r="E94" s="253" t="s">
        <v>193</v>
      </c>
      <c r="F94" s="253" t="s">
        <v>1437</v>
      </c>
      <c r="G94" s="253" t="s">
        <v>112</v>
      </c>
      <c r="H94" s="246" t="s">
        <v>109</v>
      </c>
      <c r="I94" s="246" t="s">
        <v>142</v>
      </c>
      <c r="J94" s="246" t="s">
        <v>113</v>
      </c>
      <c r="K94" s="256" t="s">
        <v>49</v>
      </c>
      <c r="L94" s="250" t="s">
        <v>18</v>
      </c>
      <c r="M94" s="90">
        <v>0.33</v>
      </c>
      <c r="N94" s="251">
        <v>2.5</v>
      </c>
      <c r="O94" s="90">
        <v>2.83</v>
      </c>
      <c r="P94" s="93">
        <v>25.084366852241615</v>
      </c>
      <c r="Q94" s="93">
        <v>190.03308221395162</v>
      </c>
      <c r="R94" s="93">
        <v>75.924794769346875</v>
      </c>
      <c r="S94" s="104">
        <v>575.18783916171878</v>
      </c>
      <c r="T94" s="250" t="s">
        <v>18</v>
      </c>
      <c r="U94" s="90">
        <v>0.33</v>
      </c>
      <c r="V94" s="251">
        <v>2.5</v>
      </c>
      <c r="W94" s="90">
        <v>2.83</v>
      </c>
      <c r="X94" s="93">
        <v>25.084366852241615</v>
      </c>
      <c r="Y94" s="93">
        <v>190.03308221395162</v>
      </c>
      <c r="Z94" s="93">
        <v>75.924794769346875</v>
      </c>
      <c r="AA94" s="104">
        <v>575.18783916171878</v>
      </c>
      <c r="AB94" s="250" t="s">
        <v>107</v>
      </c>
      <c r="AC94" s="90">
        <v>0</v>
      </c>
      <c r="AD94" s="251">
        <v>0</v>
      </c>
      <c r="AE94" s="90">
        <v>0</v>
      </c>
      <c r="AF94" s="93">
        <v>0</v>
      </c>
      <c r="AG94" s="93">
        <v>0</v>
      </c>
      <c r="AH94" s="93">
        <v>0</v>
      </c>
      <c r="AI94" s="93">
        <v>0</v>
      </c>
      <c r="AJ94" s="247" t="s">
        <v>49</v>
      </c>
      <c r="AK94" s="246"/>
      <c r="AL94" s="93">
        <v>0</v>
      </c>
      <c r="AM94" s="93">
        <v>0</v>
      </c>
      <c r="AN94" s="254" t="s">
        <v>0</v>
      </c>
      <c r="AO94" s="246">
        <v>0</v>
      </c>
      <c r="AP94" s="92">
        <v>0</v>
      </c>
      <c r="AQ94" s="282">
        <v>0</v>
      </c>
      <c r="AR94" s="93">
        <v>0</v>
      </c>
      <c r="AS94" s="104">
        <v>0</v>
      </c>
      <c r="AT94" s="245">
        <v>1</v>
      </c>
      <c r="AU94" s="260">
        <v>0</v>
      </c>
      <c r="AV94" s="93">
        <v>430.23489813238643</v>
      </c>
      <c r="AW94" s="104">
        <v>1302.2252678621312</v>
      </c>
      <c r="AX94" s="93">
        <v>430.23489813238643</v>
      </c>
      <c r="AY94" s="243">
        <v>1302.2252678621312</v>
      </c>
    </row>
    <row r="95" spans="1:51" ht="45">
      <c r="A95" s="113" t="s">
        <v>909</v>
      </c>
      <c r="B95" s="90" t="s">
        <v>891</v>
      </c>
      <c r="C95" s="246" t="s">
        <v>11</v>
      </c>
      <c r="D95" s="253" t="s">
        <v>1414</v>
      </c>
      <c r="E95" s="253" t="s">
        <v>193</v>
      </c>
      <c r="F95" s="253" t="s">
        <v>1437</v>
      </c>
      <c r="G95" s="253" t="s">
        <v>112</v>
      </c>
      <c r="H95" s="246" t="s">
        <v>110</v>
      </c>
      <c r="I95" s="246" t="s">
        <v>142</v>
      </c>
      <c r="J95" s="246" t="s">
        <v>113</v>
      </c>
      <c r="K95" s="256" t="s">
        <v>49</v>
      </c>
      <c r="L95" s="250" t="s">
        <v>18</v>
      </c>
      <c r="M95" s="90">
        <v>2</v>
      </c>
      <c r="N95" s="251">
        <v>2.5</v>
      </c>
      <c r="O95" s="90">
        <v>4.5</v>
      </c>
      <c r="P95" s="93">
        <v>152.0264657711613</v>
      </c>
      <c r="Q95" s="93">
        <v>190.03308221395162</v>
      </c>
      <c r="R95" s="93">
        <v>460.15027132937496</v>
      </c>
      <c r="S95" s="104">
        <v>575.18783916171878</v>
      </c>
      <c r="T95" s="250" t="s">
        <v>18</v>
      </c>
      <c r="U95" s="90">
        <v>2</v>
      </c>
      <c r="V95" s="251">
        <v>2.5</v>
      </c>
      <c r="W95" s="90">
        <v>4.5</v>
      </c>
      <c r="X95" s="93">
        <v>152.0264657711613</v>
      </c>
      <c r="Y95" s="93">
        <v>190.03308221395162</v>
      </c>
      <c r="Z95" s="93">
        <v>460.15027132937496</v>
      </c>
      <c r="AA95" s="104">
        <v>575.18783916171878</v>
      </c>
      <c r="AB95" s="250" t="s">
        <v>107</v>
      </c>
      <c r="AC95" s="90">
        <v>0</v>
      </c>
      <c r="AD95" s="251">
        <v>0</v>
      </c>
      <c r="AE95" s="90">
        <v>0</v>
      </c>
      <c r="AF95" s="93">
        <v>0</v>
      </c>
      <c r="AG95" s="93">
        <v>0</v>
      </c>
      <c r="AH95" s="93">
        <v>0</v>
      </c>
      <c r="AI95" s="93">
        <v>0</v>
      </c>
      <c r="AJ95" s="247" t="s">
        <v>49</v>
      </c>
      <c r="AK95" s="246"/>
      <c r="AL95" s="93">
        <v>0</v>
      </c>
      <c r="AM95" s="93">
        <v>0</v>
      </c>
      <c r="AN95" s="254" t="s">
        <v>0</v>
      </c>
      <c r="AO95" s="246">
        <v>0</v>
      </c>
      <c r="AP95" s="92">
        <v>0</v>
      </c>
      <c r="AQ95" s="282">
        <v>0</v>
      </c>
      <c r="AR95" s="93">
        <v>0</v>
      </c>
      <c r="AS95" s="104">
        <v>0</v>
      </c>
      <c r="AT95" s="245">
        <v>1</v>
      </c>
      <c r="AU95" s="260">
        <v>0</v>
      </c>
      <c r="AV95" s="93">
        <v>684.11909597022577</v>
      </c>
      <c r="AW95" s="104">
        <v>2070.6762209821873</v>
      </c>
      <c r="AX95" s="93">
        <v>684.11909597022577</v>
      </c>
      <c r="AY95" s="243">
        <v>2070.6762209821873</v>
      </c>
    </row>
    <row r="96" spans="1:51" ht="45">
      <c r="A96" s="113" t="s">
        <v>910</v>
      </c>
      <c r="B96" s="90" t="s">
        <v>892</v>
      </c>
      <c r="C96" s="246" t="s">
        <v>11</v>
      </c>
      <c r="D96" s="253" t="s">
        <v>1414</v>
      </c>
      <c r="E96" s="253" t="s">
        <v>193</v>
      </c>
      <c r="F96" s="253" t="s">
        <v>1437</v>
      </c>
      <c r="G96" s="253" t="s">
        <v>111</v>
      </c>
      <c r="H96" s="246" t="s">
        <v>109</v>
      </c>
      <c r="I96" s="246" t="s">
        <v>142</v>
      </c>
      <c r="J96" s="246" t="s">
        <v>47</v>
      </c>
      <c r="K96" s="256" t="s">
        <v>49</v>
      </c>
      <c r="L96" s="250" t="s">
        <v>18</v>
      </c>
      <c r="M96" s="90">
        <v>0.33</v>
      </c>
      <c r="N96" s="251">
        <v>4.5</v>
      </c>
      <c r="O96" s="90">
        <v>4.83</v>
      </c>
      <c r="P96" s="93">
        <v>19.081969456246018</v>
      </c>
      <c r="Q96" s="93">
        <v>260.20867440335479</v>
      </c>
      <c r="R96" s="93">
        <v>57.75687396434946</v>
      </c>
      <c r="S96" s="104">
        <v>787.59373587749269</v>
      </c>
      <c r="T96" s="250" t="s">
        <v>18</v>
      </c>
      <c r="U96" s="90">
        <v>0.33</v>
      </c>
      <c r="V96" s="251">
        <v>4.5</v>
      </c>
      <c r="W96" s="90">
        <v>4.83</v>
      </c>
      <c r="X96" s="93">
        <v>19.081969456246018</v>
      </c>
      <c r="Y96" s="93">
        <v>260.20867440335479</v>
      </c>
      <c r="Z96" s="93">
        <v>57.75687396434946</v>
      </c>
      <c r="AA96" s="104">
        <v>787.59373587749269</v>
      </c>
      <c r="AB96" s="250" t="s">
        <v>107</v>
      </c>
      <c r="AC96" s="90">
        <v>0</v>
      </c>
      <c r="AD96" s="251">
        <v>0</v>
      </c>
      <c r="AE96" s="90">
        <v>0</v>
      </c>
      <c r="AF96" s="93">
        <v>0</v>
      </c>
      <c r="AG96" s="93">
        <v>0</v>
      </c>
      <c r="AH96" s="93">
        <v>0</v>
      </c>
      <c r="AI96" s="93">
        <v>0</v>
      </c>
      <c r="AJ96" s="247" t="s">
        <v>49</v>
      </c>
      <c r="AK96" s="246"/>
      <c r="AL96" s="93">
        <v>0</v>
      </c>
      <c r="AM96" s="93">
        <v>0</v>
      </c>
      <c r="AN96" s="254" t="s">
        <v>0</v>
      </c>
      <c r="AO96" s="246">
        <v>0</v>
      </c>
      <c r="AP96" s="92">
        <v>0</v>
      </c>
      <c r="AQ96" s="282">
        <v>0</v>
      </c>
      <c r="AR96" s="93">
        <v>0</v>
      </c>
      <c r="AS96" s="104">
        <v>0</v>
      </c>
      <c r="AT96" s="245">
        <v>1</v>
      </c>
      <c r="AU96" s="260">
        <v>0</v>
      </c>
      <c r="AV96" s="93">
        <v>558.58128771920167</v>
      </c>
      <c r="AW96" s="104">
        <v>1690.7012196836843</v>
      </c>
      <c r="AX96" s="93">
        <v>558.58128771920167</v>
      </c>
      <c r="AY96" s="243">
        <v>1690.7012196836843</v>
      </c>
    </row>
    <row r="97" spans="1:51" ht="45">
      <c r="A97" s="113" t="s">
        <v>911</v>
      </c>
      <c r="B97" s="90" t="s">
        <v>893</v>
      </c>
      <c r="C97" s="246" t="s">
        <v>11</v>
      </c>
      <c r="D97" s="253" t="s">
        <v>1414</v>
      </c>
      <c r="E97" s="253" t="s">
        <v>193</v>
      </c>
      <c r="F97" s="253" t="s">
        <v>1437</v>
      </c>
      <c r="G97" s="253" t="s">
        <v>111</v>
      </c>
      <c r="H97" s="246" t="s">
        <v>110</v>
      </c>
      <c r="I97" s="246" t="s">
        <v>142</v>
      </c>
      <c r="J97" s="246" t="s">
        <v>47</v>
      </c>
      <c r="K97" s="256" t="s">
        <v>49</v>
      </c>
      <c r="L97" s="250" t="s">
        <v>18</v>
      </c>
      <c r="M97" s="90">
        <v>2</v>
      </c>
      <c r="N97" s="251">
        <v>4.5</v>
      </c>
      <c r="O97" s="90">
        <v>6.5</v>
      </c>
      <c r="P97" s="93">
        <v>115.64829973482435</v>
      </c>
      <c r="Q97" s="93">
        <v>260.20867440335479</v>
      </c>
      <c r="R97" s="93">
        <v>350.04166038999676</v>
      </c>
      <c r="S97" s="104">
        <v>787.59373587749269</v>
      </c>
      <c r="T97" s="250" t="s">
        <v>18</v>
      </c>
      <c r="U97" s="90">
        <v>2</v>
      </c>
      <c r="V97" s="251">
        <v>4.5</v>
      </c>
      <c r="W97" s="90">
        <v>6.5</v>
      </c>
      <c r="X97" s="93">
        <v>115.64829973482435</v>
      </c>
      <c r="Y97" s="93">
        <v>260.20867440335479</v>
      </c>
      <c r="Z97" s="93">
        <v>350.04166038999676</v>
      </c>
      <c r="AA97" s="104">
        <v>787.59373587749269</v>
      </c>
      <c r="AB97" s="250" t="s">
        <v>107</v>
      </c>
      <c r="AC97" s="90">
        <v>0</v>
      </c>
      <c r="AD97" s="251">
        <v>0</v>
      </c>
      <c r="AE97" s="90">
        <v>0</v>
      </c>
      <c r="AF97" s="93">
        <v>0</v>
      </c>
      <c r="AG97" s="93">
        <v>0</v>
      </c>
      <c r="AH97" s="93">
        <v>0</v>
      </c>
      <c r="AI97" s="93">
        <v>0</v>
      </c>
      <c r="AJ97" s="247" t="s">
        <v>49</v>
      </c>
      <c r="AK97" s="246"/>
      <c r="AL97" s="93">
        <v>0</v>
      </c>
      <c r="AM97" s="93">
        <v>0</v>
      </c>
      <c r="AN97" s="254" t="s">
        <v>0</v>
      </c>
      <c r="AO97" s="246">
        <v>0</v>
      </c>
      <c r="AP97" s="92">
        <v>0</v>
      </c>
      <c r="AQ97" s="282">
        <v>0</v>
      </c>
      <c r="AR97" s="93">
        <v>0</v>
      </c>
      <c r="AS97" s="104">
        <v>0</v>
      </c>
      <c r="AT97" s="245">
        <v>1</v>
      </c>
      <c r="AU97" s="260">
        <v>0</v>
      </c>
      <c r="AV97" s="93">
        <v>751.71394827635822</v>
      </c>
      <c r="AW97" s="104">
        <v>2275.2707925349787</v>
      </c>
      <c r="AX97" s="93">
        <v>751.71394827635822</v>
      </c>
      <c r="AY97" s="243">
        <v>2275.2707925349787</v>
      </c>
    </row>
    <row r="98" spans="1:51" ht="45">
      <c r="A98" s="113" t="s">
        <v>912</v>
      </c>
      <c r="B98" s="90" t="s">
        <v>894</v>
      </c>
      <c r="C98" s="246" t="s">
        <v>11</v>
      </c>
      <c r="D98" s="253" t="s">
        <v>1414</v>
      </c>
      <c r="E98" s="253" t="s">
        <v>193</v>
      </c>
      <c r="F98" s="253" t="s">
        <v>1437</v>
      </c>
      <c r="G98" s="253" t="s">
        <v>121</v>
      </c>
      <c r="H98" s="246" t="s">
        <v>109</v>
      </c>
      <c r="I98" s="246" t="s">
        <v>142</v>
      </c>
      <c r="J98" s="246" t="s">
        <v>113</v>
      </c>
      <c r="K98" s="256" t="s">
        <v>49</v>
      </c>
      <c r="L98" s="250" t="s">
        <v>18</v>
      </c>
      <c r="M98" s="90">
        <v>0.33</v>
      </c>
      <c r="N98" s="251">
        <v>4.5</v>
      </c>
      <c r="O98" s="90">
        <v>4.83</v>
      </c>
      <c r="P98" s="93">
        <v>25.084366852241615</v>
      </c>
      <c r="Q98" s="93">
        <v>342.05954798511294</v>
      </c>
      <c r="R98" s="93">
        <v>75.924794769346875</v>
      </c>
      <c r="S98" s="104">
        <v>1035.3381104910939</v>
      </c>
      <c r="T98" s="250" t="s">
        <v>18</v>
      </c>
      <c r="U98" s="90">
        <v>0.33</v>
      </c>
      <c r="V98" s="251">
        <v>4.5</v>
      </c>
      <c r="W98" s="90">
        <v>4.83</v>
      </c>
      <c r="X98" s="93">
        <v>25.084366852241615</v>
      </c>
      <c r="Y98" s="93">
        <v>342.05954798511294</v>
      </c>
      <c r="Z98" s="93">
        <v>75.924794769346875</v>
      </c>
      <c r="AA98" s="104">
        <v>1035.3381104910939</v>
      </c>
      <c r="AB98" s="250" t="s">
        <v>107</v>
      </c>
      <c r="AC98" s="90">
        <v>0</v>
      </c>
      <c r="AD98" s="251">
        <v>0</v>
      </c>
      <c r="AE98" s="90">
        <v>0</v>
      </c>
      <c r="AF98" s="93">
        <v>0</v>
      </c>
      <c r="AG98" s="93">
        <v>0</v>
      </c>
      <c r="AH98" s="93">
        <v>0</v>
      </c>
      <c r="AI98" s="93">
        <v>0</v>
      </c>
      <c r="AJ98" s="247" t="s">
        <v>49</v>
      </c>
      <c r="AK98" s="246"/>
      <c r="AL98" s="93">
        <v>0</v>
      </c>
      <c r="AM98" s="93">
        <v>0</v>
      </c>
      <c r="AN98" s="254" t="s">
        <v>0</v>
      </c>
      <c r="AO98" s="246">
        <v>0</v>
      </c>
      <c r="AP98" s="92">
        <v>0</v>
      </c>
      <c r="AQ98" s="282">
        <v>0</v>
      </c>
      <c r="AR98" s="93">
        <v>0</v>
      </c>
      <c r="AS98" s="104">
        <v>0</v>
      </c>
      <c r="AT98" s="245">
        <v>1</v>
      </c>
      <c r="AU98" s="260">
        <v>0</v>
      </c>
      <c r="AV98" s="93">
        <v>734.28782967470909</v>
      </c>
      <c r="AW98" s="104">
        <v>2222.5258105208814</v>
      </c>
      <c r="AX98" s="93">
        <v>734.28782967470909</v>
      </c>
      <c r="AY98" s="243">
        <v>2222.5258105208814</v>
      </c>
    </row>
    <row r="99" spans="1:51" ht="45">
      <c r="A99" s="113" t="s">
        <v>913</v>
      </c>
      <c r="B99" s="90" t="s">
        <v>895</v>
      </c>
      <c r="C99" s="246" t="s">
        <v>11</v>
      </c>
      <c r="D99" s="253" t="s">
        <v>1414</v>
      </c>
      <c r="E99" s="253" t="s">
        <v>193</v>
      </c>
      <c r="F99" s="253" t="s">
        <v>1437</v>
      </c>
      <c r="G99" s="253" t="s">
        <v>121</v>
      </c>
      <c r="H99" s="246" t="s">
        <v>110</v>
      </c>
      <c r="I99" s="246" t="s">
        <v>142</v>
      </c>
      <c r="J99" s="246" t="s">
        <v>113</v>
      </c>
      <c r="K99" s="256" t="s">
        <v>49</v>
      </c>
      <c r="L99" s="250" t="s">
        <v>18</v>
      </c>
      <c r="M99" s="90">
        <v>2</v>
      </c>
      <c r="N99" s="251">
        <v>4.5</v>
      </c>
      <c r="O99" s="90">
        <v>6.5</v>
      </c>
      <c r="P99" s="93">
        <v>152.0264657711613</v>
      </c>
      <c r="Q99" s="93">
        <v>342.05954798511294</v>
      </c>
      <c r="R99" s="93">
        <v>460.15027132937496</v>
      </c>
      <c r="S99" s="104">
        <v>1035.3381104910939</v>
      </c>
      <c r="T99" s="250" t="s">
        <v>18</v>
      </c>
      <c r="U99" s="90">
        <v>2</v>
      </c>
      <c r="V99" s="251">
        <v>4.5</v>
      </c>
      <c r="W99" s="90">
        <v>6.5</v>
      </c>
      <c r="X99" s="93">
        <v>152.0264657711613</v>
      </c>
      <c r="Y99" s="93">
        <v>342.05954798511294</v>
      </c>
      <c r="Z99" s="93">
        <v>460.15027132937496</v>
      </c>
      <c r="AA99" s="104">
        <v>1035.3381104910939</v>
      </c>
      <c r="AB99" s="250" t="s">
        <v>107</v>
      </c>
      <c r="AC99" s="90">
        <v>0</v>
      </c>
      <c r="AD99" s="251">
        <v>0</v>
      </c>
      <c r="AE99" s="90">
        <v>0</v>
      </c>
      <c r="AF99" s="93">
        <v>0</v>
      </c>
      <c r="AG99" s="93">
        <v>0</v>
      </c>
      <c r="AH99" s="93">
        <v>0</v>
      </c>
      <c r="AI99" s="93">
        <v>0</v>
      </c>
      <c r="AJ99" s="247" t="s">
        <v>49</v>
      </c>
      <c r="AK99" s="246"/>
      <c r="AL99" s="93">
        <v>0</v>
      </c>
      <c r="AM99" s="93">
        <v>0</v>
      </c>
      <c r="AN99" s="254" t="s">
        <v>0</v>
      </c>
      <c r="AO99" s="246">
        <v>0</v>
      </c>
      <c r="AP99" s="92">
        <v>0</v>
      </c>
      <c r="AQ99" s="282">
        <v>0</v>
      </c>
      <c r="AR99" s="93">
        <v>0</v>
      </c>
      <c r="AS99" s="104">
        <v>0</v>
      </c>
      <c r="AT99" s="245">
        <v>1</v>
      </c>
      <c r="AU99" s="260">
        <v>0</v>
      </c>
      <c r="AV99" s="93">
        <v>988.17202751254854</v>
      </c>
      <c r="AW99" s="104">
        <v>2990.9767636409379</v>
      </c>
      <c r="AX99" s="93">
        <v>988.17202751254854</v>
      </c>
      <c r="AY99" s="243">
        <v>2990.9767636409379</v>
      </c>
    </row>
    <row r="100" spans="1:51" ht="97.5" customHeight="1">
      <c r="A100" s="113" t="s">
        <v>914</v>
      </c>
      <c r="B100" s="90" t="s">
        <v>896</v>
      </c>
      <c r="C100" s="246" t="s">
        <v>11</v>
      </c>
      <c r="D100" s="253" t="s">
        <v>1414</v>
      </c>
      <c r="E100" s="253" t="s">
        <v>155</v>
      </c>
      <c r="F100" s="253" t="s">
        <v>1444</v>
      </c>
      <c r="G100" s="253" t="s">
        <v>236</v>
      </c>
      <c r="H100" s="246" t="s">
        <v>109</v>
      </c>
      <c r="I100" s="246" t="s">
        <v>142</v>
      </c>
      <c r="J100" s="246" t="s">
        <v>47</v>
      </c>
      <c r="K100" s="256" t="s">
        <v>49</v>
      </c>
      <c r="L100" s="250" t="s">
        <v>18</v>
      </c>
      <c r="M100" s="90">
        <v>0.33</v>
      </c>
      <c r="N100" s="251">
        <v>1</v>
      </c>
      <c r="O100" s="90">
        <v>1.33</v>
      </c>
      <c r="P100" s="93">
        <v>19.081969456246018</v>
      </c>
      <c r="Q100" s="93">
        <v>57.824149867412174</v>
      </c>
      <c r="R100" s="93">
        <v>57.75687396434946</v>
      </c>
      <c r="S100" s="104">
        <v>175.02083019499838</v>
      </c>
      <c r="T100" s="250" t="s">
        <v>18</v>
      </c>
      <c r="U100" s="90">
        <v>0.33</v>
      </c>
      <c r="V100" s="251">
        <v>1</v>
      </c>
      <c r="W100" s="90">
        <v>1.33</v>
      </c>
      <c r="X100" s="93">
        <v>19.081969456246018</v>
      </c>
      <c r="Y100" s="93">
        <v>57.824149867412174</v>
      </c>
      <c r="Z100" s="93">
        <v>57.75687396434946</v>
      </c>
      <c r="AA100" s="104">
        <v>175.02083019499838</v>
      </c>
      <c r="AB100" s="250" t="s">
        <v>107</v>
      </c>
      <c r="AC100" s="97">
        <v>0</v>
      </c>
      <c r="AD100" s="252">
        <v>0</v>
      </c>
      <c r="AE100" s="97">
        <v>0</v>
      </c>
      <c r="AF100" s="93">
        <v>0</v>
      </c>
      <c r="AG100" s="93">
        <v>0</v>
      </c>
      <c r="AH100" s="93">
        <v>0</v>
      </c>
      <c r="AI100" s="93">
        <v>0</v>
      </c>
      <c r="AJ100" s="247" t="s">
        <v>49</v>
      </c>
      <c r="AK100" s="246"/>
      <c r="AL100" s="93">
        <v>0</v>
      </c>
      <c r="AM100" s="93">
        <v>0</v>
      </c>
      <c r="AN100" s="254" t="s">
        <v>0</v>
      </c>
      <c r="AO100" s="246">
        <v>0</v>
      </c>
      <c r="AP100" s="92">
        <v>0</v>
      </c>
      <c r="AQ100" s="282">
        <v>0</v>
      </c>
      <c r="AR100" s="93">
        <v>0</v>
      </c>
      <c r="AS100" s="104">
        <v>0</v>
      </c>
      <c r="AT100" s="245">
        <v>1</v>
      </c>
      <c r="AU100" s="260">
        <v>0</v>
      </c>
      <c r="AV100" s="93">
        <v>153.81223864731638</v>
      </c>
      <c r="AW100" s="104">
        <v>465.5554083186957</v>
      </c>
      <c r="AX100" s="93">
        <v>153.81223864731638</v>
      </c>
      <c r="AY100" s="243">
        <v>465.5554083186957</v>
      </c>
    </row>
    <row r="101" spans="1:51" ht="115.5" customHeight="1">
      <c r="A101" s="113" t="s">
        <v>915</v>
      </c>
      <c r="B101" s="90" t="s">
        <v>897</v>
      </c>
      <c r="C101" s="246" t="s">
        <v>11</v>
      </c>
      <c r="D101" s="253" t="s">
        <v>1414</v>
      </c>
      <c r="E101" s="253" t="s">
        <v>155</v>
      </c>
      <c r="F101" s="253" t="s">
        <v>1444</v>
      </c>
      <c r="G101" s="253" t="s">
        <v>236</v>
      </c>
      <c r="H101" s="246" t="s">
        <v>110</v>
      </c>
      <c r="I101" s="246" t="s">
        <v>142</v>
      </c>
      <c r="J101" s="246" t="s">
        <v>47</v>
      </c>
      <c r="K101" s="256" t="s">
        <v>49</v>
      </c>
      <c r="L101" s="250" t="s">
        <v>18</v>
      </c>
      <c r="M101" s="90">
        <v>2</v>
      </c>
      <c r="N101" s="251">
        <v>1</v>
      </c>
      <c r="O101" s="90">
        <v>3</v>
      </c>
      <c r="P101" s="93">
        <v>115.64829973482435</v>
      </c>
      <c r="Q101" s="93">
        <v>57.824149867412174</v>
      </c>
      <c r="R101" s="93">
        <v>350.04166038999676</v>
      </c>
      <c r="S101" s="104">
        <v>175.02083019499838</v>
      </c>
      <c r="T101" s="250" t="s">
        <v>18</v>
      </c>
      <c r="U101" s="90">
        <v>2</v>
      </c>
      <c r="V101" s="251">
        <v>1</v>
      </c>
      <c r="W101" s="90">
        <v>3</v>
      </c>
      <c r="X101" s="93">
        <v>115.64829973482435</v>
      </c>
      <c r="Y101" s="93">
        <v>57.824149867412174</v>
      </c>
      <c r="Z101" s="93">
        <v>350.04166038999676</v>
      </c>
      <c r="AA101" s="104">
        <v>175.02083019499838</v>
      </c>
      <c r="AB101" s="250" t="s">
        <v>107</v>
      </c>
      <c r="AC101" s="97">
        <v>0</v>
      </c>
      <c r="AD101" s="252">
        <v>0</v>
      </c>
      <c r="AE101" s="97">
        <v>0</v>
      </c>
      <c r="AF101" s="93">
        <v>0</v>
      </c>
      <c r="AG101" s="93">
        <v>0</v>
      </c>
      <c r="AH101" s="93">
        <v>0</v>
      </c>
      <c r="AI101" s="93">
        <v>0</v>
      </c>
      <c r="AJ101" s="247" t="s">
        <v>49</v>
      </c>
      <c r="AK101" s="246"/>
      <c r="AL101" s="93">
        <v>0</v>
      </c>
      <c r="AM101" s="93">
        <v>0</v>
      </c>
      <c r="AN101" s="254" t="s">
        <v>0</v>
      </c>
      <c r="AO101" s="246">
        <v>0</v>
      </c>
      <c r="AP101" s="92">
        <v>0</v>
      </c>
      <c r="AQ101" s="282">
        <v>0</v>
      </c>
      <c r="AR101" s="93">
        <v>0</v>
      </c>
      <c r="AS101" s="104">
        <v>0</v>
      </c>
      <c r="AT101" s="245">
        <v>1</v>
      </c>
      <c r="AU101" s="260">
        <v>0</v>
      </c>
      <c r="AV101" s="93">
        <v>346.94489920447302</v>
      </c>
      <c r="AW101" s="104">
        <v>1050.1249811699904</v>
      </c>
      <c r="AX101" s="93">
        <v>346.94489920447302</v>
      </c>
      <c r="AY101" s="243">
        <v>1050.1249811699904</v>
      </c>
    </row>
    <row r="102" spans="1:51" ht="94.5" customHeight="1">
      <c r="A102" s="113" t="s">
        <v>916</v>
      </c>
      <c r="B102" s="90" t="s">
        <v>898</v>
      </c>
      <c r="C102" s="246" t="s">
        <v>11</v>
      </c>
      <c r="D102" s="253" t="s">
        <v>1414</v>
      </c>
      <c r="E102" s="253" t="s">
        <v>155</v>
      </c>
      <c r="F102" s="253" t="s">
        <v>1444</v>
      </c>
      <c r="G102" s="253" t="s">
        <v>397</v>
      </c>
      <c r="H102" s="246" t="s">
        <v>109</v>
      </c>
      <c r="I102" s="246" t="s">
        <v>142</v>
      </c>
      <c r="J102" s="246" t="s">
        <v>47</v>
      </c>
      <c r="K102" s="256" t="s">
        <v>142</v>
      </c>
      <c r="L102" s="250" t="s">
        <v>18</v>
      </c>
      <c r="M102" s="90">
        <v>0.33</v>
      </c>
      <c r="N102" s="251">
        <v>1</v>
      </c>
      <c r="O102" s="90">
        <v>1.33</v>
      </c>
      <c r="P102" s="93">
        <v>19.081969456246018</v>
      </c>
      <c r="Q102" s="93">
        <v>57.824149867412174</v>
      </c>
      <c r="R102" s="93">
        <v>57.75687396434946</v>
      </c>
      <c r="S102" s="104">
        <v>175.02083019499838</v>
      </c>
      <c r="T102" s="250" t="s">
        <v>18</v>
      </c>
      <c r="U102" s="90">
        <v>0.33</v>
      </c>
      <c r="V102" s="251">
        <v>1</v>
      </c>
      <c r="W102" s="90">
        <v>1.33</v>
      </c>
      <c r="X102" s="93">
        <v>19.081969456246018</v>
      </c>
      <c r="Y102" s="93">
        <v>57.824149867412174</v>
      </c>
      <c r="Z102" s="93">
        <v>57.75687396434946</v>
      </c>
      <c r="AA102" s="104">
        <v>175.02083019499838</v>
      </c>
      <c r="AB102" s="250" t="s">
        <v>107</v>
      </c>
      <c r="AC102" s="97">
        <v>0</v>
      </c>
      <c r="AD102" s="252">
        <v>0</v>
      </c>
      <c r="AE102" s="97">
        <v>0</v>
      </c>
      <c r="AF102" s="93">
        <v>0</v>
      </c>
      <c r="AG102" s="93">
        <v>0</v>
      </c>
      <c r="AH102" s="93">
        <v>0</v>
      </c>
      <c r="AI102" s="93">
        <v>0</v>
      </c>
      <c r="AJ102" s="247" t="s">
        <v>49</v>
      </c>
      <c r="AK102" s="246"/>
      <c r="AL102" s="93">
        <v>0</v>
      </c>
      <c r="AM102" s="93">
        <v>0</v>
      </c>
      <c r="AN102" s="254" t="s">
        <v>0</v>
      </c>
      <c r="AO102" s="246">
        <v>0</v>
      </c>
      <c r="AP102" s="92">
        <v>0</v>
      </c>
      <c r="AQ102" s="282">
        <v>0</v>
      </c>
      <c r="AR102" s="93">
        <v>700.3791783912435</v>
      </c>
      <c r="AS102" s="104">
        <v>801.19082556287378</v>
      </c>
      <c r="AT102" s="245">
        <v>1</v>
      </c>
      <c r="AU102" s="260">
        <v>0</v>
      </c>
      <c r="AV102" s="93">
        <v>153.81223864731638</v>
      </c>
      <c r="AW102" s="104">
        <v>465.5554083186957</v>
      </c>
      <c r="AX102" s="93">
        <v>854.19141703855985</v>
      </c>
      <c r="AY102" s="243">
        <v>1266.7462338815694</v>
      </c>
    </row>
    <row r="103" spans="1:51" ht="109.5" customHeight="1">
      <c r="A103" s="113" t="s">
        <v>917</v>
      </c>
      <c r="B103" s="90" t="s">
        <v>899</v>
      </c>
      <c r="C103" s="246" t="s">
        <v>11</v>
      </c>
      <c r="D103" s="253" t="s">
        <v>1414</v>
      </c>
      <c r="E103" s="253" t="s">
        <v>155</v>
      </c>
      <c r="F103" s="253" t="s">
        <v>1444</v>
      </c>
      <c r="G103" s="253" t="s">
        <v>397</v>
      </c>
      <c r="H103" s="246" t="s">
        <v>110</v>
      </c>
      <c r="I103" s="246" t="s">
        <v>142</v>
      </c>
      <c r="J103" s="246" t="s">
        <v>47</v>
      </c>
      <c r="K103" s="256" t="s">
        <v>142</v>
      </c>
      <c r="L103" s="250" t="s">
        <v>18</v>
      </c>
      <c r="M103" s="90">
        <v>2</v>
      </c>
      <c r="N103" s="251">
        <v>1</v>
      </c>
      <c r="O103" s="90">
        <v>3</v>
      </c>
      <c r="P103" s="93">
        <v>115.64829973482435</v>
      </c>
      <c r="Q103" s="93">
        <v>57.824149867412174</v>
      </c>
      <c r="R103" s="93">
        <v>350.04166038999676</v>
      </c>
      <c r="S103" s="104">
        <v>175.02083019499838</v>
      </c>
      <c r="T103" s="250" t="s">
        <v>18</v>
      </c>
      <c r="U103" s="90">
        <v>2</v>
      </c>
      <c r="V103" s="251">
        <v>1</v>
      </c>
      <c r="W103" s="90">
        <v>3</v>
      </c>
      <c r="X103" s="93">
        <v>115.64829973482435</v>
      </c>
      <c r="Y103" s="93">
        <v>57.824149867412174</v>
      </c>
      <c r="Z103" s="93">
        <v>350.04166038999676</v>
      </c>
      <c r="AA103" s="104">
        <v>175.02083019499838</v>
      </c>
      <c r="AB103" s="250" t="s">
        <v>107</v>
      </c>
      <c r="AC103" s="97">
        <v>0</v>
      </c>
      <c r="AD103" s="252">
        <v>0</v>
      </c>
      <c r="AE103" s="97">
        <v>0</v>
      </c>
      <c r="AF103" s="93">
        <v>0</v>
      </c>
      <c r="AG103" s="93">
        <v>0</v>
      </c>
      <c r="AH103" s="93">
        <v>0</v>
      </c>
      <c r="AI103" s="93">
        <v>0</v>
      </c>
      <c r="AJ103" s="247" t="s">
        <v>49</v>
      </c>
      <c r="AK103" s="246"/>
      <c r="AL103" s="93">
        <v>0</v>
      </c>
      <c r="AM103" s="93">
        <v>0</v>
      </c>
      <c r="AN103" s="254" t="s">
        <v>0</v>
      </c>
      <c r="AO103" s="246">
        <v>0</v>
      </c>
      <c r="AP103" s="92">
        <v>0</v>
      </c>
      <c r="AQ103" s="282">
        <v>0</v>
      </c>
      <c r="AR103" s="93">
        <v>700.3791783912435</v>
      </c>
      <c r="AS103" s="104">
        <v>801.19082556287378</v>
      </c>
      <c r="AT103" s="245">
        <v>1</v>
      </c>
      <c r="AU103" s="260">
        <v>0</v>
      </c>
      <c r="AV103" s="93">
        <v>346.94489920447302</v>
      </c>
      <c r="AW103" s="104">
        <v>1050.1249811699904</v>
      </c>
      <c r="AX103" s="93">
        <v>1047.3240775957165</v>
      </c>
      <c r="AY103" s="243">
        <v>1851.3158067328641</v>
      </c>
    </row>
    <row r="104" spans="1:51" ht="85.5" customHeight="1">
      <c r="A104" s="113" t="s">
        <v>918</v>
      </c>
      <c r="B104" s="90" t="s">
        <v>900</v>
      </c>
      <c r="C104" s="246" t="s">
        <v>11</v>
      </c>
      <c r="D104" s="253" t="s">
        <v>1414</v>
      </c>
      <c r="E104" s="253" t="s">
        <v>155</v>
      </c>
      <c r="F104" s="253" t="s">
        <v>1444</v>
      </c>
      <c r="G104" s="253" t="s">
        <v>237</v>
      </c>
      <c r="H104" s="246" t="s">
        <v>109</v>
      </c>
      <c r="I104" s="246" t="s">
        <v>142</v>
      </c>
      <c r="J104" s="246" t="s">
        <v>47</v>
      </c>
      <c r="K104" s="256" t="s">
        <v>49</v>
      </c>
      <c r="L104" s="250" t="s">
        <v>18</v>
      </c>
      <c r="M104" s="90">
        <v>0.33</v>
      </c>
      <c r="N104" s="251">
        <v>0.75</v>
      </c>
      <c r="O104" s="90">
        <v>1.08</v>
      </c>
      <c r="P104" s="93">
        <v>19.081969456246018</v>
      </c>
      <c r="Q104" s="93">
        <v>43.368112400559127</v>
      </c>
      <c r="R104" s="93">
        <v>57.75687396434946</v>
      </c>
      <c r="S104" s="104">
        <v>131.26562264624877</v>
      </c>
      <c r="T104" s="250" t="s">
        <v>18</v>
      </c>
      <c r="U104" s="90">
        <v>0.33</v>
      </c>
      <c r="V104" s="251">
        <v>0.75</v>
      </c>
      <c r="W104" s="90">
        <v>1.08</v>
      </c>
      <c r="X104" s="93">
        <v>19.081969456246018</v>
      </c>
      <c r="Y104" s="93">
        <v>43.368112400559127</v>
      </c>
      <c r="Z104" s="93">
        <v>57.75687396434946</v>
      </c>
      <c r="AA104" s="104">
        <v>131.26562264624877</v>
      </c>
      <c r="AB104" s="250" t="s">
        <v>107</v>
      </c>
      <c r="AC104" s="97">
        <v>0</v>
      </c>
      <c r="AD104" s="252">
        <v>0</v>
      </c>
      <c r="AE104" s="97">
        <v>0</v>
      </c>
      <c r="AF104" s="93">
        <v>0</v>
      </c>
      <c r="AG104" s="93">
        <v>0</v>
      </c>
      <c r="AH104" s="93">
        <v>0</v>
      </c>
      <c r="AI104" s="93">
        <v>0</v>
      </c>
      <c r="AJ104" s="247" t="s">
        <v>49</v>
      </c>
      <c r="AK104" s="246"/>
      <c r="AL104" s="93">
        <v>0</v>
      </c>
      <c r="AM104" s="93">
        <v>0</v>
      </c>
      <c r="AN104" s="254" t="s">
        <v>0</v>
      </c>
      <c r="AO104" s="246">
        <v>0</v>
      </c>
      <c r="AP104" s="92">
        <v>0</v>
      </c>
      <c r="AQ104" s="282">
        <v>0</v>
      </c>
      <c r="AR104" s="93">
        <v>0</v>
      </c>
      <c r="AS104" s="104">
        <v>0</v>
      </c>
      <c r="AT104" s="245">
        <v>1</v>
      </c>
      <c r="AU104" s="260">
        <v>0</v>
      </c>
      <c r="AV104" s="93">
        <v>124.90016371361028</v>
      </c>
      <c r="AW104" s="104">
        <v>378.04499322119648</v>
      </c>
      <c r="AX104" s="93">
        <v>124.90016371361028</v>
      </c>
      <c r="AY104" s="243">
        <v>378.04499322119648</v>
      </c>
    </row>
    <row r="105" spans="1:51" ht="91.5" customHeight="1">
      <c r="A105" s="113" t="s">
        <v>919</v>
      </c>
      <c r="B105" s="90" t="s">
        <v>901</v>
      </c>
      <c r="C105" s="246" t="s">
        <v>11</v>
      </c>
      <c r="D105" s="253" t="s">
        <v>1414</v>
      </c>
      <c r="E105" s="253" t="s">
        <v>155</v>
      </c>
      <c r="F105" s="253" t="s">
        <v>1444</v>
      </c>
      <c r="G105" s="253" t="s">
        <v>237</v>
      </c>
      <c r="H105" s="246" t="s">
        <v>110</v>
      </c>
      <c r="I105" s="246" t="s">
        <v>142</v>
      </c>
      <c r="J105" s="246" t="s">
        <v>47</v>
      </c>
      <c r="K105" s="256" t="s">
        <v>49</v>
      </c>
      <c r="L105" s="250" t="s">
        <v>18</v>
      </c>
      <c r="M105" s="90">
        <v>2</v>
      </c>
      <c r="N105" s="251">
        <v>0.75</v>
      </c>
      <c r="O105" s="90">
        <v>2.75</v>
      </c>
      <c r="P105" s="93">
        <v>115.64829973482435</v>
      </c>
      <c r="Q105" s="93">
        <v>43.368112400559127</v>
      </c>
      <c r="R105" s="93">
        <v>350.04166038999676</v>
      </c>
      <c r="S105" s="104">
        <v>131.26562264624877</v>
      </c>
      <c r="T105" s="250" t="s">
        <v>18</v>
      </c>
      <c r="U105" s="90">
        <v>2</v>
      </c>
      <c r="V105" s="251">
        <v>0.75</v>
      </c>
      <c r="W105" s="90">
        <v>2.75</v>
      </c>
      <c r="X105" s="93">
        <v>115.64829973482435</v>
      </c>
      <c r="Y105" s="93">
        <v>43.368112400559127</v>
      </c>
      <c r="Z105" s="93">
        <v>350.04166038999676</v>
      </c>
      <c r="AA105" s="104">
        <v>131.26562264624877</v>
      </c>
      <c r="AB105" s="250" t="s">
        <v>107</v>
      </c>
      <c r="AC105" s="97">
        <v>0</v>
      </c>
      <c r="AD105" s="252">
        <v>0</v>
      </c>
      <c r="AE105" s="97">
        <v>0</v>
      </c>
      <c r="AF105" s="93">
        <v>0</v>
      </c>
      <c r="AG105" s="93">
        <v>0</v>
      </c>
      <c r="AH105" s="93">
        <v>0</v>
      </c>
      <c r="AI105" s="93">
        <v>0</v>
      </c>
      <c r="AJ105" s="247" t="s">
        <v>49</v>
      </c>
      <c r="AK105" s="246"/>
      <c r="AL105" s="93">
        <v>0</v>
      </c>
      <c r="AM105" s="93">
        <v>0</v>
      </c>
      <c r="AN105" s="254" t="s">
        <v>0</v>
      </c>
      <c r="AO105" s="246">
        <v>0</v>
      </c>
      <c r="AP105" s="92">
        <v>0</v>
      </c>
      <c r="AQ105" s="282">
        <v>0</v>
      </c>
      <c r="AR105" s="93">
        <v>0</v>
      </c>
      <c r="AS105" s="104">
        <v>0</v>
      </c>
      <c r="AT105" s="245">
        <v>1</v>
      </c>
      <c r="AU105" s="260">
        <v>0</v>
      </c>
      <c r="AV105" s="93">
        <v>318.03282427076698</v>
      </c>
      <c r="AW105" s="104">
        <v>962.61456607249102</v>
      </c>
      <c r="AX105" s="93">
        <v>318.03282427076698</v>
      </c>
      <c r="AY105" s="243">
        <v>962.61456607249102</v>
      </c>
    </row>
    <row r="106" spans="1:51" ht="84" customHeight="1">
      <c r="A106" s="113" t="s">
        <v>920</v>
      </c>
      <c r="B106" s="90" t="s">
        <v>902</v>
      </c>
      <c r="C106" s="246" t="s">
        <v>11</v>
      </c>
      <c r="D106" s="253" t="s">
        <v>1414</v>
      </c>
      <c r="E106" s="253" t="s">
        <v>155</v>
      </c>
      <c r="F106" s="253" t="s">
        <v>1444</v>
      </c>
      <c r="G106" s="253" t="s">
        <v>396</v>
      </c>
      <c r="H106" s="246" t="s">
        <v>109</v>
      </c>
      <c r="I106" s="246" t="s">
        <v>142</v>
      </c>
      <c r="J106" s="246" t="s">
        <v>47</v>
      </c>
      <c r="K106" s="256" t="s">
        <v>142</v>
      </c>
      <c r="L106" s="250" t="s">
        <v>18</v>
      </c>
      <c r="M106" s="90">
        <v>0.33</v>
      </c>
      <c r="N106" s="251">
        <v>0.75</v>
      </c>
      <c r="O106" s="90">
        <v>1.08</v>
      </c>
      <c r="P106" s="93">
        <v>19.081969456246018</v>
      </c>
      <c r="Q106" s="93">
        <v>43.368112400559127</v>
      </c>
      <c r="R106" s="93">
        <v>57.75687396434946</v>
      </c>
      <c r="S106" s="104">
        <v>131.26562264624877</v>
      </c>
      <c r="T106" s="250" t="s">
        <v>18</v>
      </c>
      <c r="U106" s="90">
        <v>0.33</v>
      </c>
      <c r="V106" s="251">
        <v>0.75</v>
      </c>
      <c r="W106" s="90">
        <v>1.08</v>
      </c>
      <c r="X106" s="93">
        <v>19.081969456246018</v>
      </c>
      <c r="Y106" s="93">
        <v>43.368112400559127</v>
      </c>
      <c r="Z106" s="93">
        <v>57.75687396434946</v>
      </c>
      <c r="AA106" s="104">
        <v>131.26562264624877</v>
      </c>
      <c r="AB106" s="250" t="s">
        <v>107</v>
      </c>
      <c r="AC106" s="97">
        <v>0</v>
      </c>
      <c r="AD106" s="252">
        <v>0</v>
      </c>
      <c r="AE106" s="97">
        <v>0</v>
      </c>
      <c r="AF106" s="93">
        <v>0</v>
      </c>
      <c r="AG106" s="93">
        <v>0</v>
      </c>
      <c r="AH106" s="93">
        <v>0</v>
      </c>
      <c r="AI106" s="93">
        <v>0</v>
      </c>
      <c r="AJ106" s="247" t="s">
        <v>49</v>
      </c>
      <c r="AK106" s="246"/>
      <c r="AL106" s="93">
        <v>0</v>
      </c>
      <c r="AM106" s="93">
        <v>0</v>
      </c>
      <c r="AN106" s="254" t="s">
        <v>0</v>
      </c>
      <c r="AO106" s="246">
        <v>0</v>
      </c>
      <c r="AP106" s="92">
        <v>0</v>
      </c>
      <c r="AQ106" s="282">
        <v>0</v>
      </c>
      <c r="AR106" s="93">
        <v>700.3791783912435</v>
      </c>
      <c r="AS106" s="104">
        <v>801.19082556287378</v>
      </c>
      <c r="AT106" s="245">
        <v>1</v>
      </c>
      <c r="AU106" s="260">
        <v>0</v>
      </c>
      <c r="AV106" s="93">
        <v>124.90016371361028</v>
      </c>
      <c r="AW106" s="104">
        <v>378.04499322119648</v>
      </c>
      <c r="AX106" s="93">
        <v>825.27934210485375</v>
      </c>
      <c r="AY106" s="243">
        <v>1179.2358187840703</v>
      </c>
    </row>
    <row r="107" spans="1:51" ht="84" customHeight="1">
      <c r="A107" s="113" t="s">
        <v>921</v>
      </c>
      <c r="B107" s="90" t="s">
        <v>903</v>
      </c>
      <c r="C107" s="246" t="s">
        <v>11</v>
      </c>
      <c r="D107" s="253" t="s">
        <v>1414</v>
      </c>
      <c r="E107" s="253" t="s">
        <v>155</v>
      </c>
      <c r="F107" s="253" t="s">
        <v>1444</v>
      </c>
      <c r="G107" s="253" t="s">
        <v>396</v>
      </c>
      <c r="H107" s="246" t="s">
        <v>110</v>
      </c>
      <c r="I107" s="246" t="s">
        <v>142</v>
      </c>
      <c r="J107" s="246" t="s">
        <v>47</v>
      </c>
      <c r="K107" s="256" t="s">
        <v>142</v>
      </c>
      <c r="L107" s="250" t="s">
        <v>18</v>
      </c>
      <c r="M107" s="90">
        <v>2</v>
      </c>
      <c r="N107" s="251">
        <v>0.75</v>
      </c>
      <c r="O107" s="90">
        <v>2.75</v>
      </c>
      <c r="P107" s="93">
        <v>115.64829973482435</v>
      </c>
      <c r="Q107" s="93">
        <v>43.368112400559127</v>
      </c>
      <c r="R107" s="93">
        <v>350.04166038999676</v>
      </c>
      <c r="S107" s="104">
        <v>131.26562264624877</v>
      </c>
      <c r="T107" s="250" t="s">
        <v>18</v>
      </c>
      <c r="U107" s="90">
        <v>2</v>
      </c>
      <c r="V107" s="251">
        <v>0.75</v>
      </c>
      <c r="W107" s="90">
        <v>2.75</v>
      </c>
      <c r="X107" s="93">
        <v>115.64829973482435</v>
      </c>
      <c r="Y107" s="93">
        <v>43.368112400559127</v>
      </c>
      <c r="Z107" s="93">
        <v>350.04166038999676</v>
      </c>
      <c r="AA107" s="104">
        <v>131.26562264624877</v>
      </c>
      <c r="AB107" s="250" t="s">
        <v>107</v>
      </c>
      <c r="AC107" s="97">
        <v>0</v>
      </c>
      <c r="AD107" s="252">
        <v>0</v>
      </c>
      <c r="AE107" s="97">
        <v>0</v>
      </c>
      <c r="AF107" s="93">
        <v>0</v>
      </c>
      <c r="AG107" s="93">
        <v>0</v>
      </c>
      <c r="AH107" s="93">
        <v>0</v>
      </c>
      <c r="AI107" s="93">
        <v>0</v>
      </c>
      <c r="AJ107" s="247" t="s">
        <v>49</v>
      </c>
      <c r="AK107" s="246"/>
      <c r="AL107" s="93">
        <v>0</v>
      </c>
      <c r="AM107" s="93">
        <v>0</v>
      </c>
      <c r="AN107" s="254" t="s">
        <v>0</v>
      </c>
      <c r="AO107" s="246">
        <v>0</v>
      </c>
      <c r="AP107" s="92">
        <v>0</v>
      </c>
      <c r="AQ107" s="282">
        <v>0</v>
      </c>
      <c r="AR107" s="93">
        <v>700.3791783912435</v>
      </c>
      <c r="AS107" s="104">
        <v>801.19082556287378</v>
      </c>
      <c r="AT107" s="245">
        <v>1</v>
      </c>
      <c r="AU107" s="260">
        <v>0</v>
      </c>
      <c r="AV107" s="93">
        <v>318.03282427076698</v>
      </c>
      <c r="AW107" s="104">
        <v>962.61456607249102</v>
      </c>
      <c r="AX107" s="93">
        <v>1018.4120026620105</v>
      </c>
      <c r="AY107" s="243">
        <v>1763.8053916353647</v>
      </c>
    </row>
    <row r="108" spans="1:51" ht="81" customHeight="1">
      <c r="A108" s="113" t="s">
        <v>922</v>
      </c>
      <c r="B108" s="90" t="s">
        <v>904</v>
      </c>
      <c r="C108" s="246" t="s">
        <v>11</v>
      </c>
      <c r="D108" s="253" t="s">
        <v>1414</v>
      </c>
      <c r="E108" s="253" t="s">
        <v>155</v>
      </c>
      <c r="F108" s="253" t="s">
        <v>1444</v>
      </c>
      <c r="G108" s="253" t="s">
        <v>238</v>
      </c>
      <c r="H108" s="246" t="s">
        <v>109</v>
      </c>
      <c r="I108" s="246" t="s">
        <v>142</v>
      </c>
      <c r="J108" s="246" t="s">
        <v>113</v>
      </c>
      <c r="K108" s="256" t="s">
        <v>49</v>
      </c>
      <c r="L108" s="250" t="s">
        <v>18</v>
      </c>
      <c r="M108" s="90">
        <v>0.33</v>
      </c>
      <c r="N108" s="251">
        <v>1</v>
      </c>
      <c r="O108" s="90">
        <v>1.33</v>
      </c>
      <c r="P108" s="93">
        <v>25.084366852241615</v>
      </c>
      <c r="Q108" s="93">
        <v>76.013232885580649</v>
      </c>
      <c r="R108" s="93">
        <v>75.924794769346875</v>
      </c>
      <c r="S108" s="104">
        <v>230.07513566468748</v>
      </c>
      <c r="T108" s="250" t="s">
        <v>18</v>
      </c>
      <c r="U108" s="90">
        <v>0.33</v>
      </c>
      <c r="V108" s="251">
        <v>1</v>
      </c>
      <c r="W108" s="90">
        <v>1.33</v>
      </c>
      <c r="X108" s="93">
        <v>25.084366852241615</v>
      </c>
      <c r="Y108" s="93">
        <v>76.013232885580649</v>
      </c>
      <c r="Z108" s="93">
        <v>75.924794769346875</v>
      </c>
      <c r="AA108" s="104">
        <v>230.07513566468748</v>
      </c>
      <c r="AB108" s="250" t="s">
        <v>107</v>
      </c>
      <c r="AC108" s="97">
        <v>0</v>
      </c>
      <c r="AD108" s="252">
        <v>0</v>
      </c>
      <c r="AE108" s="97">
        <v>0</v>
      </c>
      <c r="AF108" s="93">
        <v>0</v>
      </c>
      <c r="AG108" s="93">
        <v>0</v>
      </c>
      <c r="AH108" s="93">
        <v>0</v>
      </c>
      <c r="AI108" s="93">
        <v>0</v>
      </c>
      <c r="AJ108" s="247" t="s">
        <v>49</v>
      </c>
      <c r="AK108" s="246"/>
      <c r="AL108" s="93">
        <v>0</v>
      </c>
      <c r="AM108" s="93">
        <v>0</v>
      </c>
      <c r="AN108" s="254" t="s">
        <v>0</v>
      </c>
      <c r="AO108" s="246">
        <v>0</v>
      </c>
      <c r="AP108" s="92">
        <v>0</v>
      </c>
      <c r="AQ108" s="282">
        <v>0</v>
      </c>
      <c r="AR108" s="93">
        <v>0</v>
      </c>
      <c r="AS108" s="104">
        <v>0</v>
      </c>
      <c r="AT108" s="245">
        <v>1</v>
      </c>
      <c r="AU108" s="260">
        <v>0</v>
      </c>
      <c r="AV108" s="93">
        <v>202.19519947564453</v>
      </c>
      <c r="AW108" s="104">
        <v>611.99986086806871</v>
      </c>
      <c r="AX108" s="93">
        <v>202.19519947564453</v>
      </c>
      <c r="AY108" s="243">
        <v>611.99986086806871</v>
      </c>
    </row>
    <row r="109" spans="1:51" ht="81" customHeight="1">
      <c r="A109" s="113" t="s">
        <v>923</v>
      </c>
      <c r="B109" s="90" t="s">
        <v>905</v>
      </c>
      <c r="C109" s="246" t="s">
        <v>11</v>
      </c>
      <c r="D109" s="253" t="s">
        <v>1414</v>
      </c>
      <c r="E109" s="253" t="s">
        <v>155</v>
      </c>
      <c r="F109" s="253" t="s">
        <v>1444</v>
      </c>
      <c r="G109" s="253" t="s">
        <v>238</v>
      </c>
      <c r="H109" s="246" t="s">
        <v>110</v>
      </c>
      <c r="I109" s="246" t="s">
        <v>142</v>
      </c>
      <c r="J109" s="246" t="s">
        <v>113</v>
      </c>
      <c r="K109" s="256" t="s">
        <v>49</v>
      </c>
      <c r="L109" s="250" t="s">
        <v>18</v>
      </c>
      <c r="M109" s="90">
        <v>2</v>
      </c>
      <c r="N109" s="251">
        <v>1</v>
      </c>
      <c r="O109" s="90">
        <v>3</v>
      </c>
      <c r="P109" s="93">
        <v>152.0264657711613</v>
      </c>
      <c r="Q109" s="93">
        <v>76.013232885580649</v>
      </c>
      <c r="R109" s="93">
        <v>460.15027132937496</v>
      </c>
      <c r="S109" s="104">
        <v>230.07513566468748</v>
      </c>
      <c r="T109" s="250" t="s">
        <v>18</v>
      </c>
      <c r="U109" s="90">
        <v>2</v>
      </c>
      <c r="V109" s="251">
        <v>1</v>
      </c>
      <c r="W109" s="90">
        <v>3</v>
      </c>
      <c r="X109" s="93">
        <v>152.0264657711613</v>
      </c>
      <c r="Y109" s="93">
        <v>76.013232885580649</v>
      </c>
      <c r="Z109" s="93">
        <v>460.15027132937496</v>
      </c>
      <c r="AA109" s="104">
        <v>230.07513566468748</v>
      </c>
      <c r="AB109" s="250" t="s">
        <v>107</v>
      </c>
      <c r="AC109" s="97">
        <v>0</v>
      </c>
      <c r="AD109" s="252">
        <v>0</v>
      </c>
      <c r="AE109" s="97">
        <v>0</v>
      </c>
      <c r="AF109" s="93">
        <v>0</v>
      </c>
      <c r="AG109" s="93">
        <v>0</v>
      </c>
      <c r="AH109" s="93">
        <v>0</v>
      </c>
      <c r="AI109" s="93">
        <v>0</v>
      </c>
      <c r="AJ109" s="247" t="s">
        <v>49</v>
      </c>
      <c r="AK109" s="246"/>
      <c r="AL109" s="93">
        <v>0</v>
      </c>
      <c r="AM109" s="93">
        <v>0</v>
      </c>
      <c r="AN109" s="254" t="s">
        <v>0</v>
      </c>
      <c r="AO109" s="246">
        <v>0</v>
      </c>
      <c r="AP109" s="92">
        <v>0</v>
      </c>
      <c r="AQ109" s="282">
        <v>0</v>
      </c>
      <c r="AR109" s="93">
        <v>0</v>
      </c>
      <c r="AS109" s="104">
        <v>0</v>
      </c>
      <c r="AT109" s="245">
        <v>1</v>
      </c>
      <c r="AU109" s="260">
        <v>0</v>
      </c>
      <c r="AV109" s="93">
        <v>456.07939731348387</v>
      </c>
      <c r="AW109" s="104">
        <v>1380.450813988125</v>
      </c>
      <c r="AX109" s="93">
        <v>456.07939731348387</v>
      </c>
      <c r="AY109" s="243">
        <v>1380.450813988125</v>
      </c>
    </row>
    <row r="110" spans="1:51" ht="84" customHeight="1">
      <c r="A110" s="113" t="s">
        <v>924</v>
      </c>
      <c r="B110" s="90" t="s">
        <v>906</v>
      </c>
      <c r="C110" s="246" t="s">
        <v>11</v>
      </c>
      <c r="D110" s="253" t="s">
        <v>1414</v>
      </c>
      <c r="E110" s="253" t="s">
        <v>155</v>
      </c>
      <c r="F110" s="253" t="s">
        <v>1444</v>
      </c>
      <c r="G110" s="253" t="s">
        <v>394</v>
      </c>
      <c r="H110" s="246" t="s">
        <v>109</v>
      </c>
      <c r="I110" s="246" t="s">
        <v>142</v>
      </c>
      <c r="J110" s="246" t="s">
        <v>113</v>
      </c>
      <c r="K110" s="256" t="s">
        <v>142</v>
      </c>
      <c r="L110" s="250" t="s">
        <v>18</v>
      </c>
      <c r="M110" s="90">
        <v>0.33</v>
      </c>
      <c r="N110" s="251">
        <v>1</v>
      </c>
      <c r="O110" s="90">
        <v>1.33</v>
      </c>
      <c r="P110" s="93">
        <v>25.084366852241615</v>
      </c>
      <c r="Q110" s="93">
        <v>76.013232885580649</v>
      </c>
      <c r="R110" s="93">
        <v>75.924794769346875</v>
      </c>
      <c r="S110" s="104">
        <v>230.07513566468748</v>
      </c>
      <c r="T110" s="250" t="s">
        <v>18</v>
      </c>
      <c r="U110" s="90">
        <v>0.33</v>
      </c>
      <c r="V110" s="251">
        <v>1</v>
      </c>
      <c r="W110" s="90">
        <v>1.33</v>
      </c>
      <c r="X110" s="93">
        <v>25.084366852241615</v>
      </c>
      <c r="Y110" s="93">
        <v>76.013232885580649</v>
      </c>
      <c r="Z110" s="93">
        <v>75.924794769346875</v>
      </c>
      <c r="AA110" s="104">
        <v>230.07513566468748</v>
      </c>
      <c r="AB110" s="250" t="s">
        <v>107</v>
      </c>
      <c r="AC110" s="97">
        <v>0</v>
      </c>
      <c r="AD110" s="252">
        <v>0</v>
      </c>
      <c r="AE110" s="97">
        <v>0</v>
      </c>
      <c r="AF110" s="93">
        <v>0</v>
      </c>
      <c r="AG110" s="93">
        <v>0</v>
      </c>
      <c r="AH110" s="93">
        <v>0</v>
      </c>
      <c r="AI110" s="93">
        <v>0</v>
      </c>
      <c r="AJ110" s="247" t="s">
        <v>49</v>
      </c>
      <c r="AK110" s="246"/>
      <c r="AL110" s="93">
        <v>0</v>
      </c>
      <c r="AM110" s="93">
        <v>0</v>
      </c>
      <c r="AN110" s="254" t="s">
        <v>0</v>
      </c>
      <c r="AO110" s="246">
        <v>0</v>
      </c>
      <c r="AP110" s="92">
        <v>0</v>
      </c>
      <c r="AQ110" s="282">
        <v>0</v>
      </c>
      <c r="AR110" s="93">
        <v>700.3791783912435</v>
      </c>
      <c r="AS110" s="104">
        <v>801.19082556287378</v>
      </c>
      <c r="AT110" s="245">
        <v>1</v>
      </c>
      <c r="AU110" s="260">
        <v>0</v>
      </c>
      <c r="AV110" s="93">
        <v>202.19519947564453</v>
      </c>
      <c r="AW110" s="104">
        <v>611.99986086806871</v>
      </c>
      <c r="AX110" s="93">
        <v>902.57437786688797</v>
      </c>
      <c r="AY110" s="243">
        <v>1413.1906864309426</v>
      </c>
    </row>
    <row r="111" spans="1:51" ht="84" customHeight="1">
      <c r="A111" s="113" t="s">
        <v>925</v>
      </c>
      <c r="B111" s="90" t="s">
        <v>907</v>
      </c>
      <c r="C111" s="246" t="s">
        <v>11</v>
      </c>
      <c r="D111" s="253" t="s">
        <v>1414</v>
      </c>
      <c r="E111" s="253" t="s">
        <v>155</v>
      </c>
      <c r="F111" s="253" t="s">
        <v>1444</v>
      </c>
      <c r="G111" s="253" t="s">
        <v>394</v>
      </c>
      <c r="H111" s="246" t="s">
        <v>110</v>
      </c>
      <c r="I111" s="246" t="s">
        <v>142</v>
      </c>
      <c r="J111" s="246" t="s">
        <v>113</v>
      </c>
      <c r="K111" s="256" t="s">
        <v>142</v>
      </c>
      <c r="L111" s="250" t="s">
        <v>18</v>
      </c>
      <c r="M111" s="90">
        <v>2</v>
      </c>
      <c r="N111" s="251">
        <v>1</v>
      </c>
      <c r="O111" s="90">
        <v>3</v>
      </c>
      <c r="P111" s="93">
        <v>152.0264657711613</v>
      </c>
      <c r="Q111" s="93">
        <v>76.013232885580649</v>
      </c>
      <c r="R111" s="93">
        <v>460.15027132937496</v>
      </c>
      <c r="S111" s="104">
        <v>230.07513566468748</v>
      </c>
      <c r="T111" s="250" t="s">
        <v>18</v>
      </c>
      <c r="U111" s="90">
        <v>2</v>
      </c>
      <c r="V111" s="251">
        <v>1</v>
      </c>
      <c r="W111" s="90">
        <v>3</v>
      </c>
      <c r="X111" s="93">
        <v>152.0264657711613</v>
      </c>
      <c r="Y111" s="93">
        <v>76.013232885580649</v>
      </c>
      <c r="Z111" s="93">
        <v>460.15027132937496</v>
      </c>
      <c r="AA111" s="104">
        <v>230.07513566468748</v>
      </c>
      <c r="AB111" s="250" t="s">
        <v>107</v>
      </c>
      <c r="AC111" s="97">
        <v>0</v>
      </c>
      <c r="AD111" s="252">
        <v>0</v>
      </c>
      <c r="AE111" s="97">
        <v>0</v>
      </c>
      <c r="AF111" s="93">
        <v>0</v>
      </c>
      <c r="AG111" s="93">
        <v>0</v>
      </c>
      <c r="AH111" s="93">
        <v>0</v>
      </c>
      <c r="AI111" s="93">
        <v>0</v>
      </c>
      <c r="AJ111" s="247" t="s">
        <v>49</v>
      </c>
      <c r="AK111" s="246"/>
      <c r="AL111" s="93">
        <v>0</v>
      </c>
      <c r="AM111" s="93">
        <v>0</v>
      </c>
      <c r="AN111" s="254" t="s">
        <v>0</v>
      </c>
      <c r="AO111" s="246">
        <v>0</v>
      </c>
      <c r="AP111" s="92">
        <v>0</v>
      </c>
      <c r="AQ111" s="282">
        <v>0</v>
      </c>
      <c r="AR111" s="93">
        <v>700.3791783912435</v>
      </c>
      <c r="AS111" s="104">
        <v>801.19082556287378</v>
      </c>
      <c r="AT111" s="245">
        <v>1</v>
      </c>
      <c r="AU111" s="260">
        <v>0</v>
      </c>
      <c r="AV111" s="93">
        <v>456.07939731348387</v>
      </c>
      <c r="AW111" s="104">
        <v>1380.450813988125</v>
      </c>
      <c r="AX111" s="93">
        <v>1156.4585757047273</v>
      </c>
      <c r="AY111" s="243">
        <v>2181.6416395509987</v>
      </c>
    </row>
    <row r="112" spans="1:51" ht="81" customHeight="1">
      <c r="A112" s="113" t="s">
        <v>926</v>
      </c>
      <c r="B112" s="90" t="s">
        <v>908</v>
      </c>
      <c r="C112" s="246" t="s">
        <v>11</v>
      </c>
      <c r="D112" s="253" t="s">
        <v>1414</v>
      </c>
      <c r="E112" s="253" t="s">
        <v>155</v>
      </c>
      <c r="F112" s="253" t="s">
        <v>1444</v>
      </c>
      <c r="G112" s="253" t="s">
        <v>239</v>
      </c>
      <c r="H112" s="246" t="s">
        <v>109</v>
      </c>
      <c r="I112" s="246" t="s">
        <v>142</v>
      </c>
      <c r="J112" s="246" t="s">
        <v>113</v>
      </c>
      <c r="K112" s="256" t="s">
        <v>49</v>
      </c>
      <c r="L112" s="250" t="s">
        <v>18</v>
      </c>
      <c r="M112" s="90">
        <v>0.33</v>
      </c>
      <c r="N112" s="251">
        <v>0.75</v>
      </c>
      <c r="O112" s="90">
        <v>1.08</v>
      </c>
      <c r="P112" s="93">
        <v>25.084366852241615</v>
      </c>
      <c r="Q112" s="93">
        <v>57.00992466418549</v>
      </c>
      <c r="R112" s="93">
        <v>75.924794769346875</v>
      </c>
      <c r="S112" s="104">
        <v>172.55635174851562</v>
      </c>
      <c r="T112" s="250" t="s">
        <v>18</v>
      </c>
      <c r="U112" s="90">
        <v>0.33</v>
      </c>
      <c r="V112" s="251">
        <v>0.75</v>
      </c>
      <c r="W112" s="90">
        <v>1.08</v>
      </c>
      <c r="X112" s="93">
        <v>25.084366852241615</v>
      </c>
      <c r="Y112" s="93">
        <v>57.00992466418549</v>
      </c>
      <c r="Z112" s="93">
        <v>75.924794769346875</v>
      </c>
      <c r="AA112" s="104">
        <v>172.55635174851562</v>
      </c>
      <c r="AB112" s="250" t="s">
        <v>107</v>
      </c>
      <c r="AC112" s="97">
        <v>0</v>
      </c>
      <c r="AD112" s="252">
        <v>0</v>
      </c>
      <c r="AE112" s="97">
        <v>0</v>
      </c>
      <c r="AF112" s="93">
        <v>0</v>
      </c>
      <c r="AG112" s="93">
        <v>0</v>
      </c>
      <c r="AH112" s="93">
        <v>0</v>
      </c>
      <c r="AI112" s="93">
        <v>0</v>
      </c>
      <c r="AJ112" s="247" t="s">
        <v>49</v>
      </c>
      <c r="AK112" s="246"/>
      <c r="AL112" s="93">
        <v>0</v>
      </c>
      <c r="AM112" s="93">
        <v>0</v>
      </c>
      <c r="AN112" s="254" t="s">
        <v>0</v>
      </c>
      <c r="AO112" s="246">
        <v>0</v>
      </c>
      <c r="AP112" s="92">
        <v>0</v>
      </c>
      <c r="AQ112" s="282">
        <v>0</v>
      </c>
      <c r="AR112" s="93">
        <v>0</v>
      </c>
      <c r="AS112" s="104">
        <v>0</v>
      </c>
      <c r="AT112" s="245">
        <v>1</v>
      </c>
      <c r="AU112" s="260">
        <v>0</v>
      </c>
      <c r="AV112" s="93">
        <v>164.18858303285421</v>
      </c>
      <c r="AW112" s="104">
        <v>496.962293035725</v>
      </c>
      <c r="AX112" s="93">
        <v>164.18858303285421</v>
      </c>
      <c r="AY112" s="243">
        <v>496.962293035725</v>
      </c>
    </row>
    <row r="113" spans="1:51" ht="99.75" customHeight="1">
      <c r="A113" s="113" t="s">
        <v>927</v>
      </c>
      <c r="B113" s="90" t="s">
        <v>909</v>
      </c>
      <c r="C113" s="246" t="s">
        <v>11</v>
      </c>
      <c r="D113" s="253" t="s">
        <v>1414</v>
      </c>
      <c r="E113" s="253" t="s">
        <v>155</v>
      </c>
      <c r="F113" s="253" t="s">
        <v>1444</v>
      </c>
      <c r="G113" s="253" t="s">
        <v>239</v>
      </c>
      <c r="H113" s="246" t="s">
        <v>110</v>
      </c>
      <c r="I113" s="246" t="s">
        <v>142</v>
      </c>
      <c r="J113" s="246" t="s">
        <v>113</v>
      </c>
      <c r="K113" s="256" t="s">
        <v>49</v>
      </c>
      <c r="L113" s="250" t="s">
        <v>18</v>
      </c>
      <c r="M113" s="90">
        <v>2</v>
      </c>
      <c r="N113" s="251">
        <v>0.75</v>
      </c>
      <c r="O113" s="90">
        <v>2.75</v>
      </c>
      <c r="P113" s="93">
        <v>152.0264657711613</v>
      </c>
      <c r="Q113" s="93">
        <v>57.00992466418549</v>
      </c>
      <c r="R113" s="93">
        <v>460.15027132937496</v>
      </c>
      <c r="S113" s="104">
        <v>172.55635174851562</v>
      </c>
      <c r="T113" s="250" t="s">
        <v>18</v>
      </c>
      <c r="U113" s="90">
        <v>2</v>
      </c>
      <c r="V113" s="251">
        <v>0.75</v>
      </c>
      <c r="W113" s="90">
        <v>2.75</v>
      </c>
      <c r="X113" s="93">
        <v>152.0264657711613</v>
      </c>
      <c r="Y113" s="93">
        <v>57.00992466418549</v>
      </c>
      <c r="Z113" s="93">
        <v>460.15027132937496</v>
      </c>
      <c r="AA113" s="104">
        <v>172.55635174851562</v>
      </c>
      <c r="AB113" s="250" t="s">
        <v>107</v>
      </c>
      <c r="AC113" s="97">
        <v>0</v>
      </c>
      <c r="AD113" s="252">
        <v>0</v>
      </c>
      <c r="AE113" s="97">
        <v>0</v>
      </c>
      <c r="AF113" s="93">
        <v>0</v>
      </c>
      <c r="AG113" s="93">
        <v>0</v>
      </c>
      <c r="AH113" s="93">
        <v>0</v>
      </c>
      <c r="AI113" s="93">
        <v>0</v>
      </c>
      <c r="AJ113" s="247" t="s">
        <v>49</v>
      </c>
      <c r="AK113" s="246"/>
      <c r="AL113" s="93">
        <v>0</v>
      </c>
      <c r="AM113" s="93">
        <v>0</v>
      </c>
      <c r="AN113" s="254" t="s">
        <v>0</v>
      </c>
      <c r="AO113" s="246">
        <v>0</v>
      </c>
      <c r="AP113" s="92">
        <v>0</v>
      </c>
      <c r="AQ113" s="282">
        <v>0</v>
      </c>
      <c r="AR113" s="93">
        <v>0</v>
      </c>
      <c r="AS113" s="104">
        <v>0</v>
      </c>
      <c r="AT113" s="245">
        <v>1</v>
      </c>
      <c r="AU113" s="260">
        <v>0</v>
      </c>
      <c r="AV113" s="93">
        <v>418.07278087069358</v>
      </c>
      <c r="AW113" s="104">
        <v>1265.4132461557811</v>
      </c>
      <c r="AX113" s="93">
        <v>418.07278087069358</v>
      </c>
      <c r="AY113" s="243">
        <v>1265.4132461557811</v>
      </c>
    </row>
    <row r="114" spans="1:51" ht="112.5" customHeight="1">
      <c r="A114" s="113" t="s">
        <v>928</v>
      </c>
      <c r="B114" s="90" t="s">
        <v>1204</v>
      </c>
      <c r="C114" s="246" t="s">
        <v>11</v>
      </c>
      <c r="D114" s="253" t="s">
        <v>1414</v>
      </c>
      <c r="E114" s="253" t="s">
        <v>155</v>
      </c>
      <c r="F114" s="253" t="s">
        <v>1444</v>
      </c>
      <c r="G114" s="253" t="s">
        <v>395</v>
      </c>
      <c r="H114" s="246" t="s">
        <v>109</v>
      </c>
      <c r="I114" s="246" t="s">
        <v>142</v>
      </c>
      <c r="J114" s="246" t="s">
        <v>113</v>
      </c>
      <c r="K114" s="256" t="s">
        <v>142</v>
      </c>
      <c r="L114" s="250" t="s">
        <v>18</v>
      </c>
      <c r="M114" s="90">
        <v>0.33</v>
      </c>
      <c r="N114" s="251">
        <v>0.75</v>
      </c>
      <c r="O114" s="90">
        <v>1.08</v>
      </c>
      <c r="P114" s="93">
        <v>25.084366852241615</v>
      </c>
      <c r="Q114" s="93">
        <v>57.00992466418549</v>
      </c>
      <c r="R114" s="93">
        <v>75.924794769346875</v>
      </c>
      <c r="S114" s="104">
        <v>172.55635174851562</v>
      </c>
      <c r="T114" s="250" t="s">
        <v>18</v>
      </c>
      <c r="U114" s="90">
        <v>0.33</v>
      </c>
      <c r="V114" s="251">
        <v>0.75</v>
      </c>
      <c r="W114" s="90">
        <v>1.08</v>
      </c>
      <c r="X114" s="93">
        <v>25.084366852241615</v>
      </c>
      <c r="Y114" s="93">
        <v>57.00992466418549</v>
      </c>
      <c r="Z114" s="93">
        <v>75.924794769346875</v>
      </c>
      <c r="AA114" s="104">
        <v>172.55635174851562</v>
      </c>
      <c r="AB114" s="250" t="s">
        <v>107</v>
      </c>
      <c r="AC114" s="97">
        <v>0</v>
      </c>
      <c r="AD114" s="252">
        <v>0</v>
      </c>
      <c r="AE114" s="97">
        <v>0</v>
      </c>
      <c r="AF114" s="93">
        <v>0</v>
      </c>
      <c r="AG114" s="93">
        <v>0</v>
      </c>
      <c r="AH114" s="93">
        <v>0</v>
      </c>
      <c r="AI114" s="93">
        <v>0</v>
      </c>
      <c r="AJ114" s="247" t="s">
        <v>49</v>
      </c>
      <c r="AK114" s="246"/>
      <c r="AL114" s="93">
        <v>0</v>
      </c>
      <c r="AM114" s="93">
        <v>0</v>
      </c>
      <c r="AN114" s="254" t="s">
        <v>0</v>
      </c>
      <c r="AO114" s="246">
        <v>0</v>
      </c>
      <c r="AP114" s="92">
        <v>0</v>
      </c>
      <c r="AQ114" s="282">
        <v>0</v>
      </c>
      <c r="AR114" s="93">
        <v>700.3791783912435</v>
      </c>
      <c r="AS114" s="104">
        <v>801.19082556287378</v>
      </c>
      <c r="AT114" s="245">
        <v>1</v>
      </c>
      <c r="AU114" s="260">
        <v>0</v>
      </c>
      <c r="AV114" s="93">
        <v>164.18858303285421</v>
      </c>
      <c r="AW114" s="104">
        <v>496.962293035725</v>
      </c>
      <c r="AX114" s="93">
        <v>864.56776142409774</v>
      </c>
      <c r="AY114" s="243">
        <v>1298.1531185985987</v>
      </c>
    </row>
    <row r="115" spans="1:51" ht="105" customHeight="1">
      <c r="A115" s="113" t="s">
        <v>929</v>
      </c>
      <c r="B115" s="90" t="s">
        <v>1205</v>
      </c>
      <c r="C115" s="246" t="s">
        <v>11</v>
      </c>
      <c r="D115" s="253" t="s">
        <v>1414</v>
      </c>
      <c r="E115" s="253" t="s">
        <v>155</v>
      </c>
      <c r="F115" s="253" t="s">
        <v>1444</v>
      </c>
      <c r="G115" s="253" t="s">
        <v>395</v>
      </c>
      <c r="H115" s="246" t="s">
        <v>110</v>
      </c>
      <c r="I115" s="246" t="s">
        <v>142</v>
      </c>
      <c r="J115" s="246" t="s">
        <v>113</v>
      </c>
      <c r="K115" s="256" t="s">
        <v>142</v>
      </c>
      <c r="L115" s="250" t="s">
        <v>18</v>
      </c>
      <c r="M115" s="90">
        <v>2</v>
      </c>
      <c r="N115" s="251">
        <v>0.75</v>
      </c>
      <c r="O115" s="90">
        <v>2.75</v>
      </c>
      <c r="P115" s="93">
        <v>152.0264657711613</v>
      </c>
      <c r="Q115" s="93">
        <v>57.00992466418549</v>
      </c>
      <c r="R115" s="93">
        <v>460.15027132937496</v>
      </c>
      <c r="S115" s="104">
        <v>172.55635174851562</v>
      </c>
      <c r="T115" s="250" t="s">
        <v>18</v>
      </c>
      <c r="U115" s="90">
        <v>2</v>
      </c>
      <c r="V115" s="251">
        <v>0.75</v>
      </c>
      <c r="W115" s="90">
        <v>2.75</v>
      </c>
      <c r="X115" s="93">
        <v>152.0264657711613</v>
      </c>
      <c r="Y115" s="93">
        <v>57.00992466418549</v>
      </c>
      <c r="Z115" s="93">
        <v>460.15027132937496</v>
      </c>
      <c r="AA115" s="104">
        <v>172.55635174851562</v>
      </c>
      <c r="AB115" s="250" t="s">
        <v>107</v>
      </c>
      <c r="AC115" s="97">
        <v>0</v>
      </c>
      <c r="AD115" s="252">
        <v>0</v>
      </c>
      <c r="AE115" s="97">
        <v>0</v>
      </c>
      <c r="AF115" s="93">
        <v>0</v>
      </c>
      <c r="AG115" s="93">
        <v>0</v>
      </c>
      <c r="AH115" s="93">
        <v>0</v>
      </c>
      <c r="AI115" s="93">
        <v>0</v>
      </c>
      <c r="AJ115" s="247" t="s">
        <v>49</v>
      </c>
      <c r="AK115" s="246"/>
      <c r="AL115" s="93">
        <v>0</v>
      </c>
      <c r="AM115" s="93">
        <v>0</v>
      </c>
      <c r="AN115" s="254" t="s">
        <v>0</v>
      </c>
      <c r="AO115" s="246">
        <v>0</v>
      </c>
      <c r="AP115" s="92">
        <v>0</v>
      </c>
      <c r="AQ115" s="282">
        <v>0</v>
      </c>
      <c r="AR115" s="93">
        <v>700.3791783912435</v>
      </c>
      <c r="AS115" s="104">
        <v>801.19082556287378</v>
      </c>
      <c r="AT115" s="245">
        <v>1</v>
      </c>
      <c r="AU115" s="260">
        <v>0</v>
      </c>
      <c r="AV115" s="93">
        <v>418.07278087069358</v>
      </c>
      <c r="AW115" s="104">
        <v>1265.4132461557811</v>
      </c>
      <c r="AX115" s="93">
        <v>1118.4519592619372</v>
      </c>
      <c r="AY115" s="243">
        <v>2066.6040717186547</v>
      </c>
    </row>
    <row r="116" spans="1:51" ht="107.25" customHeight="1">
      <c r="A116" s="113" t="s">
        <v>930</v>
      </c>
      <c r="B116" s="90" t="s">
        <v>910</v>
      </c>
      <c r="C116" s="246" t="s">
        <v>11</v>
      </c>
      <c r="D116" s="253" t="s">
        <v>1414</v>
      </c>
      <c r="E116" s="253" t="s">
        <v>155</v>
      </c>
      <c r="F116" s="253" t="s">
        <v>1444</v>
      </c>
      <c r="G116" s="253" t="s">
        <v>411</v>
      </c>
      <c r="H116" s="246" t="s">
        <v>109</v>
      </c>
      <c r="I116" s="246" t="s">
        <v>142</v>
      </c>
      <c r="J116" s="246" t="s">
        <v>113</v>
      </c>
      <c r="K116" s="256" t="s">
        <v>49</v>
      </c>
      <c r="L116" s="250" t="s">
        <v>18</v>
      </c>
      <c r="M116" s="90">
        <v>0.33</v>
      </c>
      <c r="N116" s="251">
        <v>1</v>
      </c>
      <c r="O116" s="90">
        <v>1.33</v>
      </c>
      <c r="P116" s="93">
        <v>25.084366852241615</v>
      </c>
      <c r="Q116" s="93">
        <v>76.013232885580649</v>
      </c>
      <c r="R116" s="93">
        <v>75.924794769346875</v>
      </c>
      <c r="S116" s="104">
        <v>230.07513566468748</v>
      </c>
      <c r="T116" s="250" t="s">
        <v>18</v>
      </c>
      <c r="U116" s="90">
        <v>0.33</v>
      </c>
      <c r="V116" s="251">
        <v>1</v>
      </c>
      <c r="W116" s="90">
        <v>1.33</v>
      </c>
      <c r="X116" s="93">
        <v>25.084366852241615</v>
      </c>
      <c r="Y116" s="93">
        <v>76.013232885580649</v>
      </c>
      <c r="Z116" s="93">
        <v>75.924794769346875</v>
      </c>
      <c r="AA116" s="104">
        <v>230.07513566468748</v>
      </c>
      <c r="AB116" s="250" t="s">
        <v>107</v>
      </c>
      <c r="AC116" s="97">
        <v>0</v>
      </c>
      <c r="AD116" s="252">
        <v>0</v>
      </c>
      <c r="AE116" s="97">
        <v>0</v>
      </c>
      <c r="AF116" s="93">
        <v>0</v>
      </c>
      <c r="AG116" s="93">
        <v>0</v>
      </c>
      <c r="AH116" s="93">
        <v>0</v>
      </c>
      <c r="AI116" s="93">
        <v>0</v>
      </c>
      <c r="AJ116" s="247" t="s">
        <v>49</v>
      </c>
      <c r="AK116" s="246"/>
      <c r="AL116" s="93">
        <v>0</v>
      </c>
      <c r="AM116" s="93">
        <v>0</v>
      </c>
      <c r="AN116" s="254" t="s">
        <v>0</v>
      </c>
      <c r="AO116" s="246">
        <v>0</v>
      </c>
      <c r="AP116" s="92">
        <v>0</v>
      </c>
      <c r="AQ116" s="282">
        <v>0</v>
      </c>
      <c r="AR116" s="93">
        <v>0</v>
      </c>
      <c r="AS116" s="104">
        <v>0</v>
      </c>
      <c r="AT116" s="245">
        <v>1</v>
      </c>
      <c r="AU116" s="260">
        <v>0</v>
      </c>
      <c r="AV116" s="93">
        <v>202.19519947564453</v>
      </c>
      <c r="AW116" s="104">
        <v>611.99986086806871</v>
      </c>
      <c r="AX116" s="93">
        <v>202.19519947564453</v>
      </c>
      <c r="AY116" s="243">
        <v>611.99986086806871</v>
      </c>
    </row>
    <row r="117" spans="1:51" ht="79.5" customHeight="1">
      <c r="A117" s="113" t="s">
        <v>931</v>
      </c>
      <c r="B117" s="90" t="s">
        <v>911</v>
      </c>
      <c r="C117" s="246" t="s">
        <v>11</v>
      </c>
      <c r="D117" s="253" t="s">
        <v>1414</v>
      </c>
      <c r="E117" s="253" t="s">
        <v>155</v>
      </c>
      <c r="F117" s="253" t="s">
        <v>1444</v>
      </c>
      <c r="G117" s="253" t="s">
        <v>412</v>
      </c>
      <c r="H117" s="246" t="s">
        <v>109</v>
      </c>
      <c r="I117" s="246" t="s">
        <v>142</v>
      </c>
      <c r="J117" s="246" t="s">
        <v>113</v>
      </c>
      <c r="K117" s="256" t="s">
        <v>142</v>
      </c>
      <c r="L117" s="250" t="s">
        <v>18</v>
      </c>
      <c r="M117" s="90">
        <v>0.33</v>
      </c>
      <c r="N117" s="251">
        <v>1</v>
      </c>
      <c r="O117" s="90">
        <v>1.33</v>
      </c>
      <c r="P117" s="93">
        <v>25.084366852241615</v>
      </c>
      <c r="Q117" s="93">
        <v>76.013232885580649</v>
      </c>
      <c r="R117" s="93">
        <v>75.924794769346875</v>
      </c>
      <c r="S117" s="104">
        <v>230.07513566468748</v>
      </c>
      <c r="T117" s="250" t="s">
        <v>18</v>
      </c>
      <c r="U117" s="90">
        <v>0.33</v>
      </c>
      <c r="V117" s="251">
        <v>1</v>
      </c>
      <c r="W117" s="90">
        <v>1.33</v>
      </c>
      <c r="X117" s="93">
        <v>25.084366852241615</v>
      </c>
      <c r="Y117" s="93">
        <v>76.013232885580649</v>
      </c>
      <c r="Z117" s="93">
        <v>75.924794769346875</v>
      </c>
      <c r="AA117" s="104">
        <v>230.07513566468748</v>
      </c>
      <c r="AB117" s="250" t="s">
        <v>107</v>
      </c>
      <c r="AC117" s="97">
        <v>0</v>
      </c>
      <c r="AD117" s="252">
        <v>0</v>
      </c>
      <c r="AE117" s="97">
        <v>0</v>
      </c>
      <c r="AF117" s="93">
        <v>0</v>
      </c>
      <c r="AG117" s="93">
        <v>0</v>
      </c>
      <c r="AH117" s="93">
        <v>0</v>
      </c>
      <c r="AI117" s="93">
        <v>0</v>
      </c>
      <c r="AJ117" s="247" t="s">
        <v>49</v>
      </c>
      <c r="AK117" s="246"/>
      <c r="AL117" s="93">
        <v>0</v>
      </c>
      <c r="AM117" s="93">
        <v>0</v>
      </c>
      <c r="AN117" s="254" t="s">
        <v>0</v>
      </c>
      <c r="AO117" s="246">
        <v>0</v>
      </c>
      <c r="AP117" s="92">
        <v>0</v>
      </c>
      <c r="AQ117" s="282">
        <v>0</v>
      </c>
      <c r="AR117" s="93">
        <v>700.3791783912435</v>
      </c>
      <c r="AS117" s="104">
        <v>801.19082556287378</v>
      </c>
      <c r="AT117" s="245">
        <v>1</v>
      </c>
      <c r="AU117" s="260">
        <v>0</v>
      </c>
      <c r="AV117" s="93">
        <v>202.19519947564453</v>
      </c>
      <c r="AW117" s="104">
        <v>611.99986086806871</v>
      </c>
      <c r="AX117" s="93">
        <v>902.57437786688797</v>
      </c>
      <c r="AY117" s="243">
        <v>1413.1906864309426</v>
      </c>
    </row>
    <row r="118" spans="1:51" ht="79.5" customHeight="1">
      <c r="A118" s="113" t="s">
        <v>932</v>
      </c>
      <c r="B118" s="90" t="s">
        <v>912</v>
      </c>
      <c r="C118" s="246" t="s">
        <v>11</v>
      </c>
      <c r="D118" s="253" t="s">
        <v>1414</v>
      </c>
      <c r="E118" s="253" t="s">
        <v>155</v>
      </c>
      <c r="F118" s="253" t="s">
        <v>1444</v>
      </c>
      <c r="G118" s="253" t="s">
        <v>413</v>
      </c>
      <c r="H118" s="246" t="s">
        <v>109</v>
      </c>
      <c r="I118" s="246" t="s">
        <v>142</v>
      </c>
      <c r="J118" s="246" t="s">
        <v>113</v>
      </c>
      <c r="K118" s="256" t="s">
        <v>49</v>
      </c>
      <c r="L118" s="250" t="s">
        <v>18</v>
      </c>
      <c r="M118" s="90">
        <v>0.33</v>
      </c>
      <c r="N118" s="251">
        <v>0.75</v>
      </c>
      <c r="O118" s="90">
        <v>1.08</v>
      </c>
      <c r="P118" s="93">
        <v>25.084366852241615</v>
      </c>
      <c r="Q118" s="93">
        <v>57.00992466418549</v>
      </c>
      <c r="R118" s="93">
        <v>75.924794769346875</v>
      </c>
      <c r="S118" s="104">
        <v>172.55635174851562</v>
      </c>
      <c r="T118" s="250" t="s">
        <v>18</v>
      </c>
      <c r="U118" s="90">
        <v>0.33</v>
      </c>
      <c r="V118" s="251">
        <v>0.75</v>
      </c>
      <c r="W118" s="90">
        <v>1.08</v>
      </c>
      <c r="X118" s="93">
        <v>25.084366852241615</v>
      </c>
      <c r="Y118" s="93">
        <v>57.00992466418549</v>
      </c>
      <c r="Z118" s="93">
        <v>75.924794769346875</v>
      </c>
      <c r="AA118" s="104">
        <v>172.55635174851562</v>
      </c>
      <c r="AB118" s="250" t="s">
        <v>107</v>
      </c>
      <c r="AC118" s="97">
        <v>0</v>
      </c>
      <c r="AD118" s="252">
        <v>0</v>
      </c>
      <c r="AE118" s="97">
        <v>0</v>
      </c>
      <c r="AF118" s="93">
        <v>0</v>
      </c>
      <c r="AG118" s="93">
        <v>0</v>
      </c>
      <c r="AH118" s="93">
        <v>0</v>
      </c>
      <c r="AI118" s="93">
        <v>0</v>
      </c>
      <c r="AJ118" s="247" t="s">
        <v>49</v>
      </c>
      <c r="AK118" s="246"/>
      <c r="AL118" s="93">
        <v>0</v>
      </c>
      <c r="AM118" s="93">
        <v>0</v>
      </c>
      <c r="AN118" s="254" t="s">
        <v>0</v>
      </c>
      <c r="AO118" s="246">
        <v>0</v>
      </c>
      <c r="AP118" s="92">
        <v>0</v>
      </c>
      <c r="AQ118" s="282">
        <v>0</v>
      </c>
      <c r="AR118" s="93">
        <v>0</v>
      </c>
      <c r="AS118" s="104">
        <v>0</v>
      </c>
      <c r="AT118" s="245">
        <v>1</v>
      </c>
      <c r="AU118" s="260">
        <v>0</v>
      </c>
      <c r="AV118" s="93">
        <v>164.18858303285421</v>
      </c>
      <c r="AW118" s="104">
        <v>496.962293035725</v>
      </c>
      <c r="AX118" s="93">
        <v>164.18858303285421</v>
      </c>
      <c r="AY118" s="243">
        <v>496.962293035725</v>
      </c>
    </row>
    <row r="119" spans="1:51" ht="78" customHeight="1">
      <c r="A119" s="113" t="s">
        <v>933</v>
      </c>
      <c r="B119" s="90" t="s">
        <v>913</v>
      </c>
      <c r="C119" s="246" t="s">
        <v>11</v>
      </c>
      <c r="D119" s="253" t="s">
        <v>1414</v>
      </c>
      <c r="E119" s="253" t="s">
        <v>155</v>
      </c>
      <c r="F119" s="253" t="s">
        <v>1444</v>
      </c>
      <c r="G119" s="253" t="s">
        <v>414</v>
      </c>
      <c r="H119" s="246" t="s">
        <v>109</v>
      </c>
      <c r="I119" s="246" t="s">
        <v>142</v>
      </c>
      <c r="J119" s="246" t="s">
        <v>113</v>
      </c>
      <c r="K119" s="256" t="s">
        <v>142</v>
      </c>
      <c r="L119" s="250" t="s">
        <v>18</v>
      </c>
      <c r="M119" s="90">
        <v>0.33</v>
      </c>
      <c r="N119" s="251">
        <v>0.75</v>
      </c>
      <c r="O119" s="90">
        <v>1.08</v>
      </c>
      <c r="P119" s="93">
        <v>25.084366852241615</v>
      </c>
      <c r="Q119" s="93">
        <v>57.00992466418549</v>
      </c>
      <c r="R119" s="93">
        <v>75.924794769346875</v>
      </c>
      <c r="S119" s="104">
        <v>172.55635174851562</v>
      </c>
      <c r="T119" s="250" t="s">
        <v>18</v>
      </c>
      <c r="U119" s="90">
        <v>0.33</v>
      </c>
      <c r="V119" s="251">
        <v>0.75</v>
      </c>
      <c r="W119" s="90">
        <v>1.08</v>
      </c>
      <c r="X119" s="93">
        <v>25.084366852241615</v>
      </c>
      <c r="Y119" s="93">
        <v>57.00992466418549</v>
      </c>
      <c r="Z119" s="93">
        <v>75.924794769346875</v>
      </c>
      <c r="AA119" s="104">
        <v>172.55635174851562</v>
      </c>
      <c r="AB119" s="250" t="s">
        <v>107</v>
      </c>
      <c r="AC119" s="97">
        <v>0</v>
      </c>
      <c r="AD119" s="252">
        <v>0</v>
      </c>
      <c r="AE119" s="97">
        <v>0</v>
      </c>
      <c r="AF119" s="93">
        <v>0</v>
      </c>
      <c r="AG119" s="93">
        <v>0</v>
      </c>
      <c r="AH119" s="93">
        <v>0</v>
      </c>
      <c r="AI119" s="93">
        <v>0</v>
      </c>
      <c r="AJ119" s="247" t="s">
        <v>49</v>
      </c>
      <c r="AK119" s="246"/>
      <c r="AL119" s="93">
        <v>0</v>
      </c>
      <c r="AM119" s="93">
        <v>0</v>
      </c>
      <c r="AN119" s="254" t="s">
        <v>0</v>
      </c>
      <c r="AO119" s="246">
        <v>0</v>
      </c>
      <c r="AP119" s="92">
        <v>0</v>
      </c>
      <c r="AQ119" s="282">
        <v>0</v>
      </c>
      <c r="AR119" s="93">
        <v>700.3791783912435</v>
      </c>
      <c r="AS119" s="104">
        <v>801.19082556287378</v>
      </c>
      <c r="AT119" s="245">
        <v>1</v>
      </c>
      <c r="AU119" s="260">
        <v>0</v>
      </c>
      <c r="AV119" s="93">
        <v>164.18858303285421</v>
      </c>
      <c r="AW119" s="104">
        <v>496.962293035725</v>
      </c>
      <c r="AX119" s="93">
        <v>864.56776142409774</v>
      </c>
      <c r="AY119" s="243">
        <v>1298.1531185985987</v>
      </c>
    </row>
    <row r="120" spans="1:51" ht="90">
      <c r="A120" s="113" t="s">
        <v>934</v>
      </c>
      <c r="B120" s="90" t="s">
        <v>1206</v>
      </c>
      <c r="C120" s="246" t="s">
        <v>11</v>
      </c>
      <c r="D120" s="253" t="s">
        <v>1414</v>
      </c>
      <c r="E120" s="253" t="s">
        <v>155</v>
      </c>
      <c r="F120" s="253" t="s">
        <v>1456</v>
      </c>
      <c r="G120" s="253" t="s">
        <v>792</v>
      </c>
      <c r="H120" s="246" t="s">
        <v>109</v>
      </c>
      <c r="I120" s="246" t="s">
        <v>49</v>
      </c>
      <c r="J120" s="246" t="s">
        <v>47</v>
      </c>
      <c r="K120" s="256" t="s">
        <v>49</v>
      </c>
      <c r="L120" s="250" t="s">
        <v>18</v>
      </c>
      <c r="M120" s="90">
        <v>0</v>
      </c>
      <c r="N120" s="251">
        <v>1</v>
      </c>
      <c r="O120" s="90">
        <v>1</v>
      </c>
      <c r="P120" s="93">
        <v>0</v>
      </c>
      <c r="Q120" s="93">
        <v>57.824149867412174</v>
      </c>
      <c r="R120" s="93">
        <v>0</v>
      </c>
      <c r="S120" s="104">
        <v>175.02083019499838</v>
      </c>
      <c r="T120" s="250" t="s">
        <v>18</v>
      </c>
      <c r="U120" s="90">
        <v>0</v>
      </c>
      <c r="V120" s="251">
        <v>1</v>
      </c>
      <c r="W120" s="90">
        <v>1</v>
      </c>
      <c r="X120" s="93">
        <v>0</v>
      </c>
      <c r="Y120" s="93">
        <v>57.824149867412174</v>
      </c>
      <c r="Z120" s="93">
        <v>0</v>
      </c>
      <c r="AA120" s="104">
        <v>175.02083019499838</v>
      </c>
      <c r="AB120" s="250" t="s">
        <v>107</v>
      </c>
      <c r="AC120" s="97">
        <v>0</v>
      </c>
      <c r="AD120" s="252">
        <v>0</v>
      </c>
      <c r="AE120" s="97">
        <v>0</v>
      </c>
      <c r="AF120" s="93">
        <v>0</v>
      </c>
      <c r="AG120" s="93">
        <v>0</v>
      </c>
      <c r="AH120" s="93">
        <v>0</v>
      </c>
      <c r="AI120" s="93">
        <v>0</v>
      </c>
      <c r="AJ120" s="247" t="s">
        <v>49</v>
      </c>
      <c r="AK120" s="246"/>
      <c r="AL120" s="93">
        <v>0</v>
      </c>
      <c r="AM120" s="93">
        <v>0</v>
      </c>
      <c r="AN120" s="254" t="s">
        <v>0</v>
      </c>
      <c r="AO120" s="246">
        <v>0</v>
      </c>
      <c r="AP120" s="92">
        <v>0</v>
      </c>
      <c r="AQ120" s="282">
        <v>0</v>
      </c>
      <c r="AR120" s="93">
        <v>0</v>
      </c>
      <c r="AS120" s="104">
        <v>0</v>
      </c>
      <c r="AT120" s="245">
        <v>1</v>
      </c>
      <c r="AU120" s="260">
        <v>0</v>
      </c>
      <c r="AV120" s="93">
        <v>115.64829973482435</v>
      </c>
      <c r="AW120" s="104">
        <v>350.04166038999676</v>
      </c>
      <c r="AX120" s="93">
        <v>115.64829973482435</v>
      </c>
      <c r="AY120" s="243">
        <v>350.04166038999676</v>
      </c>
    </row>
    <row r="121" spans="1:51" ht="90">
      <c r="A121" s="113" t="s">
        <v>935</v>
      </c>
      <c r="B121" s="90" t="s">
        <v>1207</v>
      </c>
      <c r="C121" s="246" t="s">
        <v>11</v>
      </c>
      <c r="D121" s="253" t="s">
        <v>1414</v>
      </c>
      <c r="E121" s="253" t="s">
        <v>155</v>
      </c>
      <c r="F121" s="253" t="s">
        <v>1456</v>
      </c>
      <c r="G121" s="253" t="s">
        <v>792</v>
      </c>
      <c r="H121" s="246" t="s">
        <v>110</v>
      </c>
      <c r="I121" s="246" t="s">
        <v>49</v>
      </c>
      <c r="J121" s="246" t="s">
        <v>47</v>
      </c>
      <c r="K121" s="256" t="s">
        <v>49</v>
      </c>
      <c r="L121" s="250" t="s">
        <v>18</v>
      </c>
      <c r="M121" s="90">
        <v>0</v>
      </c>
      <c r="N121" s="251">
        <v>1</v>
      </c>
      <c r="O121" s="90">
        <v>1</v>
      </c>
      <c r="P121" s="93">
        <v>0</v>
      </c>
      <c r="Q121" s="93">
        <v>57.824149867412174</v>
      </c>
      <c r="R121" s="93">
        <v>0</v>
      </c>
      <c r="S121" s="104">
        <v>175.02083019499838</v>
      </c>
      <c r="T121" s="250" t="s">
        <v>18</v>
      </c>
      <c r="U121" s="90">
        <v>0</v>
      </c>
      <c r="V121" s="251">
        <v>1</v>
      </c>
      <c r="W121" s="90">
        <v>1</v>
      </c>
      <c r="X121" s="93">
        <v>0</v>
      </c>
      <c r="Y121" s="93">
        <v>57.824149867412174</v>
      </c>
      <c r="Z121" s="93">
        <v>0</v>
      </c>
      <c r="AA121" s="104">
        <v>175.02083019499838</v>
      </c>
      <c r="AB121" s="250" t="s">
        <v>107</v>
      </c>
      <c r="AC121" s="97">
        <v>0</v>
      </c>
      <c r="AD121" s="252">
        <v>0</v>
      </c>
      <c r="AE121" s="97">
        <v>0</v>
      </c>
      <c r="AF121" s="93">
        <v>0</v>
      </c>
      <c r="AG121" s="93">
        <v>0</v>
      </c>
      <c r="AH121" s="93">
        <v>0</v>
      </c>
      <c r="AI121" s="93">
        <v>0</v>
      </c>
      <c r="AJ121" s="247" t="s">
        <v>49</v>
      </c>
      <c r="AK121" s="246"/>
      <c r="AL121" s="93">
        <v>0</v>
      </c>
      <c r="AM121" s="93">
        <v>0</v>
      </c>
      <c r="AN121" s="254" t="s">
        <v>0</v>
      </c>
      <c r="AO121" s="246">
        <v>0</v>
      </c>
      <c r="AP121" s="92">
        <v>0</v>
      </c>
      <c r="AQ121" s="282">
        <v>0</v>
      </c>
      <c r="AR121" s="93">
        <v>0</v>
      </c>
      <c r="AS121" s="104">
        <v>0</v>
      </c>
      <c r="AT121" s="245">
        <v>1</v>
      </c>
      <c r="AU121" s="260">
        <v>0</v>
      </c>
      <c r="AV121" s="93">
        <v>115.64829973482435</v>
      </c>
      <c r="AW121" s="104">
        <v>350.04166038999676</v>
      </c>
      <c r="AX121" s="93">
        <v>115.64829973482435</v>
      </c>
      <c r="AY121" s="243">
        <v>350.04166038999676</v>
      </c>
    </row>
    <row r="122" spans="1:51" ht="90">
      <c r="A122" s="113" t="s">
        <v>936</v>
      </c>
      <c r="B122" s="90" t="s">
        <v>914</v>
      </c>
      <c r="C122" s="246" t="s">
        <v>11</v>
      </c>
      <c r="D122" s="253" t="s">
        <v>1414</v>
      </c>
      <c r="E122" s="253" t="s">
        <v>155</v>
      </c>
      <c r="F122" s="253" t="s">
        <v>1456</v>
      </c>
      <c r="G122" s="253" t="s">
        <v>793</v>
      </c>
      <c r="H122" s="246" t="s">
        <v>109</v>
      </c>
      <c r="I122" s="246" t="s">
        <v>49</v>
      </c>
      <c r="J122" s="246" t="s">
        <v>47</v>
      </c>
      <c r="K122" s="256" t="s">
        <v>49</v>
      </c>
      <c r="L122" s="250" t="s">
        <v>18</v>
      </c>
      <c r="M122" s="90">
        <v>0</v>
      </c>
      <c r="N122" s="251">
        <v>0.5</v>
      </c>
      <c r="O122" s="90">
        <v>0.5</v>
      </c>
      <c r="P122" s="93">
        <v>0</v>
      </c>
      <c r="Q122" s="93">
        <v>28.912074933706087</v>
      </c>
      <c r="R122" s="93">
        <v>0</v>
      </c>
      <c r="S122" s="104">
        <v>87.510415097499191</v>
      </c>
      <c r="T122" s="250" t="s">
        <v>107</v>
      </c>
      <c r="U122" s="90">
        <v>0</v>
      </c>
      <c r="V122" s="251">
        <v>0</v>
      </c>
      <c r="W122" s="90">
        <v>0</v>
      </c>
      <c r="X122" s="93">
        <v>0</v>
      </c>
      <c r="Y122" s="93">
        <v>0</v>
      </c>
      <c r="Z122" s="93">
        <v>0</v>
      </c>
      <c r="AA122" s="104">
        <v>0</v>
      </c>
      <c r="AB122" s="250" t="s">
        <v>107</v>
      </c>
      <c r="AC122" s="97">
        <v>0</v>
      </c>
      <c r="AD122" s="252">
        <v>0</v>
      </c>
      <c r="AE122" s="97">
        <v>0</v>
      </c>
      <c r="AF122" s="93">
        <v>0</v>
      </c>
      <c r="AG122" s="93">
        <v>0</v>
      </c>
      <c r="AH122" s="93">
        <v>0</v>
      </c>
      <c r="AI122" s="93">
        <v>0</v>
      </c>
      <c r="AJ122" s="247" t="s">
        <v>49</v>
      </c>
      <c r="AK122" s="246"/>
      <c r="AL122" s="93">
        <v>0</v>
      </c>
      <c r="AM122" s="93">
        <v>0</v>
      </c>
      <c r="AN122" s="254" t="s">
        <v>0</v>
      </c>
      <c r="AO122" s="246">
        <v>0</v>
      </c>
      <c r="AP122" s="92">
        <v>0</v>
      </c>
      <c r="AQ122" s="282">
        <v>0</v>
      </c>
      <c r="AR122" s="93">
        <v>0</v>
      </c>
      <c r="AS122" s="104">
        <v>0</v>
      </c>
      <c r="AT122" s="245">
        <v>1</v>
      </c>
      <c r="AU122" s="260">
        <v>0</v>
      </c>
      <c r="AV122" s="93">
        <v>28.912074933706087</v>
      </c>
      <c r="AW122" s="104">
        <v>87.510415097499191</v>
      </c>
      <c r="AX122" s="93">
        <v>28.912074933706087</v>
      </c>
      <c r="AY122" s="243">
        <v>87.510415097499191</v>
      </c>
    </row>
    <row r="123" spans="1:51" ht="90">
      <c r="A123" s="113" t="s">
        <v>937</v>
      </c>
      <c r="B123" s="90" t="s">
        <v>915</v>
      </c>
      <c r="C123" s="246" t="s">
        <v>11</v>
      </c>
      <c r="D123" s="253" t="s">
        <v>1414</v>
      </c>
      <c r="E123" s="253" t="s">
        <v>155</v>
      </c>
      <c r="F123" s="253" t="s">
        <v>1457</v>
      </c>
      <c r="G123" s="253" t="s">
        <v>793</v>
      </c>
      <c r="H123" s="246" t="s">
        <v>110</v>
      </c>
      <c r="I123" s="246" t="s">
        <v>49</v>
      </c>
      <c r="J123" s="246" t="s">
        <v>47</v>
      </c>
      <c r="K123" s="256" t="s">
        <v>49</v>
      </c>
      <c r="L123" s="250" t="s">
        <v>18</v>
      </c>
      <c r="M123" s="90">
        <v>0</v>
      </c>
      <c r="N123" s="251">
        <v>0.5</v>
      </c>
      <c r="O123" s="90">
        <v>0.5</v>
      </c>
      <c r="P123" s="93">
        <v>0</v>
      </c>
      <c r="Q123" s="93">
        <v>28.912074933706087</v>
      </c>
      <c r="R123" s="93">
        <v>0</v>
      </c>
      <c r="S123" s="104">
        <v>87.510415097499191</v>
      </c>
      <c r="T123" s="250" t="s">
        <v>107</v>
      </c>
      <c r="U123" s="90">
        <v>0</v>
      </c>
      <c r="V123" s="251">
        <v>0</v>
      </c>
      <c r="W123" s="90">
        <v>0</v>
      </c>
      <c r="X123" s="93">
        <v>0</v>
      </c>
      <c r="Y123" s="93">
        <v>0</v>
      </c>
      <c r="Z123" s="93">
        <v>0</v>
      </c>
      <c r="AA123" s="104">
        <v>0</v>
      </c>
      <c r="AB123" s="250" t="s">
        <v>107</v>
      </c>
      <c r="AC123" s="97">
        <v>0</v>
      </c>
      <c r="AD123" s="252">
        <v>0</v>
      </c>
      <c r="AE123" s="97">
        <v>0</v>
      </c>
      <c r="AF123" s="93">
        <v>0</v>
      </c>
      <c r="AG123" s="93">
        <v>0</v>
      </c>
      <c r="AH123" s="93">
        <v>0</v>
      </c>
      <c r="AI123" s="93">
        <v>0</v>
      </c>
      <c r="AJ123" s="247" t="s">
        <v>49</v>
      </c>
      <c r="AK123" s="246"/>
      <c r="AL123" s="93">
        <v>0</v>
      </c>
      <c r="AM123" s="93">
        <v>0</v>
      </c>
      <c r="AN123" s="254" t="s">
        <v>0</v>
      </c>
      <c r="AO123" s="246">
        <v>0</v>
      </c>
      <c r="AP123" s="92">
        <v>0</v>
      </c>
      <c r="AQ123" s="282">
        <v>0</v>
      </c>
      <c r="AR123" s="93">
        <v>0</v>
      </c>
      <c r="AS123" s="104">
        <v>0</v>
      </c>
      <c r="AT123" s="245">
        <v>1</v>
      </c>
      <c r="AU123" s="260">
        <v>0</v>
      </c>
      <c r="AV123" s="93">
        <v>28.912074933706087</v>
      </c>
      <c r="AW123" s="104">
        <v>87.510415097499191</v>
      </c>
      <c r="AX123" s="93">
        <v>28.912074933706087</v>
      </c>
      <c r="AY123" s="243">
        <v>87.510415097499191</v>
      </c>
    </row>
    <row r="124" spans="1:51" ht="90">
      <c r="A124" s="113" t="s">
        <v>938</v>
      </c>
      <c r="B124" s="90" t="s">
        <v>916</v>
      </c>
      <c r="C124" s="246" t="s">
        <v>11</v>
      </c>
      <c r="D124" s="253" t="s">
        <v>1414</v>
      </c>
      <c r="E124" s="253" t="s">
        <v>155</v>
      </c>
      <c r="F124" s="253" t="s">
        <v>1456</v>
      </c>
      <c r="G124" s="253" t="s">
        <v>794</v>
      </c>
      <c r="H124" s="246" t="s">
        <v>109</v>
      </c>
      <c r="I124" s="246" t="s">
        <v>49</v>
      </c>
      <c r="J124" s="246" t="s">
        <v>113</v>
      </c>
      <c r="K124" s="256" t="s">
        <v>49</v>
      </c>
      <c r="L124" s="250" t="s">
        <v>18</v>
      </c>
      <c r="M124" s="90">
        <v>0</v>
      </c>
      <c r="N124" s="251">
        <v>1</v>
      </c>
      <c r="O124" s="90">
        <v>1</v>
      </c>
      <c r="P124" s="93">
        <v>0</v>
      </c>
      <c r="Q124" s="93">
        <v>76.013232885580649</v>
      </c>
      <c r="R124" s="93">
        <v>0</v>
      </c>
      <c r="S124" s="104">
        <v>230.07513566468748</v>
      </c>
      <c r="T124" s="250" t="s">
        <v>18</v>
      </c>
      <c r="U124" s="90">
        <v>0</v>
      </c>
      <c r="V124" s="251">
        <v>1</v>
      </c>
      <c r="W124" s="90">
        <v>1</v>
      </c>
      <c r="X124" s="93">
        <v>0</v>
      </c>
      <c r="Y124" s="93">
        <v>76.013232885580649</v>
      </c>
      <c r="Z124" s="93">
        <v>0</v>
      </c>
      <c r="AA124" s="104">
        <v>230.07513566468748</v>
      </c>
      <c r="AB124" s="250" t="s">
        <v>107</v>
      </c>
      <c r="AC124" s="97">
        <v>0</v>
      </c>
      <c r="AD124" s="252">
        <v>0</v>
      </c>
      <c r="AE124" s="97">
        <v>0</v>
      </c>
      <c r="AF124" s="93">
        <v>0</v>
      </c>
      <c r="AG124" s="93">
        <v>0</v>
      </c>
      <c r="AH124" s="93">
        <v>0</v>
      </c>
      <c r="AI124" s="93">
        <v>0</v>
      </c>
      <c r="AJ124" s="247" t="s">
        <v>49</v>
      </c>
      <c r="AK124" s="246"/>
      <c r="AL124" s="93">
        <v>0</v>
      </c>
      <c r="AM124" s="93">
        <v>0</v>
      </c>
      <c r="AN124" s="254" t="s">
        <v>0</v>
      </c>
      <c r="AO124" s="246">
        <v>0</v>
      </c>
      <c r="AP124" s="92">
        <v>0</v>
      </c>
      <c r="AQ124" s="282">
        <v>0</v>
      </c>
      <c r="AR124" s="93">
        <v>0</v>
      </c>
      <c r="AS124" s="104">
        <v>0</v>
      </c>
      <c r="AT124" s="245">
        <v>1</v>
      </c>
      <c r="AU124" s="260">
        <v>0</v>
      </c>
      <c r="AV124" s="93">
        <v>152.0264657711613</v>
      </c>
      <c r="AW124" s="104">
        <v>460.15027132937496</v>
      </c>
      <c r="AX124" s="93">
        <v>152.0264657711613</v>
      </c>
      <c r="AY124" s="243">
        <v>460.15027132937496</v>
      </c>
    </row>
    <row r="125" spans="1:51" ht="90">
      <c r="A125" s="113" t="s">
        <v>939</v>
      </c>
      <c r="B125" s="90" t="s">
        <v>917</v>
      </c>
      <c r="C125" s="246" t="s">
        <v>11</v>
      </c>
      <c r="D125" s="253" t="s">
        <v>1414</v>
      </c>
      <c r="E125" s="253" t="s">
        <v>155</v>
      </c>
      <c r="F125" s="253" t="s">
        <v>1456</v>
      </c>
      <c r="G125" s="253" t="s">
        <v>794</v>
      </c>
      <c r="H125" s="246" t="s">
        <v>110</v>
      </c>
      <c r="I125" s="246" t="s">
        <v>49</v>
      </c>
      <c r="J125" s="246" t="s">
        <v>113</v>
      </c>
      <c r="K125" s="256" t="s">
        <v>49</v>
      </c>
      <c r="L125" s="250" t="s">
        <v>18</v>
      </c>
      <c r="M125" s="90">
        <v>0</v>
      </c>
      <c r="N125" s="251">
        <v>1</v>
      </c>
      <c r="O125" s="90">
        <v>1</v>
      </c>
      <c r="P125" s="93">
        <v>0</v>
      </c>
      <c r="Q125" s="93">
        <v>76.013232885580649</v>
      </c>
      <c r="R125" s="93">
        <v>0</v>
      </c>
      <c r="S125" s="104">
        <v>230.07513566468748</v>
      </c>
      <c r="T125" s="250" t="s">
        <v>18</v>
      </c>
      <c r="U125" s="90">
        <v>0</v>
      </c>
      <c r="V125" s="251">
        <v>1</v>
      </c>
      <c r="W125" s="90">
        <v>1</v>
      </c>
      <c r="X125" s="93">
        <v>0</v>
      </c>
      <c r="Y125" s="93">
        <v>76.013232885580649</v>
      </c>
      <c r="Z125" s="93">
        <v>0</v>
      </c>
      <c r="AA125" s="104">
        <v>230.07513566468748</v>
      </c>
      <c r="AB125" s="250" t="s">
        <v>107</v>
      </c>
      <c r="AC125" s="97">
        <v>0</v>
      </c>
      <c r="AD125" s="252">
        <v>0</v>
      </c>
      <c r="AE125" s="97">
        <v>0</v>
      </c>
      <c r="AF125" s="93">
        <v>0</v>
      </c>
      <c r="AG125" s="93">
        <v>0</v>
      </c>
      <c r="AH125" s="93">
        <v>0</v>
      </c>
      <c r="AI125" s="93">
        <v>0</v>
      </c>
      <c r="AJ125" s="247" t="s">
        <v>49</v>
      </c>
      <c r="AK125" s="246"/>
      <c r="AL125" s="93">
        <v>0</v>
      </c>
      <c r="AM125" s="93">
        <v>0</v>
      </c>
      <c r="AN125" s="254" t="s">
        <v>0</v>
      </c>
      <c r="AO125" s="246">
        <v>0</v>
      </c>
      <c r="AP125" s="92">
        <v>0</v>
      </c>
      <c r="AQ125" s="282">
        <v>0</v>
      </c>
      <c r="AR125" s="93">
        <v>0</v>
      </c>
      <c r="AS125" s="104">
        <v>0</v>
      </c>
      <c r="AT125" s="245">
        <v>1</v>
      </c>
      <c r="AU125" s="260">
        <v>0</v>
      </c>
      <c r="AV125" s="93">
        <v>152.0264657711613</v>
      </c>
      <c r="AW125" s="104">
        <v>460.15027132937496</v>
      </c>
      <c r="AX125" s="93">
        <v>152.0264657711613</v>
      </c>
      <c r="AY125" s="243">
        <v>460.15027132937496</v>
      </c>
    </row>
    <row r="126" spans="1:51" ht="90">
      <c r="A126" s="113" t="s">
        <v>940</v>
      </c>
      <c r="B126" s="90" t="s">
        <v>918</v>
      </c>
      <c r="C126" s="246" t="s">
        <v>11</v>
      </c>
      <c r="D126" s="253" t="s">
        <v>1414</v>
      </c>
      <c r="E126" s="253" t="s">
        <v>155</v>
      </c>
      <c r="F126" s="253" t="s">
        <v>1456</v>
      </c>
      <c r="G126" s="253" t="s">
        <v>795</v>
      </c>
      <c r="H126" s="246" t="s">
        <v>109</v>
      </c>
      <c r="I126" s="246" t="s">
        <v>49</v>
      </c>
      <c r="J126" s="246" t="s">
        <v>113</v>
      </c>
      <c r="K126" s="256" t="s">
        <v>49</v>
      </c>
      <c r="L126" s="250" t="s">
        <v>18</v>
      </c>
      <c r="M126" s="90">
        <v>0</v>
      </c>
      <c r="N126" s="251">
        <v>0.5</v>
      </c>
      <c r="O126" s="90">
        <v>0.5</v>
      </c>
      <c r="P126" s="93">
        <v>0</v>
      </c>
      <c r="Q126" s="93">
        <v>38.006616442790325</v>
      </c>
      <c r="R126" s="93">
        <v>0</v>
      </c>
      <c r="S126" s="104">
        <v>115.03756783234374</v>
      </c>
      <c r="T126" s="250" t="s">
        <v>107</v>
      </c>
      <c r="U126" s="90">
        <v>0</v>
      </c>
      <c r="V126" s="251">
        <v>0</v>
      </c>
      <c r="W126" s="90">
        <v>0</v>
      </c>
      <c r="X126" s="93">
        <v>0</v>
      </c>
      <c r="Y126" s="93">
        <v>0</v>
      </c>
      <c r="Z126" s="93">
        <v>0</v>
      </c>
      <c r="AA126" s="104">
        <v>0</v>
      </c>
      <c r="AB126" s="250" t="s">
        <v>107</v>
      </c>
      <c r="AC126" s="97">
        <v>0</v>
      </c>
      <c r="AD126" s="252">
        <v>0</v>
      </c>
      <c r="AE126" s="97">
        <v>0</v>
      </c>
      <c r="AF126" s="93">
        <v>0</v>
      </c>
      <c r="AG126" s="93">
        <v>0</v>
      </c>
      <c r="AH126" s="93">
        <v>0</v>
      </c>
      <c r="AI126" s="93">
        <v>0</v>
      </c>
      <c r="AJ126" s="247" t="s">
        <v>49</v>
      </c>
      <c r="AK126" s="246"/>
      <c r="AL126" s="93">
        <v>0</v>
      </c>
      <c r="AM126" s="93">
        <v>0</v>
      </c>
      <c r="AN126" s="254" t="s">
        <v>0</v>
      </c>
      <c r="AO126" s="246">
        <v>0</v>
      </c>
      <c r="AP126" s="92">
        <v>0</v>
      </c>
      <c r="AQ126" s="282">
        <v>0</v>
      </c>
      <c r="AR126" s="93">
        <v>0</v>
      </c>
      <c r="AS126" s="104">
        <v>0</v>
      </c>
      <c r="AT126" s="245">
        <v>1</v>
      </c>
      <c r="AU126" s="260">
        <v>0</v>
      </c>
      <c r="AV126" s="93">
        <v>38.006616442790325</v>
      </c>
      <c r="AW126" s="104">
        <v>115.03756783234374</v>
      </c>
      <c r="AX126" s="93">
        <v>38.006616442790325</v>
      </c>
      <c r="AY126" s="243">
        <v>115.03756783234374</v>
      </c>
    </row>
    <row r="127" spans="1:51" ht="90">
      <c r="A127" s="113" t="s">
        <v>941</v>
      </c>
      <c r="B127" s="90" t="s">
        <v>919</v>
      </c>
      <c r="C127" s="246" t="s">
        <v>11</v>
      </c>
      <c r="D127" s="253" t="s">
        <v>1414</v>
      </c>
      <c r="E127" s="253" t="s">
        <v>155</v>
      </c>
      <c r="F127" s="253" t="s">
        <v>1456</v>
      </c>
      <c r="G127" s="253" t="s">
        <v>795</v>
      </c>
      <c r="H127" s="246" t="s">
        <v>110</v>
      </c>
      <c r="I127" s="246" t="s">
        <v>49</v>
      </c>
      <c r="J127" s="246" t="s">
        <v>113</v>
      </c>
      <c r="K127" s="256" t="s">
        <v>49</v>
      </c>
      <c r="L127" s="250" t="s">
        <v>18</v>
      </c>
      <c r="M127" s="90">
        <v>0</v>
      </c>
      <c r="N127" s="251">
        <v>0.5</v>
      </c>
      <c r="O127" s="90">
        <v>0.5</v>
      </c>
      <c r="P127" s="93">
        <v>0</v>
      </c>
      <c r="Q127" s="93">
        <v>38.006616442790325</v>
      </c>
      <c r="R127" s="93">
        <v>0</v>
      </c>
      <c r="S127" s="104">
        <v>115.03756783234374</v>
      </c>
      <c r="T127" s="250" t="s">
        <v>107</v>
      </c>
      <c r="U127" s="90">
        <v>0</v>
      </c>
      <c r="V127" s="251">
        <v>0</v>
      </c>
      <c r="W127" s="90">
        <v>0</v>
      </c>
      <c r="X127" s="93">
        <v>0</v>
      </c>
      <c r="Y127" s="93">
        <v>0</v>
      </c>
      <c r="Z127" s="93">
        <v>0</v>
      </c>
      <c r="AA127" s="104">
        <v>0</v>
      </c>
      <c r="AB127" s="250" t="s">
        <v>107</v>
      </c>
      <c r="AC127" s="97">
        <v>0</v>
      </c>
      <c r="AD127" s="252">
        <v>0</v>
      </c>
      <c r="AE127" s="97">
        <v>0</v>
      </c>
      <c r="AF127" s="93">
        <v>0</v>
      </c>
      <c r="AG127" s="93">
        <v>0</v>
      </c>
      <c r="AH127" s="93">
        <v>0</v>
      </c>
      <c r="AI127" s="93">
        <v>0</v>
      </c>
      <c r="AJ127" s="247" t="s">
        <v>49</v>
      </c>
      <c r="AK127" s="246"/>
      <c r="AL127" s="93">
        <v>0</v>
      </c>
      <c r="AM127" s="93">
        <v>0</v>
      </c>
      <c r="AN127" s="254" t="s">
        <v>0</v>
      </c>
      <c r="AO127" s="246">
        <v>0</v>
      </c>
      <c r="AP127" s="92">
        <v>0</v>
      </c>
      <c r="AQ127" s="282">
        <v>0</v>
      </c>
      <c r="AR127" s="93">
        <v>0</v>
      </c>
      <c r="AS127" s="104">
        <v>0</v>
      </c>
      <c r="AT127" s="245">
        <v>1</v>
      </c>
      <c r="AU127" s="260">
        <v>0</v>
      </c>
      <c r="AV127" s="93">
        <v>38.006616442790325</v>
      </c>
      <c r="AW127" s="104">
        <v>115.03756783234374</v>
      </c>
      <c r="AX127" s="93">
        <v>38.006616442790325</v>
      </c>
      <c r="AY127" s="243">
        <v>115.03756783234374</v>
      </c>
    </row>
    <row r="128" spans="1:51" ht="90">
      <c r="A128" s="113" t="s">
        <v>942</v>
      </c>
      <c r="B128" s="90" t="s">
        <v>920</v>
      </c>
      <c r="C128" s="246" t="s">
        <v>11</v>
      </c>
      <c r="D128" s="253" t="s">
        <v>1414</v>
      </c>
      <c r="E128" s="253" t="s">
        <v>155</v>
      </c>
      <c r="F128" s="253" t="s">
        <v>1456</v>
      </c>
      <c r="G128" s="253" t="s">
        <v>796</v>
      </c>
      <c r="H128" s="246" t="s">
        <v>109</v>
      </c>
      <c r="I128" s="246" t="s">
        <v>49</v>
      </c>
      <c r="J128" s="246" t="s">
        <v>113</v>
      </c>
      <c r="K128" s="256" t="s">
        <v>49</v>
      </c>
      <c r="L128" s="250" t="s">
        <v>18</v>
      </c>
      <c r="M128" s="90">
        <v>0</v>
      </c>
      <c r="N128" s="251">
        <v>1</v>
      </c>
      <c r="O128" s="90">
        <v>1</v>
      </c>
      <c r="P128" s="93">
        <v>0</v>
      </c>
      <c r="Q128" s="93">
        <v>76.013232885580649</v>
      </c>
      <c r="R128" s="93">
        <v>0</v>
      </c>
      <c r="S128" s="104">
        <v>230.07513566468748</v>
      </c>
      <c r="T128" s="250" t="s">
        <v>18</v>
      </c>
      <c r="U128" s="90">
        <v>0</v>
      </c>
      <c r="V128" s="251">
        <v>1</v>
      </c>
      <c r="W128" s="90">
        <v>1</v>
      </c>
      <c r="X128" s="93">
        <v>0</v>
      </c>
      <c r="Y128" s="93">
        <v>76.013232885580649</v>
      </c>
      <c r="Z128" s="93">
        <v>0</v>
      </c>
      <c r="AA128" s="104">
        <v>230.07513566468748</v>
      </c>
      <c r="AB128" s="250" t="s">
        <v>107</v>
      </c>
      <c r="AC128" s="97">
        <v>0</v>
      </c>
      <c r="AD128" s="252">
        <v>0</v>
      </c>
      <c r="AE128" s="97">
        <v>0</v>
      </c>
      <c r="AF128" s="93">
        <v>0</v>
      </c>
      <c r="AG128" s="93">
        <v>0</v>
      </c>
      <c r="AH128" s="93">
        <v>0</v>
      </c>
      <c r="AI128" s="93">
        <v>0</v>
      </c>
      <c r="AJ128" s="247" t="s">
        <v>49</v>
      </c>
      <c r="AK128" s="246"/>
      <c r="AL128" s="93">
        <v>0</v>
      </c>
      <c r="AM128" s="93">
        <v>0</v>
      </c>
      <c r="AN128" s="254" t="s">
        <v>0</v>
      </c>
      <c r="AO128" s="246">
        <v>0</v>
      </c>
      <c r="AP128" s="92">
        <v>0</v>
      </c>
      <c r="AQ128" s="282">
        <v>0</v>
      </c>
      <c r="AR128" s="93">
        <v>0</v>
      </c>
      <c r="AS128" s="104">
        <v>0</v>
      </c>
      <c r="AT128" s="245">
        <v>1</v>
      </c>
      <c r="AU128" s="260">
        <v>0</v>
      </c>
      <c r="AV128" s="93">
        <v>152.0264657711613</v>
      </c>
      <c r="AW128" s="104">
        <v>460.15027132937496</v>
      </c>
      <c r="AX128" s="93">
        <v>152.0264657711613</v>
      </c>
      <c r="AY128" s="243">
        <v>460.15027132937496</v>
      </c>
    </row>
    <row r="129" spans="1:51" ht="90">
      <c r="A129" s="113" t="s">
        <v>943</v>
      </c>
      <c r="B129" s="90" t="s">
        <v>921</v>
      </c>
      <c r="C129" s="246" t="s">
        <v>11</v>
      </c>
      <c r="D129" s="253" t="s">
        <v>1414</v>
      </c>
      <c r="E129" s="253" t="s">
        <v>155</v>
      </c>
      <c r="F129" s="253" t="s">
        <v>1456</v>
      </c>
      <c r="G129" s="253" t="s">
        <v>797</v>
      </c>
      <c r="H129" s="246" t="s">
        <v>109</v>
      </c>
      <c r="I129" s="246" t="s">
        <v>49</v>
      </c>
      <c r="J129" s="246" t="s">
        <v>113</v>
      </c>
      <c r="K129" s="256" t="s">
        <v>49</v>
      </c>
      <c r="L129" s="250" t="s">
        <v>18</v>
      </c>
      <c r="M129" s="90">
        <v>0</v>
      </c>
      <c r="N129" s="251">
        <v>0.5</v>
      </c>
      <c r="O129" s="90">
        <v>0.5</v>
      </c>
      <c r="P129" s="93">
        <v>0</v>
      </c>
      <c r="Q129" s="93">
        <v>38.006616442790325</v>
      </c>
      <c r="R129" s="93">
        <v>0</v>
      </c>
      <c r="S129" s="104">
        <v>115.03756783234374</v>
      </c>
      <c r="T129" s="250" t="s">
        <v>107</v>
      </c>
      <c r="U129" s="90">
        <v>0</v>
      </c>
      <c r="V129" s="251">
        <v>0</v>
      </c>
      <c r="W129" s="90">
        <v>0</v>
      </c>
      <c r="X129" s="93">
        <v>0</v>
      </c>
      <c r="Y129" s="93">
        <v>0</v>
      </c>
      <c r="Z129" s="93">
        <v>0</v>
      </c>
      <c r="AA129" s="104">
        <v>0</v>
      </c>
      <c r="AB129" s="250" t="s">
        <v>107</v>
      </c>
      <c r="AC129" s="97">
        <v>0</v>
      </c>
      <c r="AD129" s="252">
        <v>0</v>
      </c>
      <c r="AE129" s="97">
        <v>0</v>
      </c>
      <c r="AF129" s="93">
        <v>0</v>
      </c>
      <c r="AG129" s="93">
        <v>0</v>
      </c>
      <c r="AH129" s="93">
        <v>0</v>
      </c>
      <c r="AI129" s="93">
        <v>0</v>
      </c>
      <c r="AJ129" s="247" t="s">
        <v>49</v>
      </c>
      <c r="AK129" s="246"/>
      <c r="AL129" s="93">
        <v>0</v>
      </c>
      <c r="AM129" s="93">
        <v>0</v>
      </c>
      <c r="AN129" s="254" t="s">
        <v>0</v>
      </c>
      <c r="AO129" s="246">
        <v>0</v>
      </c>
      <c r="AP129" s="92">
        <v>0</v>
      </c>
      <c r="AQ129" s="282">
        <v>0</v>
      </c>
      <c r="AR129" s="93">
        <v>0</v>
      </c>
      <c r="AS129" s="104">
        <v>0</v>
      </c>
      <c r="AT129" s="245">
        <v>1</v>
      </c>
      <c r="AU129" s="260">
        <v>0</v>
      </c>
      <c r="AV129" s="93">
        <v>38.006616442790325</v>
      </c>
      <c r="AW129" s="104">
        <v>115.03756783234374</v>
      </c>
      <c r="AX129" s="93">
        <v>38.006616442790325</v>
      </c>
      <c r="AY129" s="243">
        <v>115.03756783234374</v>
      </c>
    </row>
    <row r="130" spans="1:51" ht="45">
      <c r="A130" s="113"/>
      <c r="B130" s="90" t="s">
        <v>1420</v>
      </c>
      <c r="C130" s="246" t="s">
        <v>11</v>
      </c>
      <c r="D130" s="253" t="s">
        <v>1414</v>
      </c>
      <c r="E130" s="253" t="s">
        <v>155</v>
      </c>
      <c r="F130" s="253" t="s">
        <v>1418</v>
      </c>
      <c r="G130" s="253" t="s">
        <v>127</v>
      </c>
      <c r="H130" s="246" t="s">
        <v>109</v>
      </c>
      <c r="I130" s="246" t="s">
        <v>142</v>
      </c>
      <c r="J130" s="246" t="s">
        <v>47</v>
      </c>
      <c r="K130" s="256" t="s">
        <v>49</v>
      </c>
      <c r="L130" s="250" t="s">
        <v>18</v>
      </c>
      <c r="M130" s="90">
        <v>0.33</v>
      </c>
      <c r="N130" s="251">
        <v>0.75</v>
      </c>
      <c r="O130" s="90">
        <v>1.08</v>
      </c>
      <c r="P130" s="93">
        <v>19.081969456246018</v>
      </c>
      <c r="Q130" s="93">
        <v>43.368112400559127</v>
      </c>
      <c r="R130" s="93">
        <v>57.75687396434946</v>
      </c>
      <c r="S130" s="104">
        <v>131.26562264624877</v>
      </c>
      <c r="T130" s="250" t="s">
        <v>18</v>
      </c>
      <c r="U130" s="90">
        <v>0.33</v>
      </c>
      <c r="V130" s="251">
        <v>0.75</v>
      </c>
      <c r="W130" s="90">
        <v>1.08</v>
      </c>
      <c r="X130" s="93">
        <v>19.081969456246018</v>
      </c>
      <c r="Y130" s="93">
        <v>43.368112400559127</v>
      </c>
      <c r="Z130" s="93">
        <v>57.75687396434946</v>
      </c>
      <c r="AA130" s="104">
        <v>131.26562264624877</v>
      </c>
      <c r="AB130" s="250" t="s">
        <v>107</v>
      </c>
      <c r="AC130" s="97">
        <v>0</v>
      </c>
      <c r="AD130" s="252">
        <v>0</v>
      </c>
      <c r="AE130" s="97">
        <v>0</v>
      </c>
      <c r="AF130" s="93">
        <v>0</v>
      </c>
      <c r="AG130" s="93">
        <v>0</v>
      </c>
      <c r="AH130" s="93">
        <v>0</v>
      </c>
      <c r="AI130" s="93">
        <v>0</v>
      </c>
      <c r="AJ130" s="247" t="s">
        <v>49</v>
      </c>
      <c r="AK130" s="246"/>
      <c r="AL130" s="93">
        <v>0</v>
      </c>
      <c r="AM130" s="93">
        <v>0</v>
      </c>
      <c r="AN130" s="254" t="s">
        <v>0</v>
      </c>
      <c r="AO130" s="246"/>
      <c r="AP130" s="92">
        <v>0</v>
      </c>
      <c r="AQ130" s="282">
        <v>0</v>
      </c>
      <c r="AR130" s="93">
        <v>0</v>
      </c>
      <c r="AS130" s="104">
        <v>0</v>
      </c>
      <c r="AT130" s="245">
        <v>1</v>
      </c>
      <c r="AU130" s="260">
        <v>0</v>
      </c>
      <c r="AV130" s="93">
        <v>124.90016371361028</v>
      </c>
      <c r="AW130" s="104">
        <v>378.04499322119648</v>
      </c>
      <c r="AX130" s="93">
        <v>124.90016371361028</v>
      </c>
      <c r="AY130" s="243">
        <v>378.04499322119648</v>
      </c>
    </row>
    <row r="131" spans="1:51" ht="45">
      <c r="A131" s="113"/>
      <c r="B131" s="90" t="s">
        <v>1421</v>
      </c>
      <c r="C131" s="246" t="s">
        <v>11</v>
      </c>
      <c r="D131" s="253" t="s">
        <v>1414</v>
      </c>
      <c r="E131" s="253" t="s">
        <v>155</v>
      </c>
      <c r="F131" s="253" t="s">
        <v>1418</v>
      </c>
      <c r="G131" s="253" t="s">
        <v>122</v>
      </c>
      <c r="H131" s="246" t="s">
        <v>109</v>
      </c>
      <c r="I131" s="246" t="s">
        <v>142</v>
      </c>
      <c r="J131" s="246" t="s">
        <v>113</v>
      </c>
      <c r="K131" s="256" t="s">
        <v>49</v>
      </c>
      <c r="L131" s="250" t="s">
        <v>18</v>
      </c>
      <c r="M131" s="90">
        <v>0.33</v>
      </c>
      <c r="N131" s="251">
        <v>0.75</v>
      </c>
      <c r="O131" s="90">
        <v>1.08</v>
      </c>
      <c r="P131" s="93">
        <v>25.084366852241615</v>
      </c>
      <c r="Q131" s="93">
        <v>57.00992466418549</v>
      </c>
      <c r="R131" s="93">
        <v>75.924794769346875</v>
      </c>
      <c r="S131" s="104">
        <v>172.55635174851562</v>
      </c>
      <c r="T131" s="250" t="s">
        <v>18</v>
      </c>
      <c r="U131" s="90">
        <v>0.33</v>
      </c>
      <c r="V131" s="251">
        <v>0.75</v>
      </c>
      <c r="W131" s="90">
        <v>1.08</v>
      </c>
      <c r="X131" s="93">
        <v>25.084366852241615</v>
      </c>
      <c r="Y131" s="93">
        <v>57.00992466418549</v>
      </c>
      <c r="Z131" s="93">
        <v>75.924794769346875</v>
      </c>
      <c r="AA131" s="104">
        <v>172.55635174851562</v>
      </c>
      <c r="AB131" s="250" t="s">
        <v>107</v>
      </c>
      <c r="AC131" s="97">
        <v>0</v>
      </c>
      <c r="AD131" s="252">
        <v>0</v>
      </c>
      <c r="AE131" s="97">
        <v>0</v>
      </c>
      <c r="AF131" s="93">
        <v>0</v>
      </c>
      <c r="AG131" s="93">
        <v>0</v>
      </c>
      <c r="AH131" s="93">
        <v>0</v>
      </c>
      <c r="AI131" s="93">
        <v>0</v>
      </c>
      <c r="AJ131" s="247" t="s">
        <v>49</v>
      </c>
      <c r="AK131" s="246"/>
      <c r="AL131" s="93">
        <v>0</v>
      </c>
      <c r="AM131" s="93">
        <v>0</v>
      </c>
      <c r="AN131" s="254" t="s">
        <v>0</v>
      </c>
      <c r="AO131" s="246"/>
      <c r="AP131" s="92">
        <v>0</v>
      </c>
      <c r="AQ131" s="282">
        <v>0</v>
      </c>
      <c r="AR131" s="93">
        <v>0</v>
      </c>
      <c r="AS131" s="104">
        <v>0</v>
      </c>
      <c r="AT131" s="245">
        <v>1</v>
      </c>
      <c r="AU131" s="260">
        <v>0</v>
      </c>
      <c r="AV131" s="93">
        <v>164.18858303285421</v>
      </c>
      <c r="AW131" s="104">
        <v>496.962293035725</v>
      </c>
      <c r="AX131" s="93">
        <v>164.18858303285421</v>
      </c>
      <c r="AY131" s="243">
        <v>496.962293035725</v>
      </c>
    </row>
    <row r="132" spans="1:51" ht="45">
      <c r="A132" s="113"/>
      <c r="B132" s="90" t="s">
        <v>1422</v>
      </c>
      <c r="C132" s="246" t="s">
        <v>11</v>
      </c>
      <c r="D132" s="253" t="s">
        <v>1414</v>
      </c>
      <c r="E132" s="253" t="s">
        <v>155</v>
      </c>
      <c r="F132" s="253" t="s">
        <v>1418</v>
      </c>
      <c r="G132" s="253" t="s">
        <v>1416</v>
      </c>
      <c r="H132" s="246" t="s">
        <v>109</v>
      </c>
      <c r="I132" s="246" t="s">
        <v>142</v>
      </c>
      <c r="J132" s="246" t="s">
        <v>47</v>
      </c>
      <c r="K132" s="256" t="s">
        <v>142</v>
      </c>
      <c r="L132" s="250" t="s">
        <v>18</v>
      </c>
      <c r="M132" s="90">
        <v>0.33</v>
      </c>
      <c r="N132" s="251">
        <v>0.75</v>
      </c>
      <c r="O132" s="90">
        <v>1.08</v>
      </c>
      <c r="P132" s="93">
        <v>19.081969456246018</v>
      </c>
      <c r="Q132" s="93">
        <v>43.368112400559127</v>
      </c>
      <c r="R132" s="93">
        <v>57.75687396434946</v>
      </c>
      <c r="S132" s="104">
        <v>131.26562264624877</v>
      </c>
      <c r="T132" s="250" t="s">
        <v>18</v>
      </c>
      <c r="U132" s="90">
        <v>0.33</v>
      </c>
      <c r="V132" s="251">
        <v>0.75</v>
      </c>
      <c r="W132" s="90">
        <v>1.08</v>
      </c>
      <c r="X132" s="93">
        <v>19.081969456246018</v>
      </c>
      <c r="Y132" s="93">
        <v>43.368112400559127</v>
      </c>
      <c r="Z132" s="93">
        <v>57.75687396434946</v>
      </c>
      <c r="AA132" s="104">
        <v>131.26562264624877</v>
      </c>
      <c r="AB132" s="250" t="s">
        <v>107</v>
      </c>
      <c r="AC132" s="97">
        <v>0</v>
      </c>
      <c r="AD132" s="252">
        <v>0</v>
      </c>
      <c r="AE132" s="97">
        <v>0</v>
      </c>
      <c r="AF132" s="93">
        <v>0</v>
      </c>
      <c r="AG132" s="93">
        <v>0</v>
      </c>
      <c r="AH132" s="93">
        <v>0</v>
      </c>
      <c r="AI132" s="93">
        <v>0</v>
      </c>
      <c r="AJ132" s="247" t="s">
        <v>49</v>
      </c>
      <c r="AK132" s="246"/>
      <c r="AL132" s="93">
        <v>0</v>
      </c>
      <c r="AM132" s="93">
        <v>0</v>
      </c>
      <c r="AN132" s="254" t="s">
        <v>0</v>
      </c>
      <c r="AO132" s="246"/>
      <c r="AP132" s="92">
        <v>0</v>
      </c>
      <c r="AQ132" s="282">
        <v>0</v>
      </c>
      <c r="AR132" s="93">
        <v>700.3791783912435</v>
      </c>
      <c r="AS132" s="104">
        <v>801.19082556287378</v>
      </c>
      <c r="AT132" s="245">
        <v>1</v>
      </c>
      <c r="AU132" s="260">
        <v>0</v>
      </c>
      <c r="AV132" s="93">
        <v>124.90016371361028</v>
      </c>
      <c r="AW132" s="104">
        <v>378.04499322119648</v>
      </c>
      <c r="AX132" s="93">
        <v>825.27934210485375</v>
      </c>
      <c r="AY132" s="243">
        <v>1179.2358187840703</v>
      </c>
    </row>
    <row r="133" spans="1:51" ht="45">
      <c r="A133" s="113"/>
      <c r="B133" s="90" t="s">
        <v>1423</v>
      </c>
      <c r="C133" s="246" t="s">
        <v>11</v>
      </c>
      <c r="D133" s="253" t="s">
        <v>1414</v>
      </c>
      <c r="E133" s="253" t="s">
        <v>155</v>
      </c>
      <c r="F133" s="253" t="s">
        <v>1418</v>
      </c>
      <c r="G133" s="253" t="s">
        <v>1417</v>
      </c>
      <c r="H133" s="246" t="s">
        <v>109</v>
      </c>
      <c r="I133" s="246" t="s">
        <v>142</v>
      </c>
      <c r="J133" s="246" t="s">
        <v>113</v>
      </c>
      <c r="K133" s="256" t="s">
        <v>142</v>
      </c>
      <c r="L133" s="250" t="s">
        <v>18</v>
      </c>
      <c r="M133" s="90">
        <v>0.33</v>
      </c>
      <c r="N133" s="251">
        <v>0.75</v>
      </c>
      <c r="O133" s="90">
        <v>1.08</v>
      </c>
      <c r="P133" s="93">
        <v>25.084366852241615</v>
      </c>
      <c r="Q133" s="93">
        <v>57.00992466418549</v>
      </c>
      <c r="R133" s="93">
        <v>75.924794769346875</v>
      </c>
      <c r="S133" s="104">
        <v>172.55635174851562</v>
      </c>
      <c r="T133" s="250" t="s">
        <v>18</v>
      </c>
      <c r="U133" s="90">
        <v>0.33</v>
      </c>
      <c r="V133" s="251">
        <v>0.75</v>
      </c>
      <c r="W133" s="90">
        <v>1.08</v>
      </c>
      <c r="X133" s="93">
        <v>25.084366852241615</v>
      </c>
      <c r="Y133" s="93">
        <v>57.00992466418549</v>
      </c>
      <c r="Z133" s="93">
        <v>75.924794769346875</v>
      </c>
      <c r="AA133" s="104">
        <v>172.55635174851562</v>
      </c>
      <c r="AB133" s="250" t="s">
        <v>107</v>
      </c>
      <c r="AC133" s="97">
        <v>0</v>
      </c>
      <c r="AD133" s="252">
        <v>0</v>
      </c>
      <c r="AE133" s="97">
        <v>0</v>
      </c>
      <c r="AF133" s="93">
        <v>0</v>
      </c>
      <c r="AG133" s="93">
        <v>0</v>
      </c>
      <c r="AH133" s="93">
        <v>0</v>
      </c>
      <c r="AI133" s="93">
        <v>0</v>
      </c>
      <c r="AJ133" s="247" t="s">
        <v>49</v>
      </c>
      <c r="AK133" s="246"/>
      <c r="AL133" s="93">
        <v>0</v>
      </c>
      <c r="AM133" s="93">
        <v>0</v>
      </c>
      <c r="AN133" s="254" t="s">
        <v>0</v>
      </c>
      <c r="AO133" s="246"/>
      <c r="AP133" s="92">
        <v>0</v>
      </c>
      <c r="AQ133" s="282">
        <v>0</v>
      </c>
      <c r="AR133" s="93">
        <v>700.3791783912435</v>
      </c>
      <c r="AS133" s="104">
        <v>801.19082556287378</v>
      </c>
      <c r="AT133" s="245">
        <v>1</v>
      </c>
      <c r="AU133" s="260">
        <v>0</v>
      </c>
      <c r="AV133" s="93">
        <v>164.18858303285421</v>
      </c>
      <c r="AW133" s="104">
        <v>496.962293035725</v>
      </c>
      <c r="AX133" s="93">
        <v>864.56776142409774</v>
      </c>
      <c r="AY133" s="243">
        <v>1298.1531185985987</v>
      </c>
    </row>
    <row r="134" spans="1:51" ht="45">
      <c r="A134" s="113"/>
      <c r="B134" s="90" t="s">
        <v>1424</v>
      </c>
      <c r="C134" s="246" t="s">
        <v>11</v>
      </c>
      <c r="D134" s="253" t="s">
        <v>1414</v>
      </c>
      <c r="E134" s="253" t="s">
        <v>155</v>
      </c>
      <c r="F134" s="253" t="s">
        <v>1418</v>
      </c>
      <c r="G134" s="253" t="s">
        <v>127</v>
      </c>
      <c r="H134" s="246" t="s">
        <v>110</v>
      </c>
      <c r="I134" s="246" t="s">
        <v>142</v>
      </c>
      <c r="J134" s="246" t="s">
        <v>47</v>
      </c>
      <c r="K134" s="256" t="s">
        <v>49</v>
      </c>
      <c r="L134" s="250" t="s">
        <v>18</v>
      </c>
      <c r="M134" s="90">
        <v>2</v>
      </c>
      <c r="N134" s="251">
        <v>0.75</v>
      </c>
      <c r="O134" s="90">
        <v>2.75</v>
      </c>
      <c r="P134" s="93">
        <v>115.64829973482435</v>
      </c>
      <c r="Q134" s="93">
        <v>43.368112400559127</v>
      </c>
      <c r="R134" s="93">
        <v>350.04166038999676</v>
      </c>
      <c r="S134" s="104">
        <v>131.26562264624877</v>
      </c>
      <c r="T134" s="250" t="s">
        <v>18</v>
      </c>
      <c r="U134" s="90">
        <v>2</v>
      </c>
      <c r="V134" s="251">
        <v>0.75</v>
      </c>
      <c r="W134" s="90">
        <v>2.75</v>
      </c>
      <c r="X134" s="93">
        <v>115.64829973482435</v>
      </c>
      <c r="Y134" s="93">
        <v>43.368112400559127</v>
      </c>
      <c r="Z134" s="93">
        <v>350.04166038999676</v>
      </c>
      <c r="AA134" s="104">
        <v>131.26562264624877</v>
      </c>
      <c r="AB134" s="250" t="s">
        <v>107</v>
      </c>
      <c r="AC134" s="97">
        <v>0</v>
      </c>
      <c r="AD134" s="252">
        <v>0</v>
      </c>
      <c r="AE134" s="97">
        <v>0</v>
      </c>
      <c r="AF134" s="93">
        <v>0</v>
      </c>
      <c r="AG134" s="93">
        <v>0</v>
      </c>
      <c r="AH134" s="93">
        <v>0</v>
      </c>
      <c r="AI134" s="93">
        <v>0</v>
      </c>
      <c r="AJ134" s="247" t="s">
        <v>49</v>
      </c>
      <c r="AK134" s="246"/>
      <c r="AL134" s="93">
        <v>0</v>
      </c>
      <c r="AM134" s="93">
        <v>0</v>
      </c>
      <c r="AN134" s="254" t="s">
        <v>0</v>
      </c>
      <c r="AO134" s="246"/>
      <c r="AP134" s="92">
        <v>0</v>
      </c>
      <c r="AQ134" s="282">
        <v>0</v>
      </c>
      <c r="AR134" s="93">
        <v>0</v>
      </c>
      <c r="AS134" s="104">
        <v>0</v>
      </c>
      <c r="AT134" s="245">
        <v>1</v>
      </c>
      <c r="AU134" s="260">
        <v>0</v>
      </c>
      <c r="AV134" s="93">
        <v>318.03282427076698</v>
      </c>
      <c r="AW134" s="104">
        <v>962.61456607249102</v>
      </c>
      <c r="AX134" s="93">
        <v>318.03282427076698</v>
      </c>
      <c r="AY134" s="243">
        <v>962.61456607249102</v>
      </c>
    </row>
    <row r="135" spans="1:51" ht="45">
      <c r="A135" s="113"/>
      <c r="B135" s="90" t="s">
        <v>1425</v>
      </c>
      <c r="C135" s="246" t="s">
        <v>11</v>
      </c>
      <c r="D135" s="253" t="s">
        <v>1414</v>
      </c>
      <c r="E135" s="253" t="s">
        <v>155</v>
      </c>
      <c r="F135" s="253" t="s">
        <v>1418</v>
      </c>
      <c r="G135" s="253" t="s">
        <v>122</v>
      </c>
      <c r="H135" s="246" t="s">
        <v>110</v>
      </c>
      <c r="I135" s="246" t="s">
        <v>142</v>
      </c>
      <c r="J135" s="246" t="s">
        <v>113</v>
      </c>
      <c r="K135" s="256" t="s">
        <v>49</v>
      </c>
      <c r="L135" s="250" t="s">
        <v>18</v>
      </c>
      <c r="M135" s="90">
        <v>2</v>
      </c>
      <c r="N135" s="251">
        <v>0.75</v>
      </c>
      <c r="O135" s="90">
        <v>2.75</v>
      </c>
      <c r="P135" s="93">
        <v>152.0264657711613</v>
      </c>
      <c r="Q135" s="93">
        <v>57.00992466418549</v>
      </c>
      <c r="R135" s="93">
        <v>460.15027132937496</v>
      </c>
      <c r="S135" s="104">
        <v>172.55635174851562</v>
      </c>
      <c r="T135" s="250" t="s">
        <v>18</v>
      </c>
      <c r="U135" s="90">
        <v>2</v>
      </c>
      <c r="V135" s="251">
        <v>0.75</v>
      </c>
      <c r="W135" s="90">
        <v>2.75</v>
      </c>
      <c r="X135" s="93">
        <v>152.0264657711613</v>
      </c>
      <c r="Y135" s="93">
        <v>57.00992466418549</v>
      </c>
      <c r="Z135" s="93">
        <v>460.15027132937496</v>
      </c>
      <c r="AA135" s="104">
        <v>172.55635174851562</v>
      </c>
      <c r="AB135" s="250" t="s">
        <v>107</v>
      </c>
      <c r="AC135" s="97">
        <v>0</v>
      </c>
      <c r="AD135" s="252">
        <v>0</v>
      </c>
      <c r="AE135" s="97">
        <v>0</v>
      </c>
      <c r="AF135" s="93">
        <v>0</v>
      </c>
      <c r="AG135" s="93">
        <v>0</v>
      </c>
      <c r="AH135" s="93">
        <v>0</v>
      </c>
      <c r="AI135" s="93">
        <v>0</v>
      </c>
      <c r="AJ135" s="247" t="s">
        <v>49</v>
      </c>
      <c r="AK135" s="246"/>
      <c r="AL135" s="93">
        <v>0</v>
      </c>
      <c r="AM135" s="93">
        <v>0</v>
      </c>
      <c r="AN135" s="254" t="s">
        <v>0</v>
      </c>
      <c r="AO135" s="246"/>
      <c r="AP135" s="92">
        <v>0</v>
      </c>
      <c r="AQ135" s="282">
        <v>0</v>
      </c>
      <c r="AR135" s="93">
        <v>0</v>
      </c>
      <c r="AS135" s="104">
        <v>0</v>
      </c>
      <c r="AT135" s="245">
        <v>1</v>
      </c>
      <c r="AU135" s="260">
        <v>0</v>
      </c>
      <c r="AV135" s="93">
        <v>418.07278087069358</v>
      </c>
      <c r="AW135" s="104">
        <v>1265.4132461557811</v>
      </c>
      <c r="AX135" s="93">
        <v>418.07278087069358</v>
      </c>
      <c r="AY135" s="243">
        <v>1265.4132461557811</v>
      </c>
    </row>
    <row r="136" spans="1:51" ht="45">
      <c r="A136" s="113"/>
      <c r="B136" s="90" t="s">
        <v>1426</v>
      </c>
      <c r="C136" s="246" t="s">
        <v>11</v>
      </c>
      <c r="D136" s="253" t="s">
        <v>1414</v>
      </c>
      <c r="E136" s="253" t="s">
        <v>155</v>
      </c>
      <c r="F136" s="253" t="s">
        <v>1418</v>
      </c>
      <c r="G136" s="253" t="s">
        <v>1416</v>
      </c>
      <c r="H136" s="246" t="s">
        <v>110</v>
      </c>
      <c r="I136" s="246" t="s">
        <v>142</v>
      </c>
      <c r="J136" s="246" t="s">
        <v>47</v>
      </c>
      <c r="K136" s="256" t="s">
        <v>142</v>
      </c>
      <c r="L136" s="250" t="s">
        <v>18</v>
      </c>
      <c r="M136" s="90">
        <v>2</v>
      </c>
      <c r="N136" s="251">
        <v>0.75</v>
      </c>
      <c r="O136" s="90">
        <v>2.75</v>
      </c>
      <c r="P136" s="93">
        <v>115.64829973482435</v>
      </c>
      <c r="Q136" s="93">
        <v>43.368112400559127</v>
      </c>
      <c r="R136" s="93">
        <v>350.04166038999676</v>
      </c>
      <c r="S136" s="104">
        <v>131.26562264624877</v>
      </c>
      <c r="T136" s="250" t="s">
        <v>18</v>
      </c>
      <c r="U136" s="90">
        <v>2</v>
      </c>
      <c r="V136" s="251">
        <v>0.75</v>
      </c>
      <c r="W136" s="90">
        <v>2.75</v>
      </c>
      <c r="X136" s="93">
        <v>115.64829973482435</v>
      </c>
      <c r="Y136" s="93">
        <v>43.368112400559127</v>
      </c>
      <c r="Z136" s="93">
        <v>350.04166038999676</v>
      </c>
      <c r="AA136" s="104">
        <v>131.26562264624877</v>
      </c>
      <c r="AB136" s="250" t="s">
        <v>107</v>
      </c>
      <c r="AC136" s="97">
        <v>0</v>
      </c>
      <c r="AD136" s="252">
        <v>0</v>
      </c>
      <c r="AE136" s="97">
        <v>0</v>
      </c>
      <c r="AF136" s="93">
        <v>0</v>
      </c>
      <c r="AG136" s="93">
        <v>0</v>
      </c>
      <c r="AH136" s="93">
        <v>0</v>
      </c>
      <c r="AI136" s="93">
        <v>0</v>
      </c>
      <c r="AJ136" s="247" t="s">
        <v>49</v>
      </c>
      <c r="AK136" s="246"/>
      <c r="AL136" s="93">
        <v>0</v>
      </c>
      <c r="AM136" s="93">
        <v>0</v>
      </c>
      <c r="AN136" s="254" t="s">
        <v>0</v>
      </c>
      <c r="AO136" s="246"/>
      <c r="AP136" s="92">
        <v>0</v>
      </c>
      <c r="AQ136" s="282">
        <v>0</v>
      </c>
      <c r="AR136" s="93">
        <v>700.3791783912435</v>
      </c>
      <c r="AS136" s="104">
        <v>801.19082556287378</v>
      </c>
      <c r="AT136" s="245">
        <v>1</v>
      </c>
      <c r="AU136" s="260">
        <v>0</v>
      </c>
      <c r="AV136" s="93">
        <v>318.03282427076698</v>
      </c>
      <c r="AW136" s="104">
        <v>962.61456607249102</v>
      </c>
      <c r="AX136" s="93">
        <v>1018.4120026620105</v>
      </c>
      <c r="AY136" s="243">
        <v>1763.8053916353647</v>
      </c>
    </row>
    <row r="137" spans="1:51" ht="45">
      <c r="A137" s="113"/>
      <c r="B137" s="90" t="s">
        <v>1427</v>
      </c>
      <c r="C137" s="246" t="s">
        <v>11</v>
      </c>
      <c r="D137" s="253" t="s">
        <v>1414</v>
      </c>
      <c r="E137" s="253" t="s">
        <v>155</v>
      </c>
      <c r="F137" s="253" t="s">
        <v>1418</v>
      </c>
      <c r="G137" s="253" t="s">
        <v>1417</v>
      </c>
      <c r="H137" s="246" t="s">
        <v>110</v>
      </c>
      <c r="I137" s="246" t="s">
        <v>142</v>
      </c>
      <c r="J137" s="246" t="s">
        <v>113</v>
      </c>
      <c r="K137" s="256" t="s">
        <v>142</v>
      </c>
      <c r="L137" s="250" t="s">
        <v>18</v>
      </c>
      <c r="M137" s="90">
        <v>2</v>
      </c>
      <c r="N137" s="251">
        <v>0.75</v>
      </c>
      <c r="O137" s="90">
        <v>2.75</v>
      </c>
      <c r="P137" s="93">
        <v>152.0264657711613</v>
      </c>
      <c r="Q137" s="93">
        <v>57.00992466418549</v>
      </c>
      <c r="R137" s="93">
        <v>460.15027132937496</v>
      </c>
      <c r="S137" s="104">
        <v>172.55635174851562</v>
      </c>
      <c r="T137" s="250" t="s">
        <v>18</v>
      </c>
      <c r="U137" s="90">
        <v>2</v>
      </c>
      <c r="V137" s="251">
        <v>0.75</v>
      </c>
      <c r="W137" s="90">
        <v>2.75</v>
      </c>
      <c r="X137" s="93">
        <v>152.0264657711613</v>
      </c>
      <c r="Y137" s="93">
        <v>57.00992466418549</v>
      </c>
      <c r="Z137" s="93">
        <v>460.15027132937496</v>
      </c>
      <c r="AA137" s="104">
        <v>172.55635174851562</v>
      </c>
      <c r="AB137" s="250" t="s">
        <v>107</v>
      </c>
      <c r="AC137" s="97">
        <v>0</v>
      </c>
      <c r="AD137" s="252">
        <v>0</v>
      </c>
      <c r="AE137" s="97">
        <v>0</v>
      </c>
      <c r="AF137" s="93">
        <v>0</v>
      </c>
      <c r="AG137" s="93">
        <v>0</v>
      </c>
      <c r="AH137" s="93">
        <v>0</v>
      </c>
      <c r="AI137" s="93">
        <v>0</v>
      </c>
      <c r="AJ137" s="247" t="s">
        <v>49</v>
      </c>
      <c r="AK137" s="246"/>
      <c r="AL137" s="93">
        <v>0</v>
      </c>
      <c r="AM137" s="93">
        <v>0</v>
      </c>
      <c r="AN137" s="254" t="s">
        <v>0</v>
      </c>
      <c r="AO137" s="246"/>
      <c r="AP137" s="92">
        <v>0</v>
      </c>
      <c r="AQ137" s="282">
        <v>0</v>
      </c>
      <c r="AR137" s="93">
        <v>700.3791783912435</v>
      </c>
      <c r="AS137" s="104">
        <v>801.19082556287378</v>
      </c>
      <c r="AT137" s="245">
        <v>1</v>
      </c>
      <c r="AU137" s="260">
        <v>0</v>
      </c>
      <c r="AV137" s="93">
        <v>418.07278087069358</v>
      </c>
      <c r="AW137" s="104">
        <v>1265.4132461557811</v>
      </c>
      <c r="AX137" s="93">
        <v>1118.4519592619372</v>
      </c>
      <c r="AY137" s="243">
        <v>2066.6040717186547</v>
      </c>
    </row>
    <row r="138" spans="1:51" ht="60">
      <c r="A138" s="113" t="s">
        <v>944</v>
      </c>
      <c r="B138" s="90" t="s">
        <v>922</v>
      </c>
      <c r="C138" s="246" t="s">
        <v>11</v>
      </c>
      <c r="D138" s="253" t="s">
        <v>1414</v>
      </c>
      <c r="E138" s="253" t="s">
        <v>221</v>
      </c>
      <c r="F138" s="253" t="s">
        <v>1445</v>
      </c>
      <c r="G138" s="253" t="s">
        <v>222</v>
      </c>
      <c r="H138" s="246" t="s">
        <v>109</v>
      </c>
      <c r="I138" s="246" t="s">
        <v>142</v>
      </c>
      <c r="J138" s="246" t="s">
        <v>47</v>
      </c>
      <c r="K138" s="256" t="s">
        <v>49</v>
      </c>
      <c r="L138" s="250" t="s">
        <v>18</v>
      </c>
      <c r="M138" s="90">
        <v>0.33</v>
      </c>
      <c r="N138" s="251">
        <v>2</v>
      </c>
      <c r="O138" s="90">
        <v>2.33</v>
      </c>
      <c r="P138" s="93">
        <v>19.081969456246018</v>
      </c>
      <c r="Q138" s="93">
        <v>115.64829973482435</v>
      </c>
      <c r="R138" s="93">
        <v>57.75687396434946</v>
      </c>
      <c r="S138" s="104">
        <v>350.04166038999676</v>
      </c>
      <c r="T138" s="250" t="s">
        <v>18</v>
      </c>
      <c r="U138" s="90">
        <v>0.33</v>
      </c>
      <c r="V138" s="251">
        <v>2</v>
      </c>
      <c r="W138" s="90">
        <v>2.33</v>
      </c>
      <c r="X138" s="93">
        <v>19.081969456246018</v>
      </c>
      <c r="Y138" s="93">
        <v>115.64829973482435</v>
      </c>
      <c r="Z138" s="93">
        <v>57.75687396434946</v>
      </c>
      <c r="AA138" s="104">
        <v>350.04166038999676</v>
      </c>
      <c r="AB138" s="250" t="s">
        <v>107</v>
      </c>
      <c r="AC138" s="97">
        <v>0</v>
      </c>
      <c r="AD138" s="252">
        <v>0</v>
      </c>
      <c r="AE138" s="97">
        <v>0</v>
      </c>
      <c r="AF138" s="93">
        <v>0</v>
      </c>
      <c r="AG138" s="93">
        <v>0</v>
      </c>
      <c r="AH138" s="93">
        <v>0</v>
      </c>
      <c r="AI138" s="93">
        <v>0</v>
      </c>
      <c r="AJ138" s="247" t="s">
        <v>49</v>
      </c>
      <c r="AK138" s="246"/>
      <c r="AL138" s="93">
        <v>0</v>
      </c>
      <c r="AM138" s="93">
        <v>0</v>
      </c>
      <c r="AN138" s="254" t="s">
        <v>1399</v>
      </c>
      <c r="AO138" s="246">
        <v>1</v>
      </c>
      <c r="AP138" s="92">
        <v>157.69700774742554</v>
      </c>
      <c r="AQ138" s="282">
        <v>234.62561771643146</v>
      </c>
      <c r="AR138" s="93">
        <v>0</v>
      </c>
      <c r="AS138" s="104">
        <v>0</v>
      </c>
      <c r="AT138" s="245">
        <v>1</v>
      </c>
      <c r="AU138" s="260">
        <v>0</v>
      </c>
      <c r="AV138" s="93">
        <v>269.46053838214073</v>
      </c>
      <c r="AW138" s="104">
        <v>815.5970687086924</v>
      </c>
      <c r="AX138" s="93">
        <v>427.1575461295663</v>
      </c>
      <c r="AY138" s="243">
        <v>1050.2226864251238</v>
      </c>
    </row>
    <row r="139" spans="1:51" ht="60">
      <c r="A139" s="113" t="s">
        <v>945</v>
      </c>
      <c r="B139" s="90" t="s">
        <v>923</v>
      </c>
      <c r="C139" s="246" t="s">
        <v>11</v>
      </c>
      <c r="D139" s="253" t="s">
        <v>1414</v>
      </c>
      <c r="E139" s="253" t="s">
        <v>221</v>
      </c>
      <c r="F139" s="253" t="s">
        <v>1445</v>
      </c>
      <c r="G139" s="253" t="s">
        <v>222</v>
      </c>
      <c r="H139" s="246" t="s">
        <v>110</v>
      </c>
      <c r="I139" s="246" t="s">
        <v>142</v>
      </c>
      <c r="J139" s="246" t="s">
        <v>47</v>
      </c>
      <c r="K139" s="256" t="s">
        <v>49</v>
      </c>
      <c r="L139" s="250" t="s">
        <v>18</v>
      </c>
      <c r="M139" s="90">
        <v>2</v>
      </c>
      <c r="N139" s="251">
        <v>2</v>
      </c>
      <c r="O139" s="90">
        <v>4</v>
      </c>
      <c r="P139" s="93">
        <v>115.64829973482435</v>
      </c>
      <c r="Q139" s="93">
        <v>115.64829973482435</v>
      </c>
      <c r="R139" s="93">
        <v>350.04166038999676</v>
      </c>
      <c r="S139" s="104">
        <v>350.04166038999676</v>
      </c>
      <c r="T139" s="250" t="s">
        <v>18</v>
      </c>
      <c r="U139" s="90">
        <v>2</v>
      </c>
      <c r="V139" s="251">
        <v>2</v>
      </c>
      <c r="W139" s="90">
        <v>4</v>
      </c>
      <c r="X139" s="93">
        <v>115.64829973482435</v>
      </c>
      <c r="Y139" s="93">
        <v>115.64829973482435</v>
      </c>
      <c r="Z139" s="93">
        <v>350.04166038999676</v>
      </c>
      <c r="AA139" s="104">
        <v>350.04166038999676</v>
      </c>
      <c r="AB139" s="250" t="s">
        <v>107</v>
      </c>
      <c r="AC139" s="97">
        <v>0</v>
      </c>
      <c r="AD139" s="252">
        <v>0</v>
      </c>
      <c r="AE139" s="97">
        <v>0</v>
      </c>
      <c r="AF139" s="93">
        <v>0</v>
      </c>
      <c r="AG139" s="93">
        <v>0</v>
      </c>
      <c r="AH139" s="93">
        <v>0</v>
      </c>
      <c r="AI139" s="93">
        <v>0</v>
      </c>
      <c r="AJ139" s="247" t="s">
        <v>49</v>
      </c>
      <c r="AK139" s="246"/>
      <c r="AL139" s="93">
        <v>0</v>
      </c>
      <c r="AM139" s="93">
        <v>0</v>
      </c>
      <c r="AN139" s="254" t="s">
        <v>1399</v>
      </c>
      <c r="AO139" s="246">
        <v>1</v>
      </c>
      <c r="AP139" s="92">
        <v>157.69700774742554</v>
      </c>
      <c r="AQ139" s="282">
        <v>234.62561771643146</v>
      </c>
      <c r="AR139" s="93">
        <v>0</v>
      </c>
      <c r="AS139" s="104">
        <v>0</v>
      </c>
      <c r="AT139" s="245">
        <v>1</v>
      </c>
      <c r="AU139" s="260">
        <v>0</v>
      </c>
      <c r="AV139" s="93">
        <v>462.59319893929739</v>
      </c>
      <c r="AW139" s="104">
        <v>1400.1666415599871</v>
      </c>
      <c r="AX139" s="93">
        <v>620.29020668672297</v>
      </c>
      <c r="AY139" s="243">
        <v>1634.7922592764185</v>
      </c>
    </row>
    <row r="140" spans="1:51" ht="65.25" customHeight="1">
      <c r="A140" s="113" t="s">
        <v>946</v>
      </c>
      <c r="B140" s="90" t="s">
        <v>924</v>
      </c>
      <c r="C140" s="246" t="s">
        <v>11</v>
      </c>
      <c r="D140" s="253" t="s">
        <v>1414</v>
      </c>
      <c r="E140" s="253" t="s">
        <v>221</v>
      </c>
      <c r="F140" s="253" t="s">
        <v>1445</v>
      </c>
      <c r="G140" s="253" t="s">
        <v>349</v>
      </c>
      <c r="H140" s="246" t="s">
        <v>109</v>
      </c>
      <c r="I140" s="246" t="s">
        <v>142</v>
      </c>
      <c r="J140" s="246" t="s">
        <v>47</v>
      </c>
      <c r="K140" s="256" t="s">
        <v>142</v>
      </c>
      <c r="L140" s="250" t="s">
        <v>18</v>
      </c>
      <c r="M140" s="90">
        <v>0.33</v>
      </c>
      <c r="N140" s="251">
        <v>2</v>
      </c>
      <c r="O140" s="90">
        <v>2.33</v>
      </c>
      <c r="P140" s="93">
        <v>19.081969456246018</v>
      </c>
      <c r="Q140" s="93">
        <v>115.64829973482435</v>
      </c>
      <c r="R140" s="93">
        <v>57.75687396434946</v>
      </c>
      <c r="S140" s="104">
        <v>350.04166038999676</v>
      </c>
      <c r="T140" s="250" t="s">
        <v>18</v>
      </c>
      <c r="U140" s="90">
        <v>0.33</v>
      </c>
      <c r="V140" s="251">
        <v>2</v>
      </c>
      <c r="W140" s="90">
        <v>2.33</v>
      </c>
      <c r="X140" s="93">
        <v>19.081969456246018</v>
      </c>
      <c r="Y140" s="93">
        <v>115.64829973482435</v>
      </c>
      <c r="Z140" s="93">
        <v>57.75687396434946</v>
      </c>
      <c r="AA140" s="104">
        <v>350.04166038999676</v>
      </c>
      <c r="AB140" s="250" t="s">
        <v>107</v>
      </c>
      <c r="AC140" s="97">
        <v>0</v>
      </c>
      <c r="AD140" s="252">
        <v>0</v>
      </c>
      <c r="AE140" s="97">
        <v>0</v>
      </c>
      <c r="AF140" s="93">
        <v>0</v>
      </c>
      <c r="AG140" s="93">
        <v>0</v>
      </c>
      <c r="AH140" s="93">
        <v>0</v>
      </c>
      <c r="AI140" s="93">
        <v>0</v>
      </c>
      <c r="AJ140" s="247" t="s">
        <v>49</v>
      </c>
      <c r="AK140" s="246"/>
      <c r="AL140" s="93">
        <v>0</v>
      </c>
      <c r="AM140" s="93">
        <v>0</v>
      </c>
      <c r="AN140" s="254" t="s">
        <v>1399</v>
      </c>
      <c r="AO140" s="246">
        <v>1</v>
      </c>
      <c r="AP140" s="92">
        <v>157.69700774742554</v>
      </c>
      <c r="AQ140" s="282">
        <v>234.62561771643146</v>
      </c>
      <c r="AR140" s="93">
        <v>700.3791783912435</v>
      </c>
      <c r="AS140" s="104">
        <v>801.19082556287378</v>
      </c>
      <c r="AT140" s="245">
        <v>1</v>
      </c>
      <c r="AU140" s="260">
        <v>0</v>
      </c>
      <c r="AV140" s="93">
        <v>269.46053838214073</v>
      </c>
      <c r="AW140" s="104">
        <v>815.5970687086924</v>
      </c>
      <c r="AX140" s="93">
        <v>1127.5367245208099</v>
      </c>
      <c r="AY140" s="243">
        <v>1851.4135119879977</v>
      </c>
    </row>
    <row r="141" spans="1:51" ht="63" customHeight="1">
      <c r="A141" s="113" t="s">
        <v>947</v>
      </c>
      <c r="B141" s="90" t="s">
        <v>925</v>
      </c>
      <c r="C141" s="246" t="s">
        <v>11</v>
      </c>
      <c r="D141" s="253" t="s">
        <v>1414</v>
      </c>
      <c r="E141" s="253" t="s">
        <v>221</v>
      </c>
      <c r="F141" s="253" t="s">
        <v>1445</v>
      </c>
      <c r="G141" s="253" t="s">
        <v>349</v>
      </c>
      <c r="H141" s="246" t="s">
        <v>110</v>
      </c>
      <c r="I141" s="246" t="s">
        <v>142</v>
      </c>
      <c r="J141" s="246" t="s">
        <v>47</v>
      </c>
      <c r="K141" s="256" t="s">
        <v>142</v>
      </c>
      <c r="L141" s="250" t="s">
        <v>18</v>
      </c>
      <c r="M141" s="90">
        <v>2</v>
      </c>
      <c r="N141" s="251">
        <v>2</v>
      </c>
      <c r="O141" s="90">
        <v>4</v>
      </c>
      <c r="P141" s="93">
        <v>115.64829973482435</v>
      </c>
      <c r="Q141" s="93">
        <v>115.64829973482435</v>
      </c>
      <c r="R141" s="93">
        <v>350.04166038999676</v>
      </c>
      <c r="S141" s="104">
        <v>350.04166038999676</v>
      </c>
      <c r="T141" s="250" t="s">
        <v>18</v>
      </c>
      <c r="U141" s="90">
        <v>2</v>
      </c>
      <c r="V141" s="251">
        <v>2</v>
      </c>
      <c r="W141" s="90">
        <v>4</v>
      </c>
      <c r="X141" s="93">
        <v>115.64829973482435</v>
      </c>
      <c r="Y141" s="93">
        <v>115.64829973482435</v>
      </c>
      <c r="Z141" s="93">
        <v>350.04166038999676</v>
      </c>
      <c r="AA141" s="104">
        <v>350.04166038999676</v>
      </c>
      <c r="AB141" s="250" t="s">
        <v>107</v>
      </c>
      <c r="AC141" s="97">
        <v>0</v>
      </c>
      <c r="AD141" s="252">
        <v>0</v>
      </c>
      <c r="AE141" s="97">
        <v>0</v>
      </c>
      <c r="AF141" s="93">
        <v>0</v>
      </c>
      <c r="AG141" s="93">
        <v>0</v>
      </c>
      <c r="AH141" s="93">
        <v>0</v>
      </c>
      <c r="AI141" s="93">
        <v>0</v>
      </c>
      <c r="AJ141" s="247" t="s">
        <v>49</v>
      </c>
      <c r="AK141" s="246"/>
      <c r="AL141" s="93">
        <v>0</v>
      </c>
      <c r="AM141" s="93">
        <v>0</v>
      </c>
      <c r="AN141" s="254" t="s">
        <v>1399</v>
      </c>
      <c r="AO141" s="246">
        <v>1</v>
      </c>
      <c r="AP141" s="92">
        <v>157.69700774742554</v>
      </c>
      <c r="AQ141" s="282">
        <v>234.62561771643146</v>
      </c>
      <c r="AR141" s="93">
        <v>700.3791783912435</v>
      </c>
      <c r="AS141" s="104">
        <v>801.19082556287378</v>
      </c>
      <c r="AT141" s="245">
        <v>1</v>
      </c>
      <c r="AU141" s="260">
        <v>0</v>
      </c>
      <c r="AV141" s="93">
        <v>462.59319893929739</v>
      </c>
      <c r="AW141" s="104">
        <v>1400.1666415599871</v>
      </c>
      <c r="AX141" s="93">
        <v>1320.6693850779666</v>
      </c>
      <c r="AY141" s="243">
        <v>2435.9830848392921</v>
      </c>
    </row>
    <row r="142" spans="1:51" ht="66.75" customHeight="1">
      <c r="A142" s="113" t="s">
        <v>948</v>
      </c>
      <c r="B142" s="90" t="s">
        <v>926</v>
      </c>
      <c r="C142" s="246" t="s">
        <v>11</v>
      </c>
      <c r="D142" s="253" t="s">
        <v>1414</v>
      </c>
      <c r="E142" s="253" t="s">
        <v>221</v>
      </c>
      <c r="F142" s="253" t="s">
        <v>1445</v>
      </c>
      <c r="G142" s="253" t="s">
        <v>223</v>
      </c>
      <c r="H142" s="246" t="s">
        <v>109</v>
      </c>
      <c r="I142" s="246" t="s">
        <v>142</v>
      </c>
      <c r="J142" s="246" t="s">
        <v>47</v>
      </c>
      <c r="K142" s="256" t="s">
        <v>49</v>
      </c>
      <c r="L142" s="250" t="s">
        <v>18</v>
      </c>
      <c r="M142" s="90">
        <v>0.33</v>
      </c>
      <c r="N142" s="251">
        <v>2.25</v>
      </c>
      <c r="O142" s="90">
        <v>2.58</v>
      </c>
      <c r="P142" s="93">
        <v>19.081969456246018</v>
      </c>
      <c r="Q142" s="93">
        <v>130.1043372016774</v>
      </c>
      <c r="R142" s="93">
        <v>57.75687396434946</v>
      </c>
      <c r="S142" s="104">
        <v>393.79686793874635</v>
      </c>
      <c r="T142" s="250" t="s">
        <v>18</v>
      </c>
      <c r="U142" s="90">
        <v>0.33</v>
      </c>
      <c r="V142" s="251">
        <v>2.25</v>
      </c>
      <c r="W142" s="90">
        <v>2.58</v>
      </c>
      <c r="X142" s="93">
        <v>19.081969456246018</v>
      </c>
      <c r="Y142" s="93">
        <v>130.1043372016774</v>
      </c>
      <c r="Z142" s="93">
        <v>57.75687396434946</v>
      </c>
      <c r="AA142" s="104">
        <v>393.79686793874635</v>
      </c>
      <c r="AB142" s="250" t="s">
        <v>107</v>
      </c>
      <c r="AC142" s="97">
        <v>0</v>
      </c>
      <c r="AD142" s="252">
        <v>0</v>
      </c>
      <c r="AE142" s="97">
        <v>0</v>
      </c>
      <c r="AF142" s="93">
        <v>0</v>
      </c>
      <c r="AG142" s="93">
        <v>0</v>
      </c>
      <c r="AH142" s="93">
        <v>0</v>
      </c>
      <c r="AI142" s="93">
        <v>0</v>
      </c>
      <c r="AJ142" s="247" t="s">
        <v>49</v>
      </c>
      <c r="AK142" s="246"/>
      <c r="AL142" s="93">
        <v>0</v>
      </c>
      <c r="AM142" s="93">
        <v>0</v>
      </c>
      <c r="AN142" s="254" t="s">
        <v>1399</v>
      </c>
      <c r="AO142" s="246">
        <v>1</v>
      </c>
      <c r="AP142" s="92">
        <v>157.69700774742554</v>
      </c>
      <c r="AQ142" s="282">
        <v>234.62561771643146</v>
      </c>
      <c r="AR142" s="93">
        <v>0</v>
      </c>
      <c r="AS142" s="104">
        <v>0</v>
      </c>
      <c r="AT142" s="245">
        <v>1</v>
      </c>
      <c r="AU142" s="260">
        <v>0</v>
      </c>
      <c r="AV142" s="93">
        <v>298.37261331584682</v>
      </c>
      <c r="AW142" s="104">
        <v>903.10748380619157</v>
      </c>
      <c r="AX142" s="93">
        <v>456.06962106327239</v>
      </c>
      <c r="AY142" s="243">
        <v>1137.733101522623</v>
      </c>
    </row>
    <row r="143" spans="1:51" ht="60">
      <c r="A143" s="113" t="s">
        <v>949</v>
      </c>
      <c r="B143" s="90" t="s">
        <v>927</v>
      </c>
      <c r="C143" s="246" t="s">
        <v>11</v>
      </c>
      <c r="D143" s="253" t="s">
        <v>1414</v>
      </c>
      <c r="E143" s="253" t="s">
        <v>221</v>
      </c>
      <c r="F143" s="253" t="s">
        <v>1445</v>
      </c>
      <c r="G143" s="253" t="s">
        <v>223</v>
      </c>
      <c r="H143" s="246" t="s">
        <v>110</v>
      </c>
      <c r="I143" s="246" t="s">
        <v>142</v>
      </c>
      <c r="J143" s="246" t="s">
        <v>47</v>
      </c>
      <c r="K143" s="256" t="s">
        <v>49</v>
      </c>
      <c r="L143" s="250" t="s">
        <v>18</v>
      </c>
      <c r="M143" s="90">
        <v>2</v>
      </c>
      <c r="N143" s="251">
        <v>2.25</v>
      </c>
      <c r="O143" s="90">
        <v>4.25</v>
      </c>
      <c r="P143" s="93">
        <v>115.64829973482435</v>
      </c>
      <c r="Q143" s="93">
        <v>130.1043372016774</v>
      </c>
      <c r="R143" s="93">
        <v>350.04166038999676</v>
      </c>
      <c r="S143" s="104">
        <v>393.79686793874635</v>
      </c>
      <c r="T143" s="250" t="s">
        <v>18</v>
      </c>
      <c r="U143" s="90">
        <v>2</v>
      </c>
      <c r="V143" s="251">
        <v>2.25</v>
      </c>
      <c r="W143" s="90">
        <v>4.25</v>
      </c>
      <c r="X143" s="93">
        <v>115.64829973482435</v>
      </c>
      <c r="Y143" s="93">
        <v>130.1043372016774</v>
      </c>
      <c r="Z143" s="93">
        <v>350.04166038999676</v>
      </c>
      <c r="AA143" s="104">
        <v>393.79686793874635</v>
      </c>
      <c r="AB143" s="250" t="s">
        <v>107</v>
      </c>
      <c r="AC143" s="97">
        <v>0</v>
      </c>
      <c r="AD143" s="252">
        <v>0</v>
      </c>
      <c r="AE143" s="97">
        <v>0</v>
      </c>
      <c r="AF143" s="93">
        <v>0</v>
      </c>
      <c r="AG143" s="93">
        <v>0</v>
      </c>
      <c r="AH143" s="93">
        <v>0</v>
      </c>
      <c r="AI143" s="93">
        <v>0</v>
      </c>
      <c r="AJ143" s="247" t="s">
        <v>49</v>
      </c>
      <c r="AK143" s="246"/>
      <c r="AL143" s="93">
        <v>0</v>
      </c>
      <c r="AM143" s="93">
        <v>0</v>
      </c>
      <c r="AN143" s="254" t="s">
        <v>1399</v>
      </c>
      <c r="AO143" s="246">
        <v>1</v>
      </c>
      <c r="AP143" s="92">
        <v>157.69700774742554</v>
      </c>
      <c r="AQ143" s="282">
        <v>234.62561771643146</v>
      </c>
      <c r="AR143" s="93">
        <v>0</v>
      </c>
      <c r="AS143" s="104">
        <v>0</v>
      </c>
      <c r="AT143" s="245">
        <v>1</v>
      </c>
      <c r="AU143" s="260">
        <v>0</v>
      </c>
      <c r="AV143" s="93">
        <v>491.50527387300349</v>
      </c>
      <c r="AW143" s="104">
        <v>1487.6770566574862</v>
      </c>
      <c r="AX143" s="93">
        <v>649.20228162042906</v>
      </c>
      <c r="AY143" s="243">
        <v>1722.3026743739176</v>
      </c>
    </row>
    <row r="144" spans="1:51" ht="60">
      <c r="A144" s="113" t="s">
        <v>950</v>
      </c>
      <c r="B144" s="90" t="s">
        <v>928</v>
      </c>
      <c r="C144" s="246" t="s">
        <v>11</v>
      </c>
      <c r="D144" s="253" t="s">
        <v>1414</v>
      </c>
      <c r="E144" s="253" t="s">
        <v>221</v>
      </c>
      <c r="F144" s="253" t="s">
        <v>1445</v>
      </c>
      <c r="G144" s="253" t="s">
        <v>350</v>
      </c>
      <c r="H144" s="246" t="s">
        <v>109</v>
      </c>
      <c r="I144" s="246" t="s">
        <v>142</v>
      </c>
      <c r="J144" s="246" t="s">
        <v>47</v>
      </c>
      <c r="K144" s="256" t="s">
        <v>142</v>
      </c>
      <c r="L144" s="250" t="s">
        <v>18</v>
      </c>
      <c r="M144" s="90">
        <v>0.33</v>
      </c>
      <c r="N144" s="251">
        <v>2.25</v>
      </c>
      <c r="O144" s="90">
        <v>2.58</v>
      </c>
      <c r="P144" s="93">
        <v>19.081969456246018</v>
      </c>
      <c r="Q144" s="93">
        <v>130.1043372016774</v>
      </c>
      <c r="R144" s="93">
        <v>57.75687396434946</v>
      </c>
      <c r="S144" s="104">
        <v>393.79686793874635</v>
      </c>
      <c r="T144" s="250" t="s">
        <v>18</v>
      </c>
      <c r="U144" s="90">
        <v>0.33</v>
      </c>
      <c r="V144" s="251">
        <v>2.25</v>
      </c>
      <c r="W144" s="90">
        <v>2.58</v>
      </c>
      <c r="X144" s="93">
        <v>19.081969456246018</v>
      </c>
      <c r="Y144" s="93">
        <v>130.1043372016774</v>
      </c>
      <c r="Z144" s="93">
        <v>57.75687396434946</v>
      </c>
      <c r="AA144" s="104">
        <v>393.79686793874635</v>
      </c>
      <c r="AB144" s="250" t="s">
        <v>107</v>
      </c>
      <c r="AC144" s="97">
        <v>0</v>
      </c>
      <c r="AD144" s="252">
        <v>0</v>
      </c>
      <c r="AE144" s="97">
        <v>0</v>
      </c>
      <c r="AF144" s="93">
        <v>0</v>
      </c>
      <c r="AG144" s="93">
        <v>0</v>
      </c>
      <c r="AH144" s="93">
        <v>0</v>
      </c>
      <c r="AI144" s="93">
        <v>0</v>
      </c>
      <c r="AJ144" s="247" t="s">
        <v>49</v>
      </c>
      <c r="AK144" s="246"/>
      <c r="AL144" s="93">
        <v>0</v>
      </c>
      <c r="AM144" s="93">
        <v>0</v>
      </c>
      <c r="AN144" s="254" t="s">
        <v>1399</v>
      </c>
      <c r="AO144" s="246">
        <v>1</v>
      </c>
      <c r="AP144" s="92">
        <v>157.69700774742554</v>
      </c>
      <c r="AQ144" s="282">
        <v>234.62561771643146</v>
      </c>
      <c r="AR144" s="93">
        <v>700.3791783912435</v>
      </c>
      <c r="AS144" s="104">
        <v>801.19082556287378</v>
      </c>
      <c r="AT144" s="245">
        <v>1</v>
      </c>
      <c r="AU144" s="260">
        <v>0</v>
      </c>
      <c r="AV144" s="93">
        <v>298.37261331584682</v>
      </c>
      <c r="AW144" s="104">
        <v>903.10748380619157</v>
      </c>
      <c r="AX144" s="93">
        <v>1156.4487994545159</v>
      </c>
      <c r="AY144" s="243">
        <v>1938.9239270854969</v>
      </c>
    </row>
    <row r="145" spans="1:51" ht="60">
      <c r="A145" s="113" t="s">
        <v>951</v>
      </c>
      <c r="B145" s="90" t="s">
        <v>929</v>
      </c>
      <c r="C145" s="246" t="s">
        <v>11</v>
      </c>
      <c r="D145" s="253" t="s">
        <v>1414</v>
      </c>
      <c r="E145" s="253" t="s">
        <v>221</v>
      </c>
      <c r="F145" s="253" t="s">
        <v>1445</v>
      </c>
      <c r="G145" s="253" t="s">
        <v>350</v>
      </c>
      <c r="H145" s="246" t="s">
        <v>110</v>
      </c>
      <c r="I145" s="246" t="s">
        <v>142</v>
      </c>
      <c r="J145" s="246" t="s">
        <v>47</v>
      </c>
      <c r="K145" s="256" t="s">
        <v>142</v>
      </c>
      <c r="L145" s="250" t="s">
        <v>18</v>
      </c>
      <c r="M145" s="90">
        <v>2</v>
      </c>
      <c r="N145" s="251">
        <v>2.25</v>
      </c>
      <c r="O145" s="90">
        <v>4.25</v>
      </c>
      <c r="P145" s="93">
        <v>115.64829973482435</v>
      </c>
      <c r="Q145" s="93">
        <v>130.1043372016774</v>
      </c>
      <c r="R145" s="93">
        <v>350.04166038999676</v>
      </c>
      <c r="S145" s="104">
        <v>393.79686793874635</v>
      </c>
      <c r="T145" s="250" t="s">
        <v>18</v>
      </c>
      <c r="U145" s="90">
        <v>2</v>
      </c>
      <c r="V145" s="251">
        <v>2.25</v>
      </c>
      <c r="W145" s="90">
        <v>4.25</v>
      </c>
      <c r="X145" s="93">
        <v>115.64829973482435</v>
      </c>
      <c r="Y145" s="93">
        <v>130.1043372016774</v>
      </c>
      <c r="Z145" s="93">
        <v>350.04166038999676</v>
      </c>
      <c r="AA145" s="104">
        <v>393.79686793874635</v>
      </c>
      <c r="AB145" s="250" t="s">
        <v>107</v>
      </c>
      <c r="AC145" s="97">
        <v>0</v>
      </c>
      <c r="AD145" s="252">
        <v>0</v>
      </c>
      <c r="AE145" s="97">
        <v>0</v>
      </c>
      <c r="AF145" s="93">
        <v>0</v>
      </c>
      <c r="AG145" s="93">
        <v>0</v>
      </c>
      <c r="AH145" s="93">
        <v>0</v>
      </c>
      <c r="AI145" s="93">
        <v>0</v>
      </c>
      <c r="AJ145" s="247" t="s">
        <v>49</v>
      </c>
      <c r="AK145" s="246"/>
      <c r="AL145" s="93">
        <v>0</v>
      </c>
      <c r="AM145" s="93">
        <v>0</v>
      </c>
      <c r="AN145" s="254" t="s">
        <v>1399</v>
      </c>
      <c r="AO145" s="246">
        <v>1</v>
      </c>
      <c r="AP145" s="92">
        <v>157.69700774742554</v>
      </c>
      <c r="AQ145" s="282">
        <v>234.62561771643146</v>
      </c>
      <c r="AR145" s="93">
        <v>700.3791783912435</v>
      </c>
      <c r="AS145" s="104">
        <v>801.19082556287378</v>
      </c>
      <c r="AT145" s="245">
        <v>1</v>
      </c>
      <c r="AU145" s="260">
        <v>0</v>
      </c>
      <c r="AV145" s="93">
        <v>491.50527387300349</v>
      </c>
      <c r="AW145" s="104">
        <v>1487.6770566574862</v>
      </c>
      <c r="AX145" s="93">
        <v>1349.5814600116726</v>
      </c>
      <c r="AY145" s="243">
        <v>2523.4934999367915</v>
      </c>
    </row>
    <row r="146" spans="1:51" ht="60">
      <c r="A146" s="113" t="s">
        <v>952</v>
      </c>
      <c r="B146" s="90" t="s">
        <v>930</v>
      </c>
      <c r="C146" s="246" t="s">
        <v>11</v>
      </c>
      <c r="D146" s="253" t="s">
        <v>1414</v>
      </c>
      <c r="E146" s="253" t="s">
        <v>221</v>
      </c>
      <c r="F146" s="253" t="s">
        <v>1445</v>
      </c>
      <c r="G146" s="253" t="s">
        <v>224</v>
      </c>
      <c r="H146" s="246" t="s">
        <v>109</v>
      </c>
      <c r="I146" s="246" t="s">
        <v>142</v>
      </c>
      <c r="J146" s="246" t="s">
        <v>113</v>
      </c>
      <c r="K146" s="256" t="s">
        <v>49</v>
      </c>
      <c r="L146" s="250" t="s">
        <v>18</v>
      </c>
      <c r="M146" s="90">
        <v>0.33</v>
      </c>
      <c r="N146" s="251">
        <v>2</v>
      </c>
      <c r="O146" s="90">
        <v>2.33</v>
      </c>
      <c r="P146" s="93">
        <v>25.084366852241615</v>
      </c>
      <c r="Q146" s="93">
        <v>152.0264657711613</v>
      </c>
      <c r="R146" s="93">
        <v>75.924794769346875</v>
      </c>
      <c r="S146" s="104">
        <v>460.15027132937496</v>
      </c>
      <c r="T146" s="250" t="s">
        <v>18</v>
      </c>
      <c r="U146" s="90">
        <v>0.33</v>
      </c>
      <c r="V146" s="251">
        <v>2</v>
      </c>
      <c r="W146" s="90">
        <v>2.33</v>
      </c>
      <c r="X146" s="93">
        <v>25.084366852241615</v>
      </c>
      <c r="Y146" s="93">
        <v>152.0264657711613</v>
      </c>
      <c r="Z146" s="93">
        <v>75.924794769346875</v>
      </c>
      <c r="AA146" s="104">
        <v>460.15027132937496</v>
      </c>
      <c r="AB146" s="250" t="s">
        <v>107</v>
      </c>
      <c r="AC146" s="97">
        <v>0</v>
      </c>
      <c r="AD146" s="252">
        <v>0</v>
      </c>
      <c r="AE146" s="97">
        <v>0</v>
      </c>
      <c r="AF146" s="93">
        <v>0</v>
      </c>
      <c r="AG146" s="93">
        <v>0</v>
      </c>
      <c r="AH146" s="93">
        <v>0</v>
      </c>
      <c r="AI146" s="93">
        <v>0</v>
      </c>
      <c r="AJ146" s="247" t="s">
        <v>49</v>
      </c>
      <c r="AK146" s="246"/>
      <c r="AL146" s="93">
        <v>0</v>
      </c>
      <c r="AM146" s="93">
        <v>0</v>
      </c>
      <c r="AN146" s="254" t="s">
        <v>1399</v>
      </c>
      <c r="AO146" s="246">
        <v>1</v>
      </c>
      <c r="AP146" s="92">
        <v>157.69700774742554</v>
      </c>
      <c r="AQ146" s="282">
        <v>234.62561771643146</v>
      </c>
      <c r="AR146" s="93">
        <v>0</v>
      </c>
      <c r="AS146" s="104">
        <v>0</v>
      </c>
      <c r="AT146" s="245">
        <v>1</v>
      </c>
      <c r="AU146" s="260">
        <v>0</v>
      </c>
      <c r="AV146" s="93">
        <v>354.22166524680586</v>
      </c>
      <c r="AW146" s="104">
        <v>1072.1501321974438</v>
      </c>
      <c r="AX146" s="93">
        <v>511.91867299423143</v>
      </c>
      <c r="AY146" s="243">
        <v>1306.7757499138752</v>
      </c>
    </row>
    <row r="147" spans="1:51" ht="60">
      <c r="A147" s="113" t="s">
        <v>953</v>
      </c>
      <c r="B147" s="90" t="s">
        <v>1208</v>
      </c>
      <c r="C147" s="246" t="s">
        <v>11</v>
      </c>
      <c r="D147" s="253" t="s">
        <v>1414</v>
      </c>
      <c r="E147" s="253" t="s">
        <v>221</v>
      </c>
      <c r="F147" s="253" t="s">
        <v>1445</v>
      </c>
      <c r="G147" s="253" t="s">
        <v>224</v>
      </c>
      <c r="H147" s="246" t="s">
        <v>110</v>
      </c>
      <c r="I147" s="246" t="s">
        <v>142</v>
      </c>
      <c r="J147" s="246" t="s">
        <v>113</v>
      </c>
      <c r="K147" s="256" t="s">
        <v>49</v>
      </c>
      <c r="L147" s="250" t="s">
        <v>18</v>
      </c>
      <c r="M147" s="90">
        <v>2</v>
      </c>
      <c r="N147" s="251">
        <v>2</v>
      </c>
      <c r="O147" s="90">
        <v>4</v>
      </c>
      <c r="P147" s="93">
        <v>152.0264657711613</v>
      </c>
      <c r="Q147" s="93">
        <v>152.0264657711613</v>
      </c>
      <c r="R147" s="93">
        <v>460.15027132937496</v>
      </c>
      <c r="S147" s="104">
        <v>460.15027132937496</v>
      </c>
      <c r="T147" s="250" t="s">
        <v>18</v>
      </c>
      <c r="U147" s="90">
        <v>2</v>
      </c>
      <c r="V147" s="251">
        <v>2</v>
      </c>
      <c r="W147" s="90">
        <v>4</v>
      </c>
      <c r="X147" s="93">
        <v>152.0264657711613</v>
      </c>
      <c r="Y147" s="93">
        <v>152.0264657711613</v>
      </c>
      <c r="Z147" s="93">
        <v>460.15027132937496</v>
      </c>
      <c r="AA147" s="104">
        <v>460.15027132937496</v>
      </c>
      <c r="AB147" s="250" t="s">
        <v>107</v>
      </c>
      <c r="AC147" s="97">
        <v>0</v>
      </c>
      <c r="AD147" s="252">
        <v>0</v>
      </c>
      <c r="AE147" s="97">
        <v>0</v>
      </c>
      <c r="AF147" s="93">
        <v>0</v>
      </c>
      <c r="AG147" s="93">
        <v>0</v>
      </c>
      <c r="AH147" s="93">
        <v>0</v>
      </c>
      <c r="AI147" s="93">
        <v>0</v>
      </c>
      <c r="AJ147" s="247" t="s">
        <v>49</v>
      </c>
      <c r="AK147" s="246"/>
      <c r="AL147" s="93">
        <v>0</v>
      </c>
      <c r="AM147" s="93">
        <v>0</v>
      </c>
      <c r="AN147" s="254" t="s">
        <v>1399</v>
      </c>
      <c r="AO147" s="246">
        <v>1</v>
      </c>
      <c r="AP147" s="92">
        <v>157.69700774742554</v>
      </c>
      <c r="AQ147" s="282">
        <v>234.62561771643146</v>
      </c>
      <c r="AR147" s="93">
        <v>0</v>
      </c>
      <c r="AS147" s="104">
        <v>0</v>
      </c>
      <c r="AT147" s="245">
        <v>1</v>
      </c>
      <c r="AU147" s="260">
        <v>0</v>
      </c>
      <c r="AV147" s="93">
        <v>608.10586308464519</v>
      </c>
      <c r="AW147" s="104">
        <v>1840.6010853174998</v>
      </c>
      <c r="AX147" s="93">
        <v>765.80287083207077</v>
      </c>
      <c r="AY147" s="243">
        <v>2075.2267030339312</v>
      </c>
    </row>
    <row r="148" spans="1:51" ht="60">
      <c r="A148" s="113" t="s">
        <v>954</v>
      </c>
      <c r="B148" s="90" t="s">
        <v>931</v>
      </c>
      <c r="C148" s="246" t="s">
        <v>11</v>
      </c>
      <c r="D148" s="253" t="s">
        <v>1414</v>
      </c>
      <c r="E148" s="253" t="s">
        <v>221</v>
      </c>
      <c r="F148" s="253" t="s">
        <v>1445</v>
      </c>
      <c r="G148" s="253" t="s">
        <v>351</v>
      </c>
      <c r="H148" s="246" t="s">
        <v>109</v>
      </c>
      <c r="I148" s="246" t="s">
        <v>142</v>
      </c>
      <c r="J148" s="246" t="s">
        <v>113</v>
      </c>
      <c r="K148" s="256" t="s">
        <v>142</v>
      </c>
      <c r="L148" s="250" t="s">
        <v>18</v>
      </c>
      <c r="M148" s="90">
        <v>0.33</v>
      </c>
      <c r="N148" s="251">
        <v>2</v>
      </c>
      <c r="O148" s="90">
        <v>2.33</v>
      </c>
      <c r="P148" s="93">
        <v>25.084366852241615</v>
      </c>
      <c r="Q148" s="93">
        <v>152.0264657711613</v>
      </c>
      <c r="R148" s="93">
        <v>75.924794769346875</v>
      </c>
      <c r="S148" s="104">
        <v>460.15027132937496</v>
      </c>
      <c r="T148" s="250" t="s">
        <v>18</v>
      </c>
      <c r="U148" s="90">
        <v>0.33</v>
      </c>
      <c r="V148" s="251">
        <v>2</v>
      </c>
      <c r="W148" s="90">
        <v>2.33</v>
      </c>
      <c r="X148" s="93">
        <v>25.084366852241615</v>
      </c>
      <c r="Y148" s="93">
        <v>152.0264657711613</v>
      </c>
      <c r="Z148" s="93">
        <v>75.924794769346875</v>
      </c>
      <c r="AA148" s="104">
        <v>460.15027132937496</v>
      </c>
      <c r="AB148" s="250" t="s">
        <v>107</v>
      </c>
      <c r="AC148" s="97">
        <v>0</v>
      </c>
      <c r="AD148" s="252">
        <v>0</v>
      </c>
      <c r="AE148" s="97">
        <v>0</v>
      </c>
      <c r="AF148" s="93">
        <v>0</v>
      </c>
      <c r="AG148" s="93">
        <v>0</v>
      </c>
      <c r="AH148" s="93">
        <v>0</v>
      </c>
      <c r="AI148" s="93">
        <v>0</v>
      </c>
      <c r="AJ148" s="247" t="s">
        <v>49</v>
      </c>
      <c r="AK148" s="246"/>
      <c r="AL148" s="93">
        <v>0</v>
      </c>
      <c r="AM148" s="93">
        <v>0</v>
      </c>
      <c r="AN148" s="254" t="s">
        <v>1399</v>
      </c>
      <c r="AO148" s="246">
        <v>1</v>
      </c>
      <c r="AP148" s="92">
        <v>157.69700774742554</v>
      </c>
      <c r="AQ148" s="282">
        <v>234.62561771643146</v>
      </c>
      <c r="AR148" s="93">
        <v>700.3791783912435</v>
      </c>
      <c r="AS148" s="104">
        <v>801.19082556287378</v>
      </c>
      <c r="AT148" s="245">
        <v>1</v>
      </c>
      <c r="AU148" s="260">
        <v>0</v>
      </c>
      <c r="AV148" s="93">
        <v>354.22166524680586</v>
      </c>
      <c r="AW148" s="104">
        <v>1072.1501321974438</v>
      </c>
      <c r="AX148" s="93">
        <v>1212.297851385475</v>
      </c>
      <c r="AY148" s="243">
        <v>2107.9665754767493</v>
      </c>
    </row>
    <row r="149" spans="1:51" ht="60">
      <c r="A149" s="113" t="s">
        <v>955</v>
      </c>
      <c r="B149" s="90" t="s">
        <v>1209</v>
      </c>
      <c r="C149" s="246" t="s">
        <v>11</v>
      </c>
      <c r="D149" s="253" t="s">
        <v>1414</v>
      </c>
      <c r="E149" s="253" t="s">
        <v>221</v>
      </c>
      <c r="F149" s="253" t="s">
        <v>1445</v>
      </c>
      <c r="G149" s="253" t="s">
        <v>351</v>
      </c>
      <c r="H149" s="246" t="s">
        <v>110</v>
      </c>
      <c r="I149" s="246" t="s">
        <v>142</v>
      </c>
      <c r="J149" s="246" t="s">
        <v>113</v>
      </c>
      <c r="K149" s="256" t="s">
        <v>142</v>
      </c>
      <c r="L149" s="250" t="s">
        <v>18</v>
      </c>
      <c r="M149" s="90">
        <v>2</v>
      </c>
      <c r="N149" s="251">
        <v>2</v>
      </c>
      <c r="O149" s="90">
        <v>4</v>
      </c>
      <c r="P149" s="93">
        <v>152.0264657711613</v>
      </c>
      <c r="Q149" s="93">
        <v>152.0264657711613</v>
      </c>
      <c r="R149" s="93">
        <v>460.15027132937496</v>
      </c>
      <c r="S149" s="104">
        <v>460.15027132937496</v>
      </c>
      <c r="T149" s="250" t="s">
        <v>18</v>
      </c>
      <c r="U149" s="90">
        <v>2</v>
      </c>
      <c r="V149" s="251">
        <v>2</v>
      </c>
      <c r="W149" s="90">
        <v>4</v>
      </c>
      <c r="X149" s="93">
        <v>152.0264657711613</v>
      </c>
      <c r="Y149" s="93">
        <v>152.0264657711613</v>
      </c>
      <c r="Z149" s="93">
        <v>460.15027132937496</v>
      </c>
      <c r="AA149" s="104">
        <v>460.15027132937496</v>
      </c>
      <c r="AB149" s="250" t="s">
        <v>107</v>
      </c>
      <c r="AC149" s="97">
        <v>0</v>
      </c>
      <c r="AD149" s="252">
        <v>0</v>
      </c>
      <c r="AE149" s="97">
        <v>0</v>
      </c>
      <c r="AF149" s="93">
        <v>0</v>
      </c>
      <c r="AG149" s="93">
        <v>0</v>
      </c>
      <c r="AH149" s="93">
        <v>0</v>
      </c>
      <c r="AI149" s="93">
        <v>0</v>
      </c>
      <c r="AJ149" s="247" t="s">
        <v>49</v>
      </c>
      <c r="AK149" s="246"/>
      <c r="AL149" s="93">
        <v>0</v>
      </c>
      <c r="AM149" s="93">
        <v>0</v>
      </c>
      <c r="AN149" s="254" t="s">
        <v>1399</v>
      </c>
      <c r="AO149" s="246">
        <v>1</v>
      </c>
      <c r="AP149" s="92">
        <v>157.69700774742554</v>
      </c>
      <c r="AQ149" s="282">
        <v>234.62561771643146</v>
      </c>
      <c r="AR149" s="93">
        <v>700.3791783912435</v>
      </c>
      <c r="AS149" s="104">
        <v>801.19082556287378</v>
      </c>
      <c r="AT149" s="245">
        <v>1</v>
      </c>
      <c r="AU149" s="260">
        <v>0</v>
      </c>
      <c r="AV149" s="93">
        <v>608.10586308464519</v>
      </c>
      <c r="AW149" s="104">
        <v>1840.6010853174998</v>
      </c>
      <c r="AX149" s="93">
        <v>1466.1820492233142</v>
      </c>
      <c r="AY149" s="243">
        <v>2876.4175285968049</v>
      </c>
    </row>
    <row r="150" spans="1:51" ht="60">
      <c r="A150" s="113" t="s">
        <v>956</v>
      </c>
      <c r="B150" s="90" t="s">
        <v>932</v>
      </c>
      <c r="C150" s="246" t="s">
        <v>11</v>
      </c>
      <c r="D150" s="253" t="s">
        <v>1414</v>
      </c>
      <c r="E150" s="253" t="s">
        <v>221</v>
      </c>
      <c r="F150" s="253" t="s">
        <v>1445</v>
      </c>
      <c r="G150" s="253" t="s">
        <v>225</v>
      </c>
      <c r="H150" s="246" t="s">
        <v>109</v>
      </c>
      <c r="I150" s="246" t="s">
        <v>142</v>
      </c>
      <c r="J150" s="246" t="s">
        <v>113</v>
      </c>
      <c r="K150" s="256" t="s">
        <v>49</v>
      </c>
      <c r="L150" s="250" t="s">
        <v>18</v>
      </c>
      <c r="M150" s="90">
        <v>0.33</v>
      </c>
      <c r="N150" s="251">
        <v>2.25</v>
      </c>
      <c r="O150" s="90">
        <v>2.58</v>
      </c>
      <c r="P150" s="93">
        <v>25.084366852241615</v>
      </c>
      <c r="Q150" s="93">
        <v>171.02977399255647</v>
      </c>
      <c r="R150" s="93">
        <v>75.924794769346875</v>
      </c>
      <c r="S150" s="104">
        <v>517.66905524554693</v>
      </c>
      <c r="T150" s="250" t="s">
        <v>18</v>
      </c>
      <c r="U150" s="90">
        <v>0.33</v>
      </c>
      <c r="V150" s="251">
        <v>2.25</v>
      </c>
      <c r="W150" s="90">
        <v>2.58</v>
      </c>
      <c r="X150" s="93">
        <v>25.084366852241615</v>
      </c>
      <c r="Y150" s="93">
        <v>171.02977399255647</v>
      </c>
      <c r="Z150" s="93">
        <v>75.924794769346875</v>
      </c>
      <c r="AA150" s="104">
        <v>517.66905524554693</v>
      </c>
      <c r="AB150" s="250" t="s">
        <v>107</v>
      </c>
      <c r="AC150" s="97">
        <v>0</v>
      </c>
      <c r="AD150" s="252">
        <v>0</v>
      </c>
      <c r="AE150" s="97">
        <v>0</v>
      </c>
      <c r="AF150" s="93">
        <v>0</v>
      </c>
      <c r="AG150" s="93">
        <v>0</v>
      </c>
      <c r="AH150" s="93">
        <v>0</v>
      </c>
      <c r="AI150" s="93">
        <v>0</v>
      </c>
      <c r="AJ150" s="247" t="s">
        <v>49</v>
      </c>
      <c r="AK150" s="246"/>
      <c r="AL150" s="93">
        <v>0</v>
      </c>
      <c r="AM150" s="93">
        <v>0</v>
      </c>
      <c r="AN150" s="254" t="s">
        <v>1399</v>
      </c>
      <c r="AO150" s="246">
        <v>1</v>
      </c>
      <c r="AP150" s="92">
        <v>157.69700774742554</v>
      </c>
      <c r="AQ150" s="282">
        <v>234.62561771643146</v>
      </c>
      <c r="AR150" s="93">
        <v>0</v>
      </c>
      <c r="AS150" s="104">
        <v>0</v>
      </c>
      <c r="AT150" s="245">
        <v>1</v>
      </c>
      <c r="AU150" s="260">
        <v>0</v>
      </c>
      <c r="AV150" s="93">
        <v>392.2282816895962</v>
      </c>
      <c r="AW150" s="104">
        <v>1187.1877000297877</v>
      </c>
      <c r="AX150" s="93">
        <v>549.92528943702177</v>
      </c>
      <c r="AY150" s="243">
        <v>1421.8133177462191</v>
      </c>
    </row>
    <row r="151" spans="1:51" ht="60">
      <c r="A151" s="113" t="s">
        <v>957</v>
      </c>
      <c r="B151" s="90" t="s">
        <v>1210</v>
      </c>
      <c r="C151" s="246" t="s">
        <v>11</v>
      </c>
      <c r="D151" s="253" t="s">
        <v>1414</v>
      </c>
      <c r="E151" s="253" t="s">
        <v>221</v>
      </c>
      <c r="F151" s="253" t="s">
        <v>1445</v>
      </c>
      <c r="G151" s="253" t="s">
        <v>225</v>
      </c>
      <c r="H151" s="246" t="s">
        <v>110</v>
      </c>
      <c r="I151" s="246" t="s">
        <v>142</v>
      </c>
      <c r="J151" s="246" t="s">
        <v>113</v>
      </c>
      <c r="K151" s="256" t="s">
        <v>49</v>
      </c>
      <c r="L151" s="250" t="s">
        <v>18</v>
      </c>
      <c r="M151" s="90">
        <v>2</v>
      </c>
      <c r="N151" s="251">
        <v>2.25</v>
      </c>
      <c r="O151" s="90">
        <v>4.25</v>
      </c>
      <c r="P151" s="93">
        <v>152.0264657711613</v>
      </c>
      <c r="Q151" s="93">
        <v>171.02977399255647</v>
      </c>
      <c r="R151" s="93">
        <v>460.15027132937496</v>
      </c>
      <c r="S151" s="104">
        <v>517.66905524554693</v>
      </c>
      <c r="T151" s="250" t="s">
        <v>18</v>
      </c>
      <c r="U151" s="90">
        <v>2</v>
      </c>
      <c r="V151" s="251">
        <v>2.25</v>
      </c>
      <c r="W151" s="90">
        <v>4.25</v>
      </c>
      <c r="X151" s="93">
        <v>152.0264657711613</v>
      </c>
      <c r="Y151" s="93">
        <v>171.02977399255647</v>
      </c>
      <c r="Z151" s="93">
        <v>460.15027132937496</v>
      </c>
      <c r="AA151" s="104">
        <v>517.66905524554693</v>
      </c>
      <c r="AB151" s="250" t="s">
        <v>107</v>
      </c>
      <c r="AC151" s="97">
        <v>0</v>
      </c>
      <c r="AD151" s="252">
        <v>0</v>
      </c>
      <c r="AE151" s="97">
        <v>0</v>
      </c>
      <c r="AF151" s="93">
        <v>0</v>
      </c>
      <c r="AG151" s="93">
        <v>0</v>
      </c>
      <c r="AH151" s="93">
        <v>0</v>
      </c>
      <c r="AI151" s="93">
        <v>0</v>
      </c>
      <c r="AJ151" s="247" t="s">
        <v>49</v>
      </c>
      <c r="AK151" s="246"/>
      <c r="AL151" s="93">
        <v>0</v>
      </c>
      <c r="AM151" s="93">
        <v>0</v>
      </c>
      <c r="AN151" s="254" t="s">
        <v>1399</v>
      </c>
      <c r="AO151" s="246">
        <v>1</v>
      </c>
      <c r="AP151" s="92">
        <v>157.69700774742554</v>
      </c>
      <c r="AQ151" s="282">
        <v>234.62561771643146</v>
      </c>
      <c r="AR151" s="93">
        <v>0</v>
      </c>
      <c r="AS151" s="104">
        <v>0</v>
      </c>
      <c r="AT151" s="245">
        <v>1</v>
      </c>
      <c r="AU151" s="260">
        <v>0</v>
      </c>
      <c r="AV151" s="93">
        <v>646.11247952743554</v>
      </c>
      <c r="AW151" s="104">
        <v>1955.6386531498438</v>
      </c>
      <c r="AX151" s="93">
        <v>803.80948727486111</v>
      </c>
      <c r="AY151" s="243">
        <v>2190.2642708662752</v>
      </c>
    </row>
    <row r="152" spans="1:51" ht="60">
      <c r="A152" s="113" t="s">
        <v>958</v>
      </c>
      <c r="B152" s="90" t="s">
        <v>933</v>
      </c>
      <c r="C152" s="246" t="s">
        <v>11</v>
      </c>
      <c r="D152" s="253" t="s">
        <v>1414</v>
      </c>
      <c r="E152" s="253" t="s">
        <v>221</v>
      </c>
      <c r="F152" s="253" t="s">
        <v>1445</v>
      </c>
      <c r="G152" s="253" t="s">
        <v>355</v>
      </c>
      <c r="H152" s="246" t="s">
        <v>109</v>
      </c>
      <c r="I152" s="246" t="s">
        <v>142</v>
      </c>
      <c r="J152" s="246" t="s">
        <v>113</v>
      </c>
      <c r="K152" s="256" t="s">
        <v>142</v>
      </c>
      <c r="L152" s="250" t="s">
        <v>18</v>
      </c>
      <c r="M152" s="90">
        <v>0.33</v>
      </c>
      <c r="N152" s="251">
        <v>2.25</v>
      </c>
      <c r="O152" s="90">
        <v>2.58</v>
      </c>
      <c r="P152" s="93">
        <v>25.084366852241615</v>
      </c>
      <c r="Q152" s="93">
        <v>171.02977399255647</v>
      </c>
      <c r="R152" s="93">
        <v>75.924794769346875</v>
      </c>
      <c r="S152" s="104">
        <v>517.66905524554693</v>
      </c>
      <c r="T152" s="250" t="s">
        <v>18</v>
      </c>
      <c r="U152" s="90">
        <v>0.33</v>
      </c>
      <c r="V152" s="251">
        <v>2.25</v>
      </c>
      <c r="W152" s="90">
        <v>2.58</v>
      </c>
      <c r="X152" s="93">
        <v>25.084366852241615</v>
      </c>
      <c r="Y152" s="93">
        <v>171.02977399255647</v>
      </c>
      <c r="Z152" s="93">
        <v>75.924794769346875</v>
      </c>
      <c r="AA152" s="104">
        <v>517.66905524554693</v>
      </c>
      <c r="AB152" s="250" t="s">
        <v>107</v>
      </c>
      <c r="AC152" s="97">
        <v>0</v>
      </c>
      <c r="AD152" s="252">
        <v>0</v>
      </c>
      <c r="AE152" s="97">
        <v>0</v>
      </c>
      <c r="AF152" s="93">
        <v>0</v>
      </c>
      <c r="AG152" s="93">
        <v>0</v>
      </c>
      <c r="AH152" s="93">
        <v>0</v>
      </c>
      <c r="AI152" s="93">
        <v>0</v>
      </c>
      <c r="AJ152" s="247" t="s">
        <v>49</v>
      </c>
      <c r="AK152" s="246"/>
      <c r="AL152" s="93">
        <v>0</v>
      </c>
      <c r="AM152" s="93">
        <v>0</v>
      </c>
      <c r="AN152" s="254" t="s">
        <v>1399</v>
      </c>
      <c r="AO152" s="246">
        <v>1</v>
      </c>
      <c r="AP152" s="92">
        <v>157.69700774742554</v>
      </c>
      <c r="AQ152" s="282">
        <v>234.62561771643146</v>
      </c>
      <c r="AR152" s="93">
        <v>700.3791783912435</v>
      </c>
      <c r="AS152" s="104">
        <v>801.19082556287378</v>
      </c>
      <c r="AT152" s="245">
        <v>1</v>
      </c>
      <c r="AU152" s="260">
        <v>0</v>
      </c>
      <c r="AV152" s="93">
        <v>392.2282816895962</v>
      </c>
      <c r="AW152" s="104">
        <v>1187.1877000297877</v>
      </c>
      <c r="AX152" s="93">
        <v>1250.3044678282654</v>
      </c>
      <c r="AY152" s="243">
        <v>2223.0041433090928</v>
      </c>
    </row>
    <row r="153" spans="1:51" ht="60">
      <c r="A153" s="113" t="s">
        <v>959</v>
      </c>
      <c r="B153" s="90" t="s">
        <v>1211</v>
      </c>
      <c r="C153" s="246" t="s">
        <v>11</v>
      </c>
      <c r="D153" s="253" t="s">
        <v>1414</v>
      </c>
      <c r="E153" s="253" t="s">
        <v>221</v>
      </c>
      <c r="F153" s="253" t="s">
        <v>1445</v>
      </c>
      <c r="G153" s="253" t="s">
        <v>355</v>
      </c>
      <c r="H153" s="246" t="s">
        <v>110</v>
      </c>
      <c r="I153" s="246" t="s">
        <v>142</v>
      </c>
      <c r="J153" s="246" t="s">
        <v>113</v>
      </c>
      <c r="K153" s="256" t="s">
        <v>142</v>
      </c>
      <c r="L153" s="250" t="s">
        <v>18</v>
      </c>
      <c r="M153" s="90">
        <v>2</v>
      </c>
      <c r="N153" s="251">
        <v>2.25</v>
      </c>
      <c r="O153" s="90">
        <v>4.25</v>
      </c>
      <c r="P153" s="93">
        <v>152.0264657711613</v>
      </c>
      <c r="Q153" s="93">
        <v>171.02977399255647</v>
      </c>
      <c r="R153" s="93">
        <v>460.15027132937496</v>
      </c>
      <c r="S153" s="104">
        <v>517.66905524554693</v>
      </c>
      <c r="T153" s="250" t="s">
        <v>18</v>
      </c>
      <c r="U153" s="90">
        <v>2</v>
      </c>
      <c r="V153" s="251">
        <v>2.25</v>
      </c>
      <c r="W153" s="90">
        <v>4.25</v>
      </c>
      <c r="X153" s="93">
        <v>152.0264657711613</v>
      </c>
      <c r="Y153" s="93">
        <v>171.02977399255647</v>
      </c>
      <c r="Z153" s="93">
        <v>460.15027132937496</v>
      </c>
      <c r="AA153" s="104">
        <v>517.66905524554693</v>
      </c>
      <c r="AB153" s="250" t="s">
        <v>107</v>
      </c>
      <c r="AC153" s="97">
        <v>0</v>
      </c>
      <c r="AD153" s="252">
        <v>0</v>
      </c>
      <c r="AE153" s="97">
        <v>0</v>
      </c>
      <c r="AF153" s="93">
        <v>0</v>
      </c>
      <c r="AG153" s="93">
        <v>0</v>
      </c>
      <c r="AH153" s="93">
        <v>0</v>
      </c>
      <c r="AI153" s="93">
        <v>0</v>
      </c>
      <c r="AJ153" s="247" t="s">
        <v>49</v>
      </c>
      <c r="AK153" s="246"/>
      <c r="AL153" s="93">
        <v>0</v>
      </c>
      <c r="AM153" s="93">
        <v>0</v>
      </c>
      <c r="AN153" s="254" t="s">
        <v>1399</v>
      </c>
      <c r="AO153" s="246">
        <v>1</v>
      </c>
      <c r="AP153" s="92">
        <v>157.69700774742554</v>
      </c>
      <c r="AQ153" s="282">
        <v>234.62561771643146</v>
      </c>
      <c r="AR153" s="93">
        <v>700.3791783912435</v>
      </c>
      <c r="AS153" s="104">
        <v>801.19082556287378</v>
      </c>
      <c r="AT153" s="245">
        <v>1</v>
      </c>
      <c r="AU153" s="260">
        <v>0</v>
      </c>
      <c r="AV153" s="93">
        <v>646.11247952743554</v>
      </c>
      <c r="AW153" s="104">
        <v>1955.6386531498438</v>
      </c>
      <c r="AX153" s="93">
        <v>1504.1886656661045</v>
      </c>
      <c r="AY153" s="243">
        <v>2991.4550964291493</v>
      </c>
    </row>
    <row r="154" spans="1:51" ht="60">
      <c r="A154" s="113" t="s">
        <v>960</v>
      </c>
      <c r="B154" s="90" t="s">
        <v>934</v>
      </c>
      <c r="C154" s="246" t="s">
        <v>11</v>
      </c>
      <c r="D154" s="253" t="s">
        <v>1414</v>
      </c>
      <c r="E154" s="253" t="s">
        <v>221</v>
      </c>
      <c r="F154" s="253" t="s">
        <v>1446</v>
      </c>
      <c r="G154" s="253" t="s">
        <v>222</v>
      </c>
      <c r="H154" s="246" t="s">
        <v>109</v>
      </c>
      <c r="I154" s="246" t="s">
        <v>142</v>
      </c>
      <c r="J154" s="246" t="s">
        <v>47</v>
      </c>
      <c r="K154" s="256" t="s">
        <v>49</v>
      </c>
      <c r="L154" s="250" t="s">
        <v>18</v>
      </c>
      <c r="M154" s="90">
        <v>0.33</v>
      </c>
      <c r="N154" s="251">
        <v>1</v>
      </c>
      <c r="O154" s="90">
        <v>1.33</v>
      </c>
      <c r="P154" s="93">
        <v>19.081969456246018</v>
      </c>
      <c r="Q154" s="93">
        <v>57.824149867412174</v>
      </c>
      <c r="R154" s="93">
        <v>57.75687396434946</v>
      </c>
      <c r="S154" s="104">
        <v>175.02083019499838</v>
      </c>
      <c r="T154" s="250" t="s">
        <v>107</v>
      </c>
      <c r="U154" s="90">
        <v>0</v>
      </c>
      <c r="V154" s="251">
        <v>0</v>
      </c>
      <c r="W154" s="90">
        <v>0</v>
      </c>
      <c r="X154" s="93">
        <v>0</v>
      </c>
      <c r="Y154" s="93">
        <v>0</v>
      </c>
      <c r="Z154" s="93">
        <v>0</v>
      </c>
      <c r="AA154" s="104">
        <v>0</v>
      </c>
      <c r="AB154" s="250" t="s">
        <v>107</v>
      </c>
      <c r="AC154" s="97">
        <v>0</v>
      </c>
      <c r="AD154" s="252">
        <v>0</v>
      </c>
      <c r="AE154" s="97">
        <v>0</v>
      </c>
      <c r="AF154" s="93">
        <v>0</v>
      </c>
      <c r="AG154" s="93">
        <v>0</v>
      </c>
      <c r="AH154" s="93">
        <v>0</v>
      </c>
      <c r="AI154" s="93">
        <v>0</v>
      </c>
      <c r="AJ154" s="247" t="s">
        <v>49</v>
      </c>
      <c r="AK154" s="246"/>
      <c r="AL154" s="93">
        <v>0</v>
      </c>
      <c r="AM154" s="93">
        <v>0</v>
      </c>
      <c r="AN154" s="254" t="s">
        <v>0</v>
      </c>
      <c r="AO154" s="246">
        <v>0</v>
      </c>
      <c r="AP154" s="92">
        <v>0</v>
      </c>
      <c r="AQ154" s="282">
        <v>0</v>
      </c>
      <c r="AR154" s="93">
        <v>0</v>
      </c>
      <c r="AS154" s="104">
        <v>0</v>
      </c>
      <c r="AT154" s="245">
        <v>1</v>
      </c>
      <c r="AU154" s="260">
        <v>0</v>
      </c>
      <c r="AV154" s="93">
        <v>76.906119323658189</v>
      </c>
      <c r="AW154" s="104">
        <v>232.77770415934785</v>
      </c>
      <c r="AX154" s="93">
        <v>76.906119323658189</v>
      </c>
      <c r="AY154" s="243">
        <v>232.77770415934785</v>
      </c>
    </row>
    <row r="155" spans="1:51" ht="60">
      <c r="A155" s="113" t="s">
        <v>961</v>
      </c>
      <c r="B155" s="90" t="s">
        <v>935</v>
      </c>
      <c r="C155" s="246" t="s">
        <v>11</v>
      </c>
      <c r="D155" s="253" t="s">
        <v>1414</v>
      </c>
      <c r="E155" s="253" t="s">
        <v>221</v>
      </c>
      <c r="F155" s="253" t="s">
        <v>1446</v>
      </c>
      <c r="G155" s="253" t="s">
        <v>222</v>
      </c>
      <c r="H155" s="246" t="s">
        <v>110</v>
      </c>
      <c r="I155" s="246" t="s">
        <v>142</v>
      </c>
      <c r="J155" s="246" t="s">
        <v>47</v>
      </c>
      <c r="K155" s="256" t="s">
        <v>49</v>
      </c>
      <c r="L155" s="250" t="s">
        <v>18</v>
      </c>
      <c r="M155" s="90">
        <v>2</v>
      </c>
      <c r="N155" s="251">
        <v>1</v>
      </c>
      <c r="O155" s="90">
        <v>3</v>
      </c>
      <c r="P155" s="93">
        <v>115.64829973482435</v>
      </c>
      <c r="Q155" s="93">
        <v>57.824149867412174</v>
      </c>
      <c r="R155" s="93">
        <v>350.04166038999676</v>
      </c>
      <c r="S155" s="104">
        <v>175.02083019499838</v>
      </c>
      <c r="T155" s="250" t="s">
        <v>107</v>
      </c>
      <c r="U155" s="90">
        <v>0</v>
      </c>
      <c r="V155" s="251">
        <v>0</v>
      </c>
      <c r="W155" s="90">
        <v>0</v>
      </c>
      <c r="X155" s="93">
        <v>0</v>
      </c>
      <c r="Y155" s="93">
        <v>0</v>
      </c>
      <c r="Z155" s="93">
        <v>0</v>
      </c>
      <c r="AA155" s="104">
        <v>0</v>
      </c>
      <c r="AB155" s="250" t="s">
        <v>107</v>
      </c>
      <c r="AC155" s="97">
        <v>0</v>
      </c>
      <c r="AD155" s="252">
        <v>0</v>
      </c>
      <c r="AE155" s="97">
        <v>0</v>
      </c>
      <c r="AF155" s="93">
        <v>0</v>
      </c>
      <c r="AG155" s="93">
        <v>0</v>
      </c>
      <c r="AH155" s="93">
        <v>0</v>
      </c>
      <c r="AI155" s="93">
        <v>0</v>
      </c>
      <c r="AJ155" s="247" t="s">
        <v>49</v>
      </c>
      <c r="AK155" s="246"/>
      <c r="AL155" s="93">
        <v>0</v>
      </c>
      <c r="AM155" s="93">
        <v>0</v>
      </c>
      <c r="AN155" s="254" t="s">
        <v>0</v>
      </c>
      <c r="AO155" s="246">
        <v>0</v>
      </c>
      <c r="AP155" s="92">
        <v>0</v>
      </c>
      <c r="AQ155" s="282">
        <v>0</v>
      </c>
      <c r="AR155" s="93">
        <v>0</v>
      </c>
      <c r="AS155" s="104">
        <v>0</v>
      </c>
      <c r="AT155" s="245">
        <v>1</v>
      </c>
      <c r="AU155" s="260">
        <v>0</v>
      </c>
      <c r="AV155" s="93">
        <v>173.47244960223651</v>
      </c>
      <c r="AW155" s="104">
        <v>525.0624905849952</v>
      </c>
      <c r="AX155" s="93">
        <v>173.47244960223651</v>
      </c>
      <c r="AY155" s="243">
        <v>525.0624905849952</v>
      </c>
    </row>
    <row r="156" spans="1:51" ht="60">
      <c r="A156" s="113" t="s">
        <v>962</v>
      </c>
      <c r="B156" s="90" t="s">
        <v>936</v>
      </c>
      <c r="C156" s="246" t="s">
        <v>11</v>
      </c>
      <c r="D156" s="253" t="s">
        <v>1414</v>
      </c>
      <c r="E156" s="253" t="s">
        <v>221</v>
      </c>
      <c r="F156" s="253" t="s">
        <v>1446</v>
      </c>
      <c r="G156" s="253" t="s">
        <v>349</v>
      </c>
      <c r="H156" s="246" t="s">
        <v>109</v>
      </c>
      <c r="I156" s="246" t="s">
        <v>142</v>
      </c>
      <c r="J156" s="246" t="s">
        <v>47</v>
      </c>
      <c r="K156" s="256" t="s">
        <v>142</v>
      </c>
      <c r="L156" s="250" t="s">
        <v>18</v>
      </c>
      <c r="M156" s="90">
        <v>0.33</v>
      </c>
      <c r="N156" s="251">
        <v>1</v>
      </c>
      <c r="O156" s="90">
        <v>1.33</v>
      </c>
      <c r="P156" s="93">
        <v>19.081969456246018</v>
      </c>
      <c r="Q156" s="93">
        <v>57.824149867412174</v>
      </c>
      <c r="R156" s="93">
        <v>57.75687396434946</v>
      </c>
      <c r="S156" s="104">
        <v>175.02083019499838</v>
      </c>
      <c r="T156" s="250" t="s">
        <v>107</v>
      </c>
      <c r="U156" s="90">
        <v>0</v>
      </c>
      <c r="V156" s="251">
        <v>0</v>
      </c>
      <c r="W156" s="90">
        <v>0</v>
      </c>
      <c r="X156" s="93">
        <v>0</v>
      </c>
      <c r="Y156" s="93">
        <v>0</v>
      </c>
      <c r="Z156" s="93">
        <v>0</v>
      </c>
      <c r="AA156" s="104">
        <v>0</v>
      </c>
      <c r="AB156" s="250" t="s">
        <v>107</v>
      </c>
      <c r="AC156" s="97">
        <v>0</v>
      </c>
      <c r="AD156" s="252">
        <v>0</v>
      </c>
      <c r="AE156" s="97">
        <v>0</v>
      </c>
      <c r="AF156" s="93">
        <v>0</v>
      </c>
      <c r="AG156" s="93">
        <v>0</v>
      </c>
      <c r="AH156" s="93">
        <v>0</v>
      </c>
      <c r="AI156" s="93">
        <v>0</v>
      </c>
      <c r="AJ156" s="247" t="s">
        <v>49</v>
      </c>
      <c r="AK156" s="246"/>
      <c r="AL156" s="93">
        <v>0</v>
      </c>
      <c r="AM156" s="93">
        <v>0</v>
      </c>
      <c r="AN156" s="254" t="s">
        <v>0</v>
      </c>
      <c r="AO156" s="246">
        <v>0</v>
      </c>
      <c r="AP156" s="92">
        <v>0</v>
      </c>
      <c r="AQ156" s="282">
        <v>0</v>
      </c>
      <c r="AR156" s="93">
        <v>700.3791783912435</v>
      </c>
      <c r="AS156" s="104">
        <v>801.19082556287378</v>
      </c>
      <c r="AT156" s="245">
        <v>1</v>
      </c>
      <c r="AU156" s="260">
        <v>0</v>
      </c>
      <c r="AV156" s="93">
        <v>76.906119323658189</v>
      </c>
      <c r="AW156" s="104">
        <v>232.77770415934785</v>
      </c>
      <c r="AX156" s="93">
        <v>777.28529771490173</v>
      </c>
      <c r="AY156" s="243">
        <v>1033.9685297222215</v>
      </c>
    </row>
    <row r="157" spans="1:51" ht="60">
      <c r="A157" s="113" t="s">
        <v>963</v>
      </c>
      <c r="B157" s="90" t="s">
        <v>937</v>
      </c>
      <c r="C157" s="246" t="s">
        <v>11</v>
      </c>
      <c r="D157" s="253" t="s">
        <v>1414</v>
      </c>
      <c r="E157" s="253" t="s">
        <v>221</v>
      </c>
      <c r="F157" s="253" t="s">
        <v>1446</v>
      </c>
      <c r="G157" s="253" t="s">
        <v>349</v>
      </c>
      <c r="H157" s="246" t="s">
        <v>110</v>
      </c>
      <c r="I157" s="246" t="s">
        <v>142</v>
      </c>
      <c r="J157" s="246" t="s">
        <v>47</v>
      </c>
      <c r="K157" s="256" t="s">
        <v>142</v>
      </c>
      <c r="L157" s="250" t="s">
        <v>18</v>
      </c>
      <c r="M157" s="90">
        <v>2</v>
      </c>
      <c r="N157" s="251">
        <v>1</v>
      </c>
      <c r="O157" s="90">
        <v>3</v>
      </c>
      <c r="P157" s="93">
        <v>115.64829973482435</v>
      </c>
      <c r="Q157" s="93">
        <v>57.824149867412174</v>
      </c>
      <c r="R157" s="93">
        <v>350.04166038999676</v>
      </c>
      <c r="S157" s="104">
        <v>175.02083019499838</v>
      </c>
      <c r="T157" s="250" t="s">
        <v>107</v>
      </c>
      <c r="U157" s="90">
        <v>0</v>
      </c>
      <c r="V157" s="251">
        <v>0</v>
      </c>
      <c r="W157" s="90">
        <v>0</v>
      </c>
      <c r="X157" s="93">
        <v>0</v>
      </c>
      <c r="Y157" s="93">
        <v>0</v>
      </c>
      <c r="Z157" s="93">
        <v>0</v>
      </c>
      <c r="AA157" s="104">
        <v>0</v>
      </c>
      <c r="AB157" s="250" t="s">
        <v>107</v>
      </c>
      <c r="AC157" s="97">
        <v>0</v>
      </c>
      <c r="AD157" s="252">
        <v>0</v>
      </c>
      <c r="AE157" s="97">
        <v>0</v>
      </c>
      <c r="AF157" s="93">
        <v>0</v>
      </c>
      <c r="AG157" s="93">
        <v>0</v>
      </c>
      <c r="AH157" s="93">
        <v>0</v>
      </c>
      <c r="AI157" s="93">
        <v>0</v>
      </c>
      <c r="AJ157" s="247" t="s">
        <v>49</v>
      </c>
      <c r="AK157" s="246"/>
      <c r="AL157" s="93">
        <v>0</v>
      </c>
      <c r="AM157" s="93">
        <v>0</v>
      </c>
      <c r="AN157" s="254" t="s">
        <v>0</v>
      </c>
      <c r="AO157" s="246">
        <v>0</v>
      </c>
      <c r="AP157" s="92">
        <v>0</v>
      </c>
      <c r="AQ157" s="282">
        <v>0</v>
      </c>
      <c r="AR157" s="93">
        <v>700.3791783912435</v>
      </c>
      <c r="AS157" s="104">
        <v>801.19082556287378</v>
      </c>
      <c r="AT157" s="245">
        <v>1</v>
      </c>
      <c r="AU157" s="260">
        <v>0</v>
      </c>
      <c r="AV157" s="93">
        <v>173.47244960223651</v>
      </c>
      <c r="AW157" s="104">
        <v>525.0624905849952</v>
      </c>
      <c r="AX157" s="93">
        <v>873.85162799347995</v>
      </c>
      <c r="AY157" s="243">
        <v>1326.2533161478691</v>
      </c>
    </row>
    <row r="158" spans="1:51" ht="60">
      <c r="A158" s="113" t="s">
        <v>964</v>
      </c>
      <c r="B158" s="90" t="s">
        <v>938</v>
      </c>
      <c r="C158" s="246" t="s">
        <v>11</v>
      </c>
      <c r="D158" s="253" t="s">
        <v>1414</v>
      </c>
      <c r="E158" s="253" t="s">
        <v>221</v>
      </c>
      <c r="F158" s="253" t="s">
        <v>1446</v>
      </c>
      <c r="G158" s="253" t="s">
        <v>223</v>
      </c>
      <c r="H158" s="246" t="s">
        <v>109</v>
      </c>
      <c r="I158" s="246" t="s">
        <v>142</v>
      </c>
      <c r="J158" s="246" t="s">
        <v>47</v>
      </c>
      <c r="K158" s="256" t="s">
        <v>49</v>
      </c>
      <c r="L158" s="250" t="s">
        <v>18</v>
      </c>
      <c r="M158" s="90">
        <v>0.33</v>
      </c>
      <c r="N158" s="251">
        <v>1</v>
      </c>
      <c r="O158" s="90">
        <v>1.33</v>
      </c>
      <c r="P158" s="93">
        <v>19.081969456246018</v>
      </c>
      <c r="Q158" s="93">
        <v>57.824149867412174</v>
      </c>
      <c r="R158" s="93">
        <v>57.75687396434946</v>
      </c>
      <c r="S158" s="104">
        <v>175.02083019499838</v>
      </c>
      <c r="T158" s="250" t="s">
        <v>107</v>
      </c>
      <c r="U158" s="90">
        <v>0</v>
      </c>
      <c r="V158" s="251">
        <v>0</v>
      </c>
      <c r="W158" s="90">
        <v>0</v>
      </c>
      <c r="X158" s="93">
        <v>0</v>
      </c>
      <c r="Y158" s="93">
        <v>0</v>
      </c>
      <c r="Z158" s="93">
        <v>0</v>
      </c>
      <c r="AA158" s="104">
        <v>0</v>
      </c>
      <c r="AB158" s="250" t="s">
        <v>107</v>
      </c>
      <c r="AC158" s="97">
        <v>0</v>
      </c>
      <c r="AD158" s="252">
        <v>0</v>
      </c>
      <c r="AE158" s="97">
        <v>0</v>
      </c>
      <c r="AF158" s="93">
        <v>0</v>
      </c>
      <c r="AG158" s="93">
        <v>0</v>
      </c>
      <c r="AH158" s="93">
        <v>0</v>
      </c>
      <c r="AI158" s="93">
        <v>0</v>
      </c>
      <c r="AJ158" s="247" t="s">
        <v>49</v>
      </c>
      <c r="AK158" s="246"/>
      <c r="AL158" s="93">
        <v>0</v>
      </c>
      <c r="AM158" s="93">
        <v>0</v>
      </c>
      <c r="AN158" s="254" t="s">
        <v>0</v>
      </c>
      <c r="AO158" s="246">
        <v>0</v>
      </c>
      <c r="AP158" s="92">
        <v>0</v>
      </c>
      <c r="AQ158" s="282">
        <v>0</v>
      </c>
      <c r="AR158" s="93">
        <v>0</v>
      </c>
      <c r="AS158" s="104">
        <v>0</v>
      </c>
      <c r="AT158" s="245">
        <v>1</v>
      </c>
      <c r="AU158" s="260">
        <v>0</v>
      </c>
      <c r="AV158" s="93">
        <v>76.906119323658189</v>
      </c>
      <c r="AW158" s="104">
        <v>232.77770415934785</v>
      </c>
      <c r="AX158" s="93">
        <v>76.906119323658189</v>
      </c>
      <c r="AY158" s="243">
        <v>232.77770415934785</v>
      </c>
    </row>
    <row r="159" spans="1:51" ht="60">
      <c r="A159" s="113" t="s">
        <v>965</v>
      </c>
      <c r="B159" s="90" t="s">
        <v>939</v>
      </c>
      <c r="C159" s="246" t="s">
        <v>11</v>
      </c>
      <c r="D159" s="253" t="s">
        <v>1414</v>
      </c>
      <c r="E159" s="253" t="s">
        <v>221</v>
      </c>
      <c r="F159" s="253" t="s">
        <v>1446</v>
      </c>
      <c r="G159" s="253" t="s">
        <v>223</v>
      </c>
      <c r="H159" s="246" t="s">
        <v>110</v>
      </c>
      <c r="I159" s="246" t="s">
        <v>142</v>
      </c>
      <c r="J159" s="246" t="s">
        <v>47</v>
      </c>
      <c r="K159" s="256" t="s">
        <v>49</v>
      </c>
      <c r="L159" s="250" t="s">
        <v>18</v>
      </c>
      <c r="M159" s="90">
        <v>2</v>
      </c>
      <c r="N159" s="251">
        <v>1</v>
      </c>
      <c r="O159" s="90">
        <v>3</v>
      </c>
      <c r="P159" s="93">
        <v>115.64829973482435</v>
      </c>
      <c r="Q159" s="93">
        <v>57.824149867412174</v>
      </c>
      <c r="R159" s="93">
        <v>350.04166038999676</v>
      </c>
      <c r="S159" s="104">
        <v>175.02083019499838</v>
      </c>
      <c r="T159" s="250" t="s">
        <v>107</v>
      </c>
      <c r="U159" s="90">
        <v>0</v>
      </c>
      <c r="V159" s="251">
        <v>0</v>
      </c>
      <c r="W159" s="90">
        <v>0</v>
      </c>
      <c r="X159" s="93">
        <v>0</v>
      </c>
      <c r="Y159" s="93">
        <v>0</v>
      </c>
      <c r="Z159" s="93">
        <v>0</v>
      </c>
      <c r="AA159" s="104">
        <v>0</v>
      </c>
      <c r="AB159" s="250" t="s">
        <v>107</v>
      </c>
      <c r="AC159" s="97">
        <v>0</v>
      </c>
      <c r="AD159" s="252">
        <v>0</v>
      </c>
      <c r="AE159" s="97">
        <v>0</v>
      </c>
      <c r="AF159" s="93">
        <v>0</v>
      </c>
      <c r="AG159" s="93">
        <v>0</v>
      </c>
      <c r="AH159" s="93">
        <v>0</v>
      </c>
      <c r="AI159" s="93">
        <v>0</v>
      </c>
      <c r="AJ159" s="247" t="s">
        <v>49</v>
      </c>
      <c r="AK159" s="246"/>
      <c r="AL159" s="93">
        <v>0</v>
      </c>
      <c r="AM159" s="93">
        <v>0</v>
      </c>
      <c r="AN159" s="254" t="s">
        <v>0</v>
      </c>
      <c r="AO159" s="246">
        <v>0</v>
      </c>
      <c r="AP159" s="92">
        <v>0</v>
      </c>
      <c r="AQ159" s="282">
        <v>0</v>
      </c>
      <c r="AR159" s="93">
        <v>0</v>
      </c>
      <c r="AS159" s="104">
        <v>0</v>
      </c>
      <c r="AT159" s="245">
        <v>1</v>
      </c>
      <c r="AU159" s="260">
        <v>0</v>
      </c>
      <c r="AV159" s="93">
        <v>173.47244960223651</v>
      </c>
      <c r="AW159" s="104">
        <v>525.0624905849952</v>
      </c>
      <c r="AX159" s="93">
        <v>173.47244960223651</v>
      </c>
      <c r="AY159" s="243">
        <v>525.0624905849952</v>
      </c>
    </row>
    <row r="160" spans="1:51" ht="80.25" customHeight="1">
      <c r="A160" s="113" t="s">
        <v>966</v>
      </c>
      <c r="B160" s="90" t="s">
        <v>940</v>
      </c>
      <c r="C160" s="246" t="s">
        <v>11</v>
      </c>
      <c r="D160" s="253" t="s">
        <v>1414</v>
      </c>
      <c r="E160" s="253" t="s">
        <v>221</v>
      </c>
      <c r="F160" s="253" t="s">
        <v>1446</v>
      </c>
      <c r="G160" s="253" t="s">
        <v>350</v>
      </c>
      <c r="H160" s="246" t="s">
        <v>109</v>
      </c>
      <c r="I160" s="246" t="s">
        <v>142</v>
      </c>
      <c r="J160" s="246" t="s">
        <v>47</v>
      </c>
      <c r="K160" s="256" t="s">
        <v>142</v>
      </c>
      <c r="L160" s="250" t="s">
        <v>18</v>
      </c>
      <c r="M160" s="90">
        <v>0.33</v>
      </c>
      <c r="N160" s="251">
        <v>1</v>
      </c>
      <c r="O160" s="90">
        <v>1.33</v>
      </c>
      <c r="P160" s="93">
        <v>19.081969456246018</v>
      </c>
      <c r="Q160" s="93">
        <v>57.824149867412174</v>
      </c>
      <c r="R160" s="93">
        <v>57.75687396434946</v>
      </c>
      <c r="S160" s="104">
        <v>175.02083019499838</v>
      </c>
      <c r="T160" s="250" t="s">
        <v>107</v>
      </c>
      <c r="U160" s="90">
        <v>0</v>
      </c>
      <c r="V160" s="251">
        <v>0</v>
      </c>
      <c r="W160" s="90">
        <v>0</v>
      </c>
      <c r="X160" s="93">
        <v>0</v>
      </c>
      <c r="Y160" s="93">
        <v>0</v>
      </c>
      <c r="Z160" s="93">
        <v>0</v>
      </c>
      <c r="AA160" s="104">
        <v>0</v>
      </c>
      <c r="AB160" s="250" t="s">
        <v>107</v>
      </c>
      <c r="AC160" s="97">
        <v>0</v>
      </c>
      <c r="AD160" s="252">
        <v>0</v>
      </c>
      <c r="AE160" s="97">
        <v>0</v>
      </c>
      <c r="AF160" s="93">
        <v>0</v>
      </c>
      <c r="AG160" s="93">
        <v>0</v>
      </c>
      <c r="AH160" s="93">
        <v>0</v>
      </c>
      <c r="AI160" s="93">
        <v>0</v>
      </c>
      <c r="AJ160" s="247" t="s">
        <v>49</v>
      </c>
      <c r="AK160" s="246"/>
      <c r="AL160" s="93">
        <v>0</v>
      </c>
      <c r="AM160" s="93">
        <v>0</v>
      </c>
      <c r="AN160" s="254" t="s">
        <v>0</v>
      </c>
      <c r="AO160" s="246">
        <v>0</v>
      </c>
      <c r="AP160" s="92">
        <v>0</v>
      </c>
      <c r="AQ160" s="282">
        <v>0</v>
      </c>
      <c r="AR160" s="93">
        <v>700.3791783912435</v>
      </c>
      <c r="AS160" s="104">
        <v>801.19082556287378</v>
      </c>
      <c r="AT160" s="245">
        <v>1</v>
      </c>
      <c r="AU160" s="260">
        <v>0</v>
      </c>
      <c r="AV160" s="93">
        <v>76.906119323658189</v>
      </c>
      <c r="AW160" s="104">
        <v>232.77770415934785</v>
      </c>
      <c r="AX160" s="93">
        <v>777.28529771490173</v>
      </c>
      <c r="AY160" s="243">
        <v>1033.9685297222215</v>
      </c>
    </row>
    <row r="161" spans="1:51" ht="79.5" customHeight="1">
      <c r="A161" s="113" t="s">
        <v>967</v>
      </c>
      <c r="B161" s="90" t="s">
        <v>941</v>
      </c>
      <c r="C161" s="246" t="s">
        <v>11</v>
      </c>
      <c r="D161" s="253" t="s">
        <v>1414</v>
      </c>
      <c r="E161" s="253" t="s">
        <v>221</v>
      </c>
      <c r="F161" s="253" t="s">
        <v>1446</v>
      </c>
      <c r="G161" s="253" t="s">
        <v>350</v>
      </c>
      <c r="H161" s="246" t="s">
        <v>110</v>
      </c>
      <c r="I161" s="246" t="s">
        <v>142</v>
      </c>
      <c r="J161" s="246" t="s">
        <v>47</v>
      </c>
      <c r="K161" s="256" t="s">
        <v>142</v>
      </c>
      <c r="L161" s="250" t="s">
        <v>18</v>
      </c>
      <c r="M161" s="90">
        <v>2</v>
      </c>
      <c r="N161" s="251">
        <v>1</v>
      </c>
      <c r="O161" s="90">
        <v>3</v>
      </c>
      <c r="P161" s="93">
        <v>115.64829973482435</v>
      </c>
      <c r="Q161" s="93">
        <v>57.824149867412174</v>
      </c>
      <c r="R161" s="93">
        <v>350.04166038999676</v>
      </c>
      <c r="S161" s="104">
        <v>175.02083019499838</v>
      </c>
      <c r="T161" s="250" t="s">
        <v>107</v>
      </c>
      <c r="U161" s="90">
        <v>0</v>
      </c>
      <c r="V161" s="251">
        <v>0</v>
      </c>
      <c r="W161" s="90">
        <v>0</v>
      </c>
      <c r="X161" s="93">
        <v>0</v>
      </c>
      <c r="Y161" s="93">
        <v>0</v>
      </c>
      <c r="Z161" s="93">
        <v>0</v>
      </c>
      <c r="AA161" s="104">
        <v>0</v>
      </c>
      <c r="AB161" s="250" t="s">
        <v>107</v>
      </c>
      <c r="AC161" s="97">
        <v>0</v>
      </c>
      <c r="AD161" s="252">
        <v>0</v>
      </c>
      <c r="AE161" s="97">
        <v>0</v>
      </c>
      <c r="AF161" s="93">
        <v>0</v>
      </c>
      <c r="AG161" s="93">
        <v>0</v>
      </c>
      <c r="AH161" s="93">
        <v>0</v>
      </c>
      <c r="AI161" s="93">
        <v>0</v>
      </c>
      <c r="AJ161" s="247" t="s">
        <v>49</v>
      </c>
      <c r="AK161" s="246"/>
      <c r="AL161" s="93">
        <v>0</v>
      </c>
      <c r="AM161" s="93">
        <v>0</v>
      </c>
      <c r="AN161" s="254" t="s">
        <v>0</v>
      </c>
      <c r="AO161" s="246">
        <v>0</v>
      </c>
      <c r="AP161" s="92">
        <v>0</v>
      </c>
      <c r="AQ161" s="282">
        <v>0</v>
      </c>
      <c r="AR161" s="93">
        <v>700.3791783912435</v>
      </c>
      <c r="AS161" s="104">
        <v>801.19082556287378</v>
      </c>
      <c r="AT161" s="245">
        <v>1</v>
      </c>
      <c r="AU161" s="260">
        <v>0</v>
      </c>
      <c r="AV161" s="93">
        <v>173.47244960223651</v>
      </c>
      <c r="AW161" s="104">
        <v>525.0624905849952</v>
      </c>
      <c r="AX161" s="93">
        <v>873.85162799347995</v>
      </c>
      <c r="AY161" s="243">
        <v>1326.2533161478691</v>
      </c>
    </row>
    <row r="162" spans="1:51" ht="80.25" customHeight="1">
      <c r="A162" s="113" t="s">
        <v>968</v>
      </c>
      <c r="B162" s="90" t="s">
        <v>942</v>
      </c>
      <c r="C162" s="246" t="s">
        <v>11</v>
      </c>
      <c r="D162" s="253" t="s">
        <v>1414</v>
      </c>
      <c r="E162" s="253" t="s">
        <v>221</v>
      </c>
      <c r="F162" s="253" t="s">
        <v>1446</v>
      </c>
      <c r="G162" s="253" t="s">
        <v>224</v>
      </c>
      <c r="H162" s="246" t="s">
        <v>109</v>
      </c>
      <c r="I162" s="246" t="s">
        <v>142</v>
      </c>
      <c r="J162" s="246" t="s">
        <v>113</v>
      </c>
      <c r="K162" s="256" t="s">
        <v>49</v>
      </c>
      <c r="L162" s="250" t="s">
        <v>18</v>
      </c>
      <c r="M162" s="90">
        <v>0.33</v>
      </c>
      <c r="N162" s="251">
        <v>1</v>
      </c>
      <c r="O162" s="90">
        <v>1.33</v>
      </c>
      <c r="P162" s="93">
        <v>25.084366852241615</v>
      </c>
      <c r="Q162" s="93">
        <v>76.013232885580649</v>
      </c>
      <c r="R162" s="93">
        <v>75.924794769346875</v>
      </c>
      <c r="S162" s="104">
        <v>230.07513566468748</v>
      </c>
      <c r="T162" s="250" t="s">
        <v>107</v>
      </c>
      <c r="U162" s="90">
        <v>0</v>
      </c>
      <c r="V162" s="251">
        <v>0</v>
      </c>
      <c r="W162" s="90">
        <v>0</v>
      </c>
      <c r="X162" s="93">
        <v>0</v>
      </c>
      <c r="Y162" s="93">
        <v>0</v>
      </c>
      <c r="Z162" s="93">
        <v>0</v>
      </c>
      <c r="AA162" s="104">
        <v>0</v>
      </c>
      <c r="AB162" s="250" t="s">
        <v>107</v>
      </c>
      <c r="AC162" s="97">
        <v>0</v>
      </c>
      <c r="AD162" s="252">
        <v>0</v>
      </c>
      <c r="AE162" s="97">
        <v>0</v>
      </c>
      <c r="AF162" s="93">
        <v>0</v>
      </c>
      <c r="AG162" s="93">
        <v>0</v>
      </c>
      <c r="AH162" s="93">
        <v>0</v>
      </c>
      <c r="AI162" s="93">
        <v>0</v>
      </c>
      <c r="AJ162" s="247" t="s">
        <v>49</v>
      </c>
      <c r="AK162" s="246"/>
      <c r="AL162" s="93">
        <v>0</v>
      </c>
      <c r="AM162" s="93">
        <v>0</v>
      </c>
      <c r="AN162" s="254" t="s">
        <v>0</v>
      </c>
      <c r="AO162" s="246">
        <v>0</v>
      </c>
      <c r="AP162" s="92">
        <v>0</v>
      </c>
      <c r="AQ162" s="282">
        <v>0</v>
      </c>
      <c r="AR162" s="93">
        <v>0</v>
      </c>
      <c r="AS162" s="104">
        <v>0</v>
      </c>
      <c r="AT162" s="245">
        <v>1</v>
      </c>
      <c r="AU162" s="260">
        <v>0</v>
      </c>
      <c r="AV162" s="93">
        <v>101.09759973782226</v>
      </c>
      <c r="AW162" s="104">
        <v>305.99993043403435</v>
      </c>
      <c r="AX162" s="93">
        <v>101.09759973782226</v>
      </c>
      <c r="AY162" s="243">
        <v>305.99993043403435</v>
      </c>
    </row>
    <row r="163" spans="1:51" ht="79.5" customHeight="1">
      <c r="A163" s="113" t="s">
        <v>969</v>
      </c>
      <c r="B163" s="90" t="s">
        <v>1212</v>
      </c>
      <c r="C163" s="246" t="s">
        <v>11</v>
      </c>
      <c r="D163" s="253" t="s">
        <v>1414</v>
      </c>
      <c r="E163" s="253" t="s">
        <v>221</v>
      </c>
      <c r="F163" s="253" t="s">
        <v>1446</v>
      </c>
      <c r="G163" s="253" t="s">
        <v>224</v>
      </c>
      <c r="H163" s="246" t="s">
        <v>110</v>
      </c>
      <c r="I163" s="246" t="s">
        <v>142</v>
      </c>
      <c r="J163" s="246" t="s">
        <v>113</v>
      </c>
      <c r="K163" s="256" t="s">
        <v>49</v>
      </c>
      <c r="L163" s="250" t="s">
        <v>18</v>
      </c>
      <c r="M163" s="90">
        <v>2</v>
      </c>
      <c r="N163" s="251">
        <v>1</v>
      </c>
      <c r="O163" s="90">
        <v>3</v>
      </c>
      <c r="P163" s="93">
        <v>152.0264657711613</v>
      </c>
      <c r="Q163" s="93">
        <v>76.013232885580649</v>
      </c>
      <c r="R163" s="93">
        <v>460.15027132937496</v>
      </c>
      <c r="S163" s="104">
        <v>230.07513566468748</v>
      </c>
      <c r="T163" s="250" t="s">
        <v>107</v>
      </c>
      <c r="U163" s="90">
        <v>0</v>
      </c>
      <c r="V163" s="251">
        <v>0</v>
      </c>
      <c r="W163" s="90">
        <v>0</v>
      </c>
      <c r="X163" s="93">
        <v>0</v>
      </c>
      <c r="Y163" s="93">
        <v>0</v>
      </c>
      <c r="Z163" s="93">
        <v>0</v>
      </c>
      <c r="AA163" s="104">
        <v>0</v>
      </c>
      <c r="AB163" s="250" t="s">
        <v>107</v>
      </c>
      <c r="AC163" s="97">
        <v>0</v>
      </c>
      <c r="AD163" s="252">
        <v>0</v>
      </c>
      <c r="AE163" s="97">
        <v>0</v>
      </c>
      <c r="AF163" s="93">
        <v>0</v>
      </c>
      <c r="AG163" s="93">
        <v>0</v>
      </c>
      <c r="AH163" s="93">
        <v>0</v>
      </c>
      <c r="AI163" s="93">
        <v>0</v>
      </c>
      <c r="AJ163" s="247" t="s">
        <v>49</v>
      </c>
      <c r="AK163" s="246"/>
      <c r="AL163" s="93">
        <v>0</v>
      </c>
      <c r="AM163" s="93">
        <v>0</v>
      </c>
      <c r="AN163" s="254" t="s">
        <v>0</v>
      </c>
      <c r="AO163" s="246">
        <v>0</v>
      </c>
      <c r="AP163" s="92">
        <v>0</v>
      </c>
      <c r="AQ163" s="282">
        <v>0</v>
      </c>
      <c r="AR163" s="93">
        <v>0</v>
      </c>
      <c r="AS163" s="104">
        <v>0</v>
      </c>
      <c r="AT163" s="245">
        <v>1</v>
      </c>
      <c r="AU163" s="260">
        <v>0</v>
      </c>
      <c r="AV163" s="93">
        <v>228.03969865674196</v>
      </c>
      <c r="AW163" s="104">
        <v>690.2254069940625</v>
      </c>
      <c r="AX163" s="93">
        <v>228.03969865674196</v>
      </c>
      <c r="AY163" s="243">
        <v>690.2254069940625</v>
      </c>
    </row>
    <row r="164" spans="1:51" ht="80.25" customHeight="1">
      <c r="A164" s="113" t="s">
        <v>970</v>
      </c>
      <c r="B164" s="90" t="s">
        <v>943</v>
      </c>
      <c r="C164" s="246" t="s">
        <v>11</v>
      </c>
      <c r="D164" s="253" t="s">
        <v>1414</v>
      </c>
      <c r="E164" s="253" t="s">
        <v>221</v>
      </c>
      <c r="F164" s="253" t="s">
        <v>1446</v>
      </c>
      <c r="G164" s="253" t="s">
        <v>351</v>
      </c>
      <c r="H164" s="246" t="s">
        <v>109</v>
      </c>
      <c r="I164" s="246" t="s">
        <v>142</v>
      </c>
      <c r="J164" s="246" t="s">
        <v>113</v>
      </c>
      <c r="K164" s="256" t="s">
        <v>142</v>
      </c>
      <c r="L164" s="250" t="s">
        <v>18</v>
      </c>
      <c r="M164" s="90">
        <v>0.33</v>
      </c>
      <c r="N164" s="251">
        <v>1</v>
      </c>
      <c r="O164" s="90">
        <v>1.33</v>
      </c>
      <c r="P164" s="93">
        <v>25.084366852241615</v>
      </c>
      <c r="Q164" s="93">
        <v>76.013232885580649</v>
      </c>
      <c r="R164" s="93">
        <v>75.924794769346875</v>
      </c>
      <c r="S164" s="104">
        <v>230.07513566468748</v>
      </c>
      <c r="T164" s="250" t="s">
        <v>107</v>
      </c>
      <c r="U164" s="90">
        <v>0</v>
      </c>
      <c r="V164" s="251">
        <v>0</v>
      </c>
      <c r="W164" s="90">
        <v>0</v>
      </c>
      <c r="X164" s="93">
        <v>0</v>
      </c>
      <c r="Y164" s="93">
        <v>0</v>
      </c>
      <c r="Z164" s="93">
        <v>0</v>
      </c>
      <c r="AA164" s="104">
        <v>0</v>
      </c>
      <c r="AB164" s="250" t="s">
        <v>107</v>
      </c>
      <c r="AC164" s="97">
        <v>0</v>
      </c>
      <c r="AD164" s="252">
        <v>0</v>
      </c>
      <c r="AE164" s="97">
        <v>0</v>
      </c>
      <c r="AF164" s="93">
        <v>0</v>
      </c>
      <c r="AG164" s="93">
        <v>0</v>
      </c>
      <c r="AH164" s="93">
        <v>0</v>
      </c>
      <c r="AI164" s="93">
        <v>0</v>
      </c>
      <c r="AJ164" s="247" t="s">
        <v>49</v>
      </c>
      <c r="AK164" s="246"/>
      <c r="AL164" s="93">
        <v>0</v>
      </c>
      <c r="AM164" s="93">
        <v>0</v>
      </c>
      <c r="AN164" s="254" t="s">
        <v>0</v>
      </c>
      <c r="AO164" s="246">
        <v>0</v>
      </c>
      <c r="AP164" s="92">
        <v>0</v>
      </c>
      <c r="AQ164" s="282">
        <v>0</v>
      </c>
      <c r="AR164" s="93">
        <v>700.3791783912435</v>
      </c>
      <c r="AS164" s="104">
        <v>801.19082556287378</v>
      </c>
      <c r="AT164" s="245">
        <v>1</v>
      </c>
      <c r="AU164" s="260">
        <v>0</v>
      </c>
      <c r="AV164" s="93">
        <v>101.09759973782226</v>
      </c>
      <c r="AW164" s="104">
        <v>305.99993043403435</v>
      </c>
      <c r="AX164" s="93">
        <v>801.47677812906579</v>
      </c>
      <c r="AY164" s="243">
        <v>1107.1907559969081</v>
      </c>
    </row>
    <row r="165" spans="1:51" ht="60">
      <c r="A165" s="113" t="s">
        <v>971</v>
      </c>
      <c r="B165" s="90" t="s">
        <v>1213</v>
      </c>
      <c r="C165" s="246" t="s">
        <v>11</v>
      </c>
      <c r="D165" s="253" t="s">
        <v>1414</v>
      </c>
      <c r="E165" s="253" t="s">
        <v>221</v>
      </c>
      <c r="F165" s="253" t="s">
        <v>1446</v>
      </c>
      <c r="G165" s="253" t="s">
        <v>351</v>
      </c>
      <c r="H165" s="246" t="s">
        <v>110</v>
      </c>
      <c r="I165" s="246" t="s">
        <v>142</v>
      </c>
      <c r="J165" s="246" t="s">
        <v>113</v>
      </c>
      <c r="K165" s="256" t="s">
        <v>142</v>
      </c>
      <c r="L165" s="250" t="s">
        <v>18</v>
      </c>
      <c r="M165" s="90">
        <v>2</v>
      </c>
      <c r="N165" s="251">
        <v>1</v>
      </c>
      <c r="O165" s="90">
        <v>3</v>
      </c>
      <c r="P165" s="93">
        <v>152.0264657711613</v>
      </c>
      <c r="Q165" s="93">
        <v>76.013232885580649</v>
      </c>
      <c r="R165" s="93">
        <v>460.15027132937496</v>
      </c>
      <c r="S165" s="104">
        <v>230.07513566468748</v>
      </c>
      <c r="T165" s="250" t="s">
        <v>107</v>
      </c>
      <c r="U165" s="90">
        <v>0</v>
      </c>
      <c r="V165" s="251">
        <v>0</v>
      </c>
      <c r="W165" s="90">
        <v>0</v>
      </c>
      <c r="X165" s="93">
        <v>0</v>
      </c>
      <c r="Y165" s="93">
        <v>0</v>
      </c>
      <c r="Z165" s="93">
        <v>0</v>
      </c>
      <c r="AA165" s="104">
        <v>0</v>
      </c>
      <c r="AB165" s="250" t="s">
        <v>107</v>
      </c>
      <c r="AC165" s="97">
        <v>0</v>
      </c>
      <c r="AD165" s="252">
        <v>0</v>
      </c>
      <c r="AE165" s="97">
        <v>0</v>
      </c>
      <c r="AF165" s="93">
        <v>0</v>
      </c>
      <c r="AG165" s="93">
        <v>0</v>
      </c>
      <c r="AH165" s="93">
        <v>0</v>
      </c>
      <c r="AI165" s="93">
        <v>0</v>
      </c>
      <c r="AJ165" s="247" t="s">
        <v>49</v>
      </c>
      <c r="AK165" s="246"/>
      <c r="AL165" s="93">
        <v>0</v>
      </c>
      <c r="AM165" s="93">
        <v>0</v>
      </c>
      <c r="AN165" s="254" t="s">
        <v>0</v>
      </c>
      <c r="AO165" s="246">
        <v>0</v>
      </c>
      <c r="AP165" s="92">
        <v>0</v>
      </c>
      <c r="AQ165" s="282">
        <v>0</v>
      </c>
      <c r="AR165" s="93">
        <v>700.3791783912435</v>
      </c>
      <c r="AS165" s="104">
        <v>801.19082556287378</v>
      </c>
      <c r="AT165" s="245">
        <v>1</v>
      </c>
      <c r="AU165" s="260">
        <v>0</v>
      </c>
      <c r="AV165" s="93">
        <v>228.03969865674196</v>
      </c>
      <c r="AW165" s="104">
        <v>690.2254069940625</v>
      </c>
      <c r="AX165" s="93">
        <v>928.41887704798546</v>
      </c>
      <c r="AY165" s="243">
        <v>1491.4162325569364</v>
      </c>
    </row>
    <row r="166" spans="1:51" ht="60">
      <c r="A166" s="113" t="s">
        <v>972</v>
      </c>
      <c r="B166" s="90" t="s">
        <v>1214</v>
      </c>
      <c r="C166" s="246" t="s">
        <v>11</v>
      </c>
      <c r="D166" s="253" t="s">
        <v>1414</v>
      </c>
      <c r="E166" s="253" t="s">
        <v>221</v>
      </c>
      <c r="F166" s="253" t="s">
        <v>1446</v>
      </c>
      <c r="G166" s="253" t="s">
        <v>225</v>
      </c>
      <c r="H166" s="246" t="s">
        <v>109</v>
      </c>
      <c r="I166" s="246" t="s">
        <v>142</v>
      </c>
      <c r="J166" s="246" t="s">
        <v>113</v>
      </c>
      <c r="K166" s="256" t="s">
        <v>49</v>
      </c>
      <c r="L166" s="250" t="s">
        <v>18</v>
      </c>
      <c r="M166" s="90">
        <v>0.33</v>
      </c>
      <c r="N166" s="251">
        <v>1</v>
      </c>
      <c r="O166" s="90">
        <v>1.33</v>
      </c>
      <c r="P166" s="93">
        <v>25.084366852241615</v>
      </c>
      <c r="Q166" s="93">
        <v>76.013232885580649</v>
      </c>
      <c r="R166" s="93">
        <v>75.924794769346875</v>
      </c>
      <c r="S166" s="104">
        <v>230.07513566468748</v>
      </c>
      <c r="T166" s="250" t="s">
        <v>107</v>
      </c>
      <c r="U166" s="90">
        <v>0</v>
      </c>
      <c r="V166" s="251">
        <v>0</v>
      </c>
      <c r="W166" s="90">
        <v>0</v>
      </c>
      <c r="X166" s="93">
        <v>0</v>
      </c>
      <c r="Y166" s="93">
        <v>0</v>
      </c>
      <c r="Z166" s="93">
        <v>0</v>
      </c>
      <c r="AA166" s="104">
        <v>0</v>
      </c>
      <c r="AB166" s="250" t="s">
        <v>107</v>
      </c>
      <c r="AC166" s="97">
        <v>0</v>
      </c>
      <c r="AD166" s="252">
        <v>0</v>
      </c>
      <c r="AE166" s="97">
        <v>0</v>
      </c>
      <c r="AF166" s="93">
        <v>0</v>
      </c>
      <c r="AG166" s="93">
        <v>0</v>
      </c>
      <c r="AH166" s="93">
        <v>0</v>
      </c>
      <c r="AI166" s="93">
        <v>0</v>
      </c>
      <c r="AJ166" s="247" t="s">
        <v>49</v>
      </c>
      <c r="AK166" s="246"/>
      <c r="AL166" s="93">
        <v>0</v>
      </c>
      <c r="AM166" s="93">
        <v>0</v>
      </c>
      <c r="AN166" s="254" t="s">
        <v>0</v>
      </c>
      <c r="AO166" s="246">
        <v>0</v>
      </c>
      <c r="AP166" s="92">
        <v>0</v>
      </c>
      <c r="AQ166" s="282">
        <v>0</v>
      </c>
      <c r="AR166" s="93">
        <v>0</v>
      </c>
      <c r="AS166" s="104">
        <v>0</v>
      </c>
      <c r="AT166" s="245">
        <v>1</v>
      </c>
      <c r="AU166" s="260">
        <v>0</v>
      </c>
      <c r="AV166" s="93">
        <v>101.09759973782226</v>
      </c>
      <c r="AW166" s="104">
        <v>305.99993043403435</v>
      </c>
      <c r="AX166" s="93">
        <v>101.09759973782226</v>
      </c>
      <c r="AY166" s="243">
        <v>305.99993043403435</v>
      </c>
    </row>
    <row r="167" spans="1:51" ht="60">
      <c r="A167" s="113" t="s">
        <v>973</v>
      </c>
      <c r="B167" s="90" t="s">
        <v>1215</v>
      </c>
      <c r="C167" s="246" t="s">
        <v>11</v>
      </c>
      <c r="D167" s="253" t="s">
        <v>1414</v>
      </c>
      <c r="E167" s="253" t="s">
        <v>221</v>
      </c>
      <c r="F167" s="253" t="s">
        <v>1446</v>
      </c>
      <c r="G167" s="253" t="s">
        <v>225</v>
      </c>
      <c r="H167" s="246" t="s">
        <v>110</v>
      </c>
      <c r="I167" s="246" t="s">
        <v>142</v>
      </c>
      <c r="J167" s="246" t="s">
        <v>113</v>
      </c>
      <c r="K167" s="256" t="s">
        <v>49</v>
      </c>
      <c r="L167" s="250" t="s">
        <v>18</v>
      </c>
      <c r="M167" s="90">
        <v>2</v>
      </c>
      <c r="N167" s="251">
        <v>1</v>
      </c>
      <c r="O167" s="90">
        <v>3</v>
      </c>
      <c r="P167" s="93">
        <v>152.0264657711613</v>
      </c>
      <c r="Q167" s="93">
        <v>76.013232885580649</v>
      </c>
      <c r="R167" s="93">
        <v>460.15027132937496</v>
      </c>
      <c r="S167" s="104">
        <v>230.07513566468748</v>
      </c>
      <c r="T167" s="250" t="s">
        <v>107</v>
      </c>
      <c r="U167" s="90">
        <v>0</v>
      </c>
      <c r="V167" s="251">
        <v>0</v>
      </c>
      <c r="W167" s="90">
        <v>0</v>
      </c>
      <c r="X167" s="93">
        <v>0</v>
      </c>
      <c r="Y167" s="93">
        <v>0</v>
      </c>
      <c r="Z167" s="93">
        <v>0</v>
      </c>
      <c r="AA167" s="104">
        <v>0</v>
      </c>
      <c r="AB167" s="250" t="s">
        <v>107</v>
      </c>
      <c r="AC167" s="97">
        <v>0</v>
      </c>
      <c r="AD167" s="252">
        <v>0</v>
      </c>
      <c r="AE167" s="97">
        <v>0</v>
      </c>
      <c r="AF167" s="93">
        <v>0</v>
      </c>
      <c r="AG167" s="93">
        <v>0</v>
      </c>
      <c r="AH167" s="93">
        <v>0</v>
      </c>
      <c r="AI167" s="93">
        <v>0</v>
      </c>
      <c r="AJ167" s="247" t="s">
        <v>49</v>
      </c>
      <c r="AK167" s="246"/>
      <c r="AL167" s="93">
        <v>0</v>
      </c>
      <c r="AM167" s="93">
        <v>0</v>
      </c>
      <c r="AN167" s="254" t="s">
        <v>0</v>
      </c>
      <c r="AO167" s="246">
        <v>0</v>
      </c>
      <c r="AP167" s="92">
        <v>0</v>
      </c>
      <c r="AQ167" s="282">
        <v>0</v>
      </c>
      <c r="AR167" s="93">
        <v>0</v>
      </c>
      <c r="AS167" s="104">
        <v>0</v>
      </c>
      <c r="AT167" s="245">
        <v>1</v>
      </c>
      <c r="AU167" s="260">
        <v>0</v>
      </c>
      <c r="AV167" s="93">
        <v>228.03969865674196</v>
      </c>
      <c r="AW167" s="104">
        <v>690.2254069940625</v>
      </c>
      <c r="AX167" s="93">
        <v>228.03969865674196</v>
      </c>
      <c r="AY167" s="243">
        <v>690.2254069940625</v>
      </c>
    </row>
    <row r="168" spans="1:51" ht="60">
      <c r="A168" s="113" t="s">
        <v>974</v>
      </c>
      <c r="B168" s="90" t="s">
        <v>1216</v>
      </c>
      <c r="C168" s="246" t="s">
        <v>11</v>
      </c>
      <c r="D168" s="253" t="s">
        <v>1414</v>
      </c>
      <c r="E168" s="253" t="s">
        <v>221</v>
      </c>
      <c r="F168" s="253" t="s">
        <v>1446</v>
      </c>
      <c r="G168" s="253" t="s">
        <v>355</v>
      </c>
      <c r="H168" s="246" t="s">
        <v>109</v>
      </c>
      <c r="I168" s="246" t="s">
        <v>142</v>
      </c>
      <c r="J168" s="246" t="s">
        <v>113</v>
      </c>
      <c r="K168" s="256" t="s">
        <v>142</v>
      </c>
      <c r="L168" s="250" t="s">
        <v>18</v>
      </c>
      <c r="M168" s="90">
        <v>0.33</v>
      </c>
      <c r="N168" s="251">
        <v>1</v>
      </c>
      <c r="O168" s="90">
        <v>1.33</v>
      </c>
      <c r="P168" s="93">
        <v>25.084366852241615</v>
      </c>
      <c r="Q168" s="93">
        <v>76.013232885580649</v>
      </c>
      <c r="R168" s="93">
        <v>75.924794769346875</v>
      </c>
      <c r="S168" s="104">
        <v>230.07513566468748</v>
      </c>
      <c r="T168" s="250" t="s">
        <v>107</v>
      </c>
      <c r="U168" s="90">
        <v>0</v>
      </c>
      <c r="V168" s="251">
        <v>0</v>
      </c>
      <c r="W168" s="90">
        <v>0</v>
      </c>
      <c r="X168" s="93">
        <v>0</v>
      </c>
      <c r="Y168" s="93">
        <v>0</v>
      </c>
      <c r="Z168" s="93">
        <v>0</v>
      </c>
      <c r="AA168" s="104">
        <v>0</v>
      </c>
      <c r="AB168" s="250" t="s">
        <v>107</v>
      </c>
      <c r="AC168" s="97">
        <v>0</v>
      </c>
      <c r="AD168" s="252">
        <v>0</v>
      </c>
      <c r="AE168" s="97">
        <v>0</v>
      </c>
      <c r="AF168" s="93">
        <v>0</v>
      </c>
      <c r="AG168" s="93">
        <v>0</v>
      </c>
      <c r="AH168" s="93">
        <v>0</v>
      </c>
      <c r="AI168" s="93">
        <v>0</v>
      </c>
      <c r="AJ168" s="247" t="s">
        <v>49</v>
      </c>
      <c r="AK168" s="246"/>
      <c r="AL168" s="93">
        <v>0</v>
      </c>
      <c r="AM168" s="93">
        <v>0</v>
      </c>
      <c r="AN168" s="254" t="s">
        <v>0</v>
      </c>
      <c r="AO168" s="246">
        <v>0</v>
      </c>
      <c r="AP168" s="92">
        <v>0</v>
      </c>
      <c r="AQ168" s="282">
        <v>0</v>
      </c>
      <c r="AR168" s="93">
        <v>700.3791783912435</v>
      </c>
      <c r="AS168" s="104">
        <v>801.19082556287378</v>
      </c>
      <c r="AT168" s="245">
        <v>1</v>
      </c>
      <c r="AU168" s="260">
        <v>0</v>
      </c>
      <c r="AV168" s="93">
        <v>101.09759973782226</v>
      </c>
      <c r="AW168" s="104">
        <v>305.99993043403435</v>
      </c>
      <c r="AX168" s="93">
        <v>801.47677812906579</v>
      </c>
      <c r="AY168" s="243">
        <v>1107.1907559969081</v>
      </c>
    </row>
    <row r="169" spans="1:51" ht="79.5" customHeight="1">
      <c r="A169" s="113" t="s">
        <v>975</v>
      </c>
      <c r="B169" s="90" t="s">
        <v>1217</v>
      </c>
      <c r="C169" s="246" t="s">
        <v>11</v>
      </c>
      <c r="D169" s="253" t="s">
        <v>1414</v>
      </c>
      <c r="E169" s="253" t="s">
        <v>221</v>
      </c>
      <c r="F169" s="253" t="s">
        <v>1446</v>
      </c>
      <c r="G169" s="253" t="s">
        <v>355</v>
      </c>
      <c r="H169" s="246" t="s">
        <v>110</v>
      </c>
      <c r="I169" s="246" t="s">
        <v>142</v>
      </c>
      <c r="J169" s="246" t="s">
        <v>113</v>
      </c>
      <c r="K169" s="256" t="s">
        <v>142</v>
      </c>
      <c r="L169" s="250" t="s">
        <v>18</v>
      </c>
      <c r="M169" s="90">
        <v>2</v>
      </c>
      <c r="N169" s="251">
        <v>1</v>
      </c>
      <c r="O169" s="90">
        <v>3</v>
      </c>
      <c r="P169" s="93">
        <v>152.0264657711613</v>
      </c>
      <c r="Q169" s="93">
        <v>76.013232885580649</v>
      </c>
      <c r="R169" s="93">
        <v>460.15027132937496</v>
      </c>
      <c r="S169" s="104">
        <v>230.07513566468748</v>
      </c>
      <c r="T169" s="250" t="s">
        <v>107</v>
      </c>
      <c r="U169" s="90">
        <v>0</v>
      </c>
      <c r="V169" s="251">
        <v>0</v>
      </c>
      <c r="W169" s="90">
        <v>0</v>
      </c>
      <c r="X169" s="93">
        <v>0</v>
      </c>
      <c r="Y169" s="93">
        <v>0</v>
      </c>
      <c r="Z169" s="93">
        <v>0</v>
      </c>
      <c r="AA169" s="104">
        <v>0</v>
      </c>
      <c r="AB169" s="250" t="s">
        <v>107</v>
      </c>
      <c r="AC169" s="97">
        <v>0</v>
      </c>
      <c r="AD169" s="252">
        <v>0</v>
      </c>
      <c r="AE169" s="97">
        <v>0</v>
      </c>
      <c r="AF169" s="93">
        <v>0</v>
      </c>
      <c r="AG169" s="93">
        <v>0</v>
      </c>
      <c r="AH169" s="93">
        <v>0</v>
      </c>
      <c r="AI169" s="93">
        <v>0</v>
      </c>
      <c r="AJ169" s="247" t="s">
        <v>49</v>
      </c>
      <c r="AK169" s="246"/>
      <c r="AL169" s="93">
        <v>0</v>
      </c>
      <c r="AM169" s="93">
        <v>0</v>
      </c>
      <c r="AN169" s="254" t="s">
        <v>0</v>
      </c>
      <c r="AO169" s="246">
        <v>0</v>
      </c>
      <c r="AP169" s="92">
        <v>0</v>
      </c>
      <c r="AQ169" s="282">
        <v>0</v>
      </c>
      <c r="AR169" s="93">
        <v>700.3791783912435</v>
      </c>
      <c r="AS169" s="104">
        <v>801.19082556287378</v>
      </c>
      <c r="AT169" s="245">
        <v>1</v>
      </c>
      <c r="AU169" s="260">
        <v>0</v>
      </c>
      <c r="AV169" s="93">
        <v>228.03969865674196</v>
      </c>
      <c r="AW169" s="104">
        <v>690.2254069940625</v>
      </c>
      <c r="AX169" s="93">
        <v>928.41887704798546</v>
      </c>
      <c r="AY169" s="243">
        <v>1491.4162325569364</v>
      </c>
    </row>
    <row r="170" spans="1:51" ht="80.25" customHeight="1">
      <c r="A170" s="113" t="s">
        <v>976</v>
      </c>
      <c r="B170" s="90" t="s">
        <v>1218</v>
      </c>
      <c r="C170" s="246" t="s">
        <v>11</v>
      </c>
      <c r="D170" s="253" t="s">
        <v>1414</v>
      </c>
      <c r="E170" s="253" t="s">
        <v>227</v>
      </c>
      <c r="F170" s="253" t="s">
        <v>391</v>
      </c>
      <c r="G170" s="253" t="s">
        <v>228</v>
      </c>
      <c r="H170" s="246" t="s">
        <v>109</v>
      </c>
      <c r="I170" s="246" t="s">
        <v>142</v>
      </c>
      <c r="J170" s="246" t="s">
        <v>47</v>
      </c>
      <c r="K170" s="256" t="s">
        <v>49</v>
      </c>
      <c r="L170" s="250" t="s">
        <v>18</v>
      </c>
      <c r="M170" s="90">
        <v>0.33</v>
      </c>
      <c r="N170" s="251">
        <v>1.1499999999999999</v>
      </c>
      <c r="O170" s="90">
        <v>1.48</v>
      </c>
      <c r="P170" s="93">
        <v>19.081969456246018</v>
      </c>
      <c r="Q170" s="93">
        <v>66.497772347523991</v>
      </c>
      <c r="R170" s="93">
        <v>57.75687396434946</v>
      </c>
      <c r="S170" s="104">
        <v>201.27395472424814</v>
      </c>
      <c r="T170" s="250" t="s">
        <v>18</v>
      </c>
      <c r="U170" s="90">
        <v>0.33</v>
      </c>
      <c r="V170" s="251">
        <v>1.1499999999999999</v>
      </c>
      <c r="W170" s="90">
        <v>1.48</v>
      </c>
      <c r="X170" s="93">
        <v>19.081969456246018</v>
      </c>
      <c r="Y170" s="93">
        <v>66.497772347523991</v>
      </c>
      <c r="Z170" s="93">
        <v>57.75687396434946</v>
      </c>
      <c r="AA170" s="104">
        <v>201.27395472424814</v>
      </c>
      <c r="AB170" s="250" t="s">
        <v>107</v>
      </c>
      <c r="AC170" s="97">
        <v>0</v>
      </c>
      <c r="AD170" s="252">
        <v>0</v>
      </c>
      <c r="AE170" s="97">
        <v>0</v>
      </c>
      <c r="AF170" s="93">
        <v>0</v>
      </c>
      <c r="AG170" s="93">
        <v>0</v>
      </c>
      <c r="AH170" s="93">
        <v>0</v>
      </c>
      <c r="AI170" s="93">
        <v>0</v>
      </c>
      <c r="AJ170" s="247" t="s">
        <v>49</v>
      </c>
      <c r="AK170" s="246"/>
      <c r="AL170" s="93">
        <v>0</v>
      </c>
      <c r="AM170" s="93">
        <v>0</v>
      </c>
      <c r="AN170" s="254" t="s">
        <v>0</v>
      </c>
      <c r="AO170" s="246">
        <v>0</v>
      </c>
      <c r="AP170" s="92">
        <v>0</v>
      </c>
      <c r="AQ170" s="282">
        <v>0</v>
      </c>
      <c r="AR170" s="93">
        <v>0</v>
      </c>
      <c r="AS170" s="104">
        <v>0</v>
      </c>
      <c r="AT170" s="245">
        <v>1</v>
      </c>
      <c r="AU170" s="260">
        <v>0</v>
      </c>
      <c r="AV170" s="93">
        <v>171.15948360754001</v>
      </c>
      <c r="AW170" s="104">
        <v>518.06165737719516</v>
      </c>
      <c r="AX170" s="93">
        <v>171.15948360754001</v>
      </c>
      <c r="AY170" s="243">
        <v>518.06165737719516</v>
      </c>
    </row>
    <row r="171" spans="1:51" ht="79.5" customHeight="1">
      <c r="A171" s="113" t="s">
        <v>977</v>
      </c>
      <c r="B171" s="90" t="s">
        <v>1219</v>
      </c>
      <c r="C171" s="246" t="s">
        <v>11</v>
      </c>
      <c r="D171" s="253" t="s">
        <v>1414</v>
      </c>
      <c r="E171" s="253" t="s">
        <v>227</v>
      </c>
      <c r="F171" s="253" t="s">
        <v>391</v>
      </c>
      <c r="G171" s="253" t="s">
        <v>228</v>
      </c>
      <c r="H171" s="246" t="s">
        <v>110</v>
      </c>
      <c r="I171" s="246" t="s">
        <v>142</v>
      </c>
      <c r="J171" s="246" t="s">
        <v>47</v>
      </c>
      <c r="K171" s="256" t="s">
        <v>49</v>
      </c>
      <c r="L171" s="250" t="s">
        <v>18</v>
      </c>
      <c r="M171" s="90">
        <v>2</v>
      </c>
      <c r="N171" s="251">
        <v>1.1499999999999999</v>
      </c>
      <c r="O171" s="90">
        <v>3.15</v>
      </c>
      <c r="P171" s="93">
        <v>115.64829973482435</v>
      </c>
      <c r="Q171" s="93">
        <v>66.497772347523991</v>
      </c>
      <c r="R171" s="93">
        <v>350.04166038999676</v>
      </c>
      <c r="S171" s="104">
        <v>201.27395472424814</v>
      </c>
      <c r="T171" s="250" t="s">
        <v>18</v>
      </c>
      <c r="U171" s="90">
        <v>2</v>
      </c>
      <c r="V171" s="251">
        <v>1.1499999999999999</v>
      </c>
      <c r="W171" s="90">
        <v>3.15</v>
      </c>
      <c r="X171" s="93">
        <v>115.64829973482435</v>
      </c>
      <c r="Y171" s="93">
        <v>66.497772347523991</v>
      </c>
      <c r="Z171" s="93">
        <v>350.04166038999676</v>
      </c>
      <c r="AA171" s="104">
        <v>201.27395472424814</v>
      </c>
      <c r="AB171" s="250" t="s">
        <v>107</v>
      </c>
      <c r="AC171" s="97">
        <v>0</v>
      </c>
      <c r="AD171" s="252">
        <v>0</v>
      </c>
      <c r="AE171" s="97">
        <v>0</v>
      </c>
      <c r="AF171" s="93">
        <v>0</v>
      </c>
      <c r="AG171" s="93">
        <v>0</v>
      </c>
      <c r="AH171" s="93">
        <v>0</v>
      </c>
      <c r="AI171" s="93">
        <v>0</v>
      </c>
      <c r="AJ171" s="247" t="s">
        <v>49</v>
      </c>
      <c r="AK171" s="246"/>
      <c r="AL171" s="93">
        <v>0</v>
      </c>
      <c r="AM171" s="93">
        <v>0</v>
      </c>
      <c r="AN171" s="254" t="s">
        <v>0</v>
      </c>
      <c r="AO171" s="246">
        <v>0</v>
      </c>
      <c r="AP171" s="92">
        <v>0</v>
      </c>
      <c r="AQ171" s="282">
        <v>0</v>
      </c>
      <c r="AR171" s="93">
        <v>0</v>
      </c>
      <c r="AS171" s="104">
        <v>0</v>
      </c>
      <c r="AT171" s="245">
        <v>1</v>
      </c>
      <c r="AU171" s="260">
        <v>0</v>
      </c>
      <c r="AV171" s="93">
        <v>364.29214416469665</v>
      </c>
      <c r="AW171" s="104">
        <v>1102.6312302284898</v>
      </c>
      <c r="AX171" s="93">
        <v>364.29214416469665</v>
      </c>
      <c r="AY171" s="243">
        <v>1102.6312302284898</v>
      </c>
    </row>
    <row r="172" spans="1:51" ht="107.25" customHeight="1">
      <c r="A172" s="113" t="s">
        <v>978</v>
      </c>
      <c r="B172" s="90" t="s">
        <v>1220</v>
      </c>
      <c r="C172" s="246" t="s">
        <v>11</v>
      </c>
      <c r="D172" s="253" t="s">
        <v>1414</v>
      </c>
      <c r="E172" s="253" t="s">
        <v>227</v>
      </c>
      <c r="F172" s="253" t="s">
        <v>391</v>
      </c>
      <c r="G172" s="253" t="s">
        <v>240</v>
      </c>
      <c r="H172" s="246" t="s">
        <v>109</v>
      </c>
      <c r="I172" s="246" t="s">
        <v>142</v>
      </c>
      <c r="J172" s="246" t="s">
        <v>47</v>
      </c>
      <c r="K172" s="256" t="s">
        <v>142</v>
      </c>
      <c r="L172" s="250" t="s">
        <v>18</v>
      </c>
      <c r="M172" s="90">
        <v>0.33</v>
      </c>
      <c r="N172" s="251">
        <v>1.1499999999999999</v>
      </c>
      <c r="O172" s="90">
        <v>1.48</v>
      </c>
      <c r="P172" s="93">
        <v>19.081969456246018</v>
      </c>
      <c r="Q172" s="93">
        <v>66.497772347523991</v>
      </c>
      <c r="R172" s="93">
        <v>57.75687396434946</v>
      </c>
      <c r="S172" s="104">
        <v>201.27395472424814</v>
      </c>
      <c r="T172" s="250" t="s">
        <v>18</v>
      </c>
      <c r="U172" s="90">
        <v>0.33</v>
      </c>
      <c r="V172" s="251">
        <v>1.1499999999999999</v>
      </c>
      <c r="W172" s="90">
        <v>1.48</v>
      </c>
      <c r="X172" s="93">
        <v>19.081969456246018</v>
      </c>
      <c r="Y172" s="93">
        <v>66.497772347523991</v>
      </c>
      <c r="Z172" s="93">
        <v>57.75687396434946</v>
      </c>
      <c r="AA172" s="104">
        <v>201.27395472424814</v>
      </c>
      <c r="AB172" s="250" t="s">
        <v>107</v>
      </c>
      <c r="AC172" s="97">
        <v>0</v>
      </c>
      <c r="AD172" s="252">
        <v>0</v>
      </c>
      <c r="AE172" s="97">
        <v>0</v>
      </c>
      <c r="AF172" s="93">
        <v>0</v>
      </c>
      <c r="AG172" s="93">
        <v>0</v>
      </c>
      <c r="AH172" s="93">
        <v>0</v>
      </c>
      <c r="AI172" s="93">
        <v>0</v>
      </c>
      <c r="AJ172" s="247" t="s">
        <v>49</v>
      </c>
      <c r="AK172" s="246"/>
      <c r="AL172" s="93">
        <v>0</v>
      </c>
      <c r="AM172" s="93">
        <v>0</v>
      </c>
      <c r="AN172" s="254" t="s">
        <v>0</v>
      </c>
      <c r="AO172" s="246">
        <v>0</v>
      </c>
      <c r="AP172" s="92">
        <v>0</v>
      </c>
      <c r="AQ172" s="282">
        <v>0</v>
      </c>
      <c r="AR172" s="93">
        <v>700.3791783912435</v>
      </c>
      <c r="AS172" s="104">
        <v>801.19082556287378</v>
      </c>
      <c r="AT172" s="245">
        <v>1</v>
      </c>
      <c r="AU172" s="260">
        <v>0</v>
      </c>
      <c r="AV172" s="93">
        <v>171.15948360754001</v>
      </c>
      <c r="AW172" s="104">
        <v>518.06165737719516</v>
      </c>
      <c r="AX172" s="93">
        <v>871.53866199878348</v>
      </c>
      <c r="AY172" s="243">
        <v>1319.2524829400691</v>
      </c>
    </row>
    <row r="173" spans="1:51" ht="85.5" customHeight="1">
      <c r="A173" s="113" t="s">
        <v>979</v>
      </c>
      <c r="B173" s="90" t="s">
        <v>1221</v>
      </c>
      <c r="C173" s="246" t="s">
        <v>11</v>
      </c>
      <c r="D173" s="253" t="s">
        <v>1414</v>
      </c>
      <c r="E173" s="253" t="s">
        <v>227</v>
      </c>
      <c r="F173" s="253" t="s">
        <v>391</v>
      </c>
      <c r="G173" s="253" t="s">
        <v>240</v>
      </c>
      <c r="H173" s="246" t="s">
        <v>110</v>
      </c>
      <c r="I173" s="246" t="s">
        <v>142</v>
      </c>
      <c r="J173" s="246" t="s">
        <v>47</v>
      </c>
      <c r="K173" s="256" t="s">
        <v>142</v>
      </c>
      <c r="L173" s="250" t="s">
        <v>18</v>
      </c>
      <c r="M173" s="90">
        <v>2</v>
      </c>
      <c r="N173" s="251">
        <v>1.1499999999999999</v>
      </c>
      <c r="O173" s="90">
        <v>3.15</v>
      </c>
      <c r="P173" s="93">
        <v>115.64829973482435</v>
      </c>
      <c r="Q173" s="93">
        <v>66.497772347523991</v>
      </c>
      <c r="R173" s="93">
        <v>350.04166038999676</v>
      </c>
      <c r="S173" s="104">
        <v>201.27395472424814</v>
      </c>
      <c r="T173" s="250" t="s">
        <v>18</v>
      </c>
      <c r="U173" s="90">
        <v>2</v>
      </c>
      <c r="V173" s="251">
        <v>1.1499999999999999</v>
      </c>
      <c r="W173" s="90">
        <v>3.15</v>
      </c>
      <c r="X173" s="93">
        <v>115.64829973482435</v>
      </c>
      <c r="Y173" s="93">
        <v>66.497772347523991</v>
      </c>
      <c r="Z173" s="93">
        <v>350.04166038999676</v>
      </c>
      <c r="AA173" s="104">
        <v>201.27395472424814</v>
      </c>
      <c r="AB173" s="250" t="s">
        <v>107</v>
      </c>
      <c r="AC173" s="97">
        <v>0</v>
      </c>
      <c r="AD173" s="252">
        <v>0</v>
      </c>
      <c r="AE173" s="97">
        <v>0</v>
      </c>
      <c r="AF173" s="93">
        <v>0</v>
      </c>
      <c r="AG173" s="93">
        <v>0</v>
      </c>
      <c r="AH173" s="93">
        <v>0</v>
      </c>
      <c r="AI173" s="93">
        <v>0</v>
      </c>
      <c r="AJ173" s="247" t="s">
        <v>49</v>
      </c>
      <c r="AK173" s="246"/>
      <c r="AL173" s="93">
        <v>0</v>
      </c>
      <c r="AM173" s="93">
        <v>0</v>
      </c>
      <c r="AN173" s="254" t="s">
        <v>0</v>
      </c>
      <c r="AO173" s="246">
        <v>0</v>
      </c>
      <c r="AP173" s="92">
        <v>0</v>
      </c>
      <c r="AQ173" s="282">
        <v>0</v>
      </c>
      <c r="AR173" s="93">
        <v>700.3791783912435</v>
      </c>
      <c r="AS173" s="104">
        <v>801.19082556287378</v>
      </c>
      <c r="AT173" s="245">
        <v>1</v>
      </c>
      <c r="AU173" s="260">
        <v>0</v>
      </c>
      <c r="AV173" s="93">
        <v>364.29214416469665</v>
      </c>
      <c r="AW173" s="104">
        <v>1102.6312302284898</v>
      </c>
      <c r="AX173" s="93">
        <v>1064.6713225559402</v>
      </c>
      <c r="AY173" s="243">
        <v>1903.8220557913637</v>
      </c>
    </row>
    <row r="174" spans="1:51" ht="89.25" customHeight="1">
      <c r="A174" s="113" t="s">
        <v>980</v>
      </c>
      <c r="B174" s="90" t="s">
        <v>1222</v>
      </c>
      <c r="C174" s="246" t="s">
        <v>11</v>
      </c>
      <c r="D174" s="253" t="s">
        <v>1414</v>
      </c>
      <c r="E174" s="253" t="s">
        <v>227</v>
      </c>
      <c r="F174" s="253" t="s">
        <v>391</v>
      </c>
      <c r="G174" s="253" t="s">
        <v>229</v>
      </c>
      <c r="H174" s="246" t="s">
        <v>109</v>
      </c>
      <c r="I174" s="246" t="s">
        <v>142</v>
      </c>
      <c r="J174" s="246" t="s">
        <v>113</v>
      </c>
      <c r="K174" s="256" t="s">
        <v>49</v>
      </c>
      <c r="L174" s="250" t="s">
        <v>18</v>
      </c>
      <c r="M174" s="90">
        <v>0.33</v>
      </c>
      <c r="N174" s="251">
        <v>1.1499999999999999</v>
      </c>
      <c r="O174" s="90">
        <v>1.48</v>
      </c>
      <c r="P174" s="93">
        <v>25.084366852241615</v>
      </c>
      <c r="Q174" s="93">
        <v>87.415217818417744</v>
      </c>
      <c r="R174" s="93">
        <v>75.924794769346875</v>
      </c>
      <c r="S174" s="104">
        <v>264.5864060143906</v>
      </c>
      <c r="T174" s="250" t="s">
        <v>18</v>
      </c>
      <c r="U174" s="90">
        <v>0.33</v>
      </c>
      <c r="V174" s="251">
        <v>1.1499999999999999</v>
      </c>
      <c r="W174" s="90">
        <v>1.48</v>
      </c>
      <c r="X174" s="93">
        <v>25.084366852241615</v>
      </c>
      <c r="Y174" s="93">
        <v>87.415217818417744</v>
      </c>
      <c r="Z174" s="93">
        <v>75.924794769346875</v>
      </c>
      <c r="AA174" s="104">
        <v>264.5864060143906</v>
      </c>
      <c r="AB174" s="250" t="s">
        <v>107</v>
      </c>
      <c r="AC174" s="97">
        <v>0</v>
      </c>
      <c r="AD174" s="252">
        <v>0</v>
      </c>
      <c r="AE174" s="97">
        <v>0</v>
      </c>
      <c r="AF174" s="93">
        <v>0</v>
      </c>
      <c r="AG174" s="93">
        <v>0</v>
      </c>
      <c r="AH174" s="93">
        <v>0</v>
      </c>
      <c r="AI174" s="93">
        <v>0</v>
      </c>
      <c r="AJ174" s="247" t="s">
        <v>49</v>
      </c>
      <c r="AK174" s="246"/>
      <c r="AL174" s="93">
        <v>0</v>
      </c>
      <c r="AM174" s="93">
        <v>0</v>
      </c>
      <c r="AN174" s="254" t="s">
        <v>0</v>
      </c>
      <c r="AO174" s="246">
        <v>0</v>
      </c>
      <c r="AP174" s="92">
        <v>0</v>
      </c>
      <c r="AQ174" s="282">
        <v>0</v>
      </c>
      <c r="AR174" s="93">
        <v>0</v>
      </c>
      <c r="AS174" s="104">
        <v>0</v>
      </c>
      <c r="AT174" s="245">
        <v>1</v>
      </c>
      <c r="AU174" s="260">
        <v>0</v>
      </c>
      <c r="AV174" s="93">
        <v>224.99916934131872</v>
      </c>
      <c r="AW174" s="104">
        <v>681.02240156747496</v>
      </c>
      <c r="AX174" s="93">
        <v>224.99916934131872</v>
      </c>
      <c r="AY174" s="243">
        <v>681.02240156747496</v>
      </c>
    </row>
    <row r="175" spans="1:51" ht="89.25" customHeight="1">
      <c r="A175" s="113" t="s">
        <v>981</v>
      </c>
      <c r="B175" s="90" t="s">
        <v>1223</v>
      </c>
      <c r="C175" s="246" t="s">
        <v>11</v>
      </c>
      <c r="D175" s="253" t="s">
        <v>1414</v>
      </c>
      <c r="E175" s="253" t="s">
        <v>227</v>
      </c>
      <c r="F175" s="253" t="s">
        <v>391</v>
      </c>
      <c r="G175" s="253" t="s">
        <v>229</v>
      </c>
      <c r="H175" s="246" t="s">
        <v>110</v>
      </c>
      <c r="I175" s="246" t="s">
        <v>142</v>
      </c>
      <c r="J175" s="246" t="s">
        <v>113</v>
      </c>
      <c r="K175" s="256" t="s">
        <v>49</v>
      </c>
      <c r="L175" s="250" t="s">
        <v>18</v>
      </c>
      <c r="M175" s="90">
        <v>2</v>
      </c>
      <c r="N175" s="251">
        <v>1.1499999999999999</v>
      </c>
      <c r="O175" s="90">
        <v>3.15</v>
      </c>
      <c r="P175" s="93">
        <v>152.0264657711613</v>
      </c>
      <c r="Q175" s="93">
        <v>87.415217818417744</v>
      </c>
      <c r="R175" s="93">
        <v>460.15027132937496</v>
      </c>
      <c r="S175" s="104">
        <v>264.5864060143906</v>
      </c>
      <c r="T175" s="250" t="s">
        <v>18</v>
      </c>
      <c r="U175" s="90">
        <v>2</v>
      </c>
      <c r="V175" s="251">
        <v>1.1499999999999999</v>
      </c>
      <c r="W175" s="90">
        <v>3.15</v>
      </c>
      <c r="X175" s="93">
        <v>152.0264657711613</v>
      </c>
      <c r="Y175" s="93">
        <v>87.415217818417744</v>
      </c>
      <c r="Z175" s="93">
        <v>460.15027132937496</v>
      </c>
      <c r="AA175" s="104">
        <v>264.5864060143906</v>
      </c>
      <c r="AB175" s="250" t="s">
        <v>107</v>
      </c>
      <c r="AC175" s="97">
        <v>0</v>
      </c>
      <c r="AD175" s="252">
        <v>0</v>
      </c>
      <c r="AE175" s="97">
        <v>0</v>
      </c>
      <c r="AF175" s="93">
        <v>0</v>
      </c>
      <c r="AG175" s="93">
        <v>0</v>
      </c>
      <c r="AH175" s="93">
        <v>0</v>
      </c>
      <c r="AI175" s="93">
        <v>0</v>
      </c>
      <c r="AJ175" s="247" t="s">
        <v>49</v>
      </c>
      <c r="AK175" s="246"/>
      <c r="AL175" s="93">
        <v>0</v>
      </c>
      <c r="AM175" s="93">
        <v>0</v>
      </c>
      <c r="AN175" s="254" t="s">
        <v>0</v>
      </c>
      <c r="AO175" s="246">
        <v>0</v>
      </c>
      <c r="AP175" s="92">
        <v>0</v>
      </c>
      <c r="AQ175" s="282">
        <v>0</v>
      </c>
      <c r="AR175" s="93">
        <v>0</v>
      </c>
      <c r="AS175" s="104">
        <v>0</v>
      </c>
      <c r="AT175" s="245">
        <v>1</v>
      </c>
      <c r="AU175" s="260">
        <v>0</v>
      </c>
      <c r="AV175" s="93">
        <v>478.88336717915809</v>
      </c>
      <c r="AW175" s="104">
        <v>1449.4733546875311</v>
      </c>
      <c r="AX175" s="93">
        <v>478.88336717915809</v>
      </c>
      <c r="AY175" s="243">
        <v>1449.4733546875311</v>
      </c>
    </row>
    <row r="176" spans="1:51" ht="102.75" customHeight="1">
      <c r="A176" s="113" t="s">
        <v>982</v>
      </c>
      <c r="B176" s="90" t="s">
        <v>1224</v>
      </c>
      <c r="C176" s="246" t="s">
        <v>11</v>
      </c>
      <c r="D176" s="253" t="s">
        <v>1414</v>
      </c>
      <c r="E176" s="253" t="s">
        <v>227</v>
      </c>
      <c r="F176" s="253" t="s">
        <v>391</v>
      </c>
      <c r="G176" s="253" t="s">
        <v>241</v>
      </c>
      <c r="H176" s="246" t="s">
        <v>109</v>
      </c>
      <c r="I176" s="246" t="s">
        <v>142</v>
      </c>
      <c r="J176" s="246" t="s">
        <v>113</v>
      </c>
      <c r="K176" s="256" t="s">
        <v>142</v>
      </c>
      <c r="L176" s="250" t="s">
        <v>18</v>
      </c>
      <c r="M176" s="90">
        <v>0.33</v>
      </c>
      <c r="N176" s="251">
        <v>1.1499999999999999</v>
      </c>
      <c r="O176" s="90">
        <v>1.48</v>
      </c>
      <c r="P176" s="93">
        <v>25.084366852241615</v>
      </c>
      <c r="Q176" s="93">
        <v>87.415217818417744</v>
      </c>
      <c r="R176" s="93">
        <v>75.924794769346875</v>
      </c>
      <c r="S176" s="104">
        <v>264.5864060143906</v>
      </c>
      <c r="T176" s="250" t="s">
        <v>18</v>
      </c>
      <c r="U176" s="90">
        <v>0.33</v>
      </c>
      <c r="V176" s="251">
        <v>1.1499999999999999</v>
      </c>
      <c r="W176" s="90">
        <v>1.48</v>
      </c>
      <c r="X176" s="93">
        <v>25.084366852241615</v>
      </c>
      <c r="Y176" s="93">
        <v>87.415217818417744</v>
      </c>
      <c r="Z176" s="93">
        <v>75.924794769346875</v>
      </c>
      <c r="AA176" s="104">
        <v>264.5864060143906</v>
      </c>
      <c r="AB176" s="250" t="s">
        <v>107</v>
      </c>
      <c r="AC176" s="97">
        <v>0</v>
      </c>
      <c r="AD176" s="252">
        <v>0</v>
      </c>
      <c r="AE176" s="97">
        <v>0</v>
      </c>
      <c r="AF176" s="93">
        <v>0</v>
      </c>
      <c r="AG176" s="93">
        <v>0</v>
      </c>
      <c r="AH176" s="93">
        <v>0</v>
      </c>
      <c r="AI176" s="93">
        <v>0</v>
      </c>
      <c r="AJ176" s="247" t="s">
        <v>49</v>
      </c>
      <c r="AK176" s="246"/>
      <c r="AL176" s="93">
        <v>0</v>
      </c>
      <c r="AM176" s="93">
        <v>0</v>
      </c>
      <c r="AN176" s="254" t="s">
        <v>0</v>
      </c>
      <c r="AO176" s="246">
        <v>0</v>
      </c>
      <c r="AP176" s="92">
        <v>0</v>
      </c>
      <c r="AQ176" s="282">
        <v>0</v>
      </c>
      <c r="AR176" s="93">
        <v>700.3791783912435</v>
      </c>
      <c r="AS176" s="104">
        <v>801.19082556287378</v>
      </c>
      <c r="AT176" s="245">
        <v>1</v>
      </c>
      <c r="AU176" s="260">
        <v>0</v>
      </c>
      <c r="AV176" s="93">
        <v>224.99916934131872</v>
      </c>
      <c r="AW176" s="104">
        <v>681.02240156747496</v>
      </c>
      <c r="AX176" s="93">
        <v>925.37834773256225</v>
      </c>
      <c r="AY176" s="243">
        <v>1482.2132271303487</v>
      </c>
    </row>
    <row r="177" spans="1:51" ht="93" customHeight="1">
      <c r="A177" s="113" t="s">
        <v>983</v>
      </c>
      <c r="B177" s="90" t="s">
        <v>1225</v>
      </c>
      <c r="C177" s="246" t="s">
        <v>11</v>
      </c>
      <c r="D177" s="253" t="s">
        <v>1414</v>
      </c>
      <c r="E177" s="253" t="s">
        <v>227</v>
      </c>
      <c r="F177" s="253" t="s">
        <v>391</v>
      </c>
      <c r="G177" s="253" t="s">
        <v>241</v>
      </c>
      <c r="H177" s="246" t="s">
        <v>110</v>
      </c>
      <c r="I177" s="246" t="s">
        <v>142</v>
      </c>
      <c r="J177" s="246" t="s">
        <v>113</v>
      </c>
      <c r="K177" s="256" t="s">
        <v>142</v>
      </c>
      <c r="L177" s="250" t="s">
        <v>18</v>
      </c>
      <c r="M177" s="90">
        <v>2</v>
      </c>
      <c r="N177" s="251">
        <v>1.1499999999999999</v>
      </c>
      <c r="O177" s="90">
        <v>3.15</v>
      </c>
      <c r="P177" s="93">
        <v>152.0264657711613</v>
      </c>
      <c r="Q177" s="93">
        <v>87.415217818417744</v>
      </c>
      <c r="R177" s="93">
        <v>460.15027132937496</v>
      </c>
      <c r="S177" s="104">
        <v>264.5864060143906</v>
      </c>
      <c r="T177" s="250" t="s">
        <v>18</v>
      </c>
      <c r="U177" s="90">
        <v>2</v>
      </c>
      <c r="V177" s="251">
        <v>1.1499999999999999</v>
      </c>
      <c r="W177" s="90">
        <v>3.15</v>
      </c>
      <c r="X177" s="93">
        <v>152.0264657711613</v>
      </c>
      <c r="Y177" s="93">
        <v>87.415217818417744</v>
      </c>
      <c r="Z177" s="93">
        <v>460.15027132937496</v>
      </c>
      <c r="AA177" s="104">
        <v>264.5864060143906</v>
      </c>
      <c r="AB177" s="250" t="s">
        <v>107</v>
      </c>
      <c r="AC177" s="97">
        <v>0</v>
      </c>
      <c r="AD177" s="252">
        <v>0</v>
      </c>
      <c r="AE177" s="97">
        <v>0</v>
      </c>
      <c r="AF177" s="93">
        <v>0</v>
      </c>
      <c r="AG177" s="93">
        <v>0</v>
      </c>
      <c r="AH177" s="93">
        <v>0</v>
      </c>
      <c r="AI177" s="93">
        <v>0</v>
      </c>
      <c r="AJ177" s="247" t="s">
        <v>49</v>
      </c>
      <c r="AK177" s="246"/>
      <c r="AL177" s="93">
        <v>0</v>
      </c>
      <c r="AM177" s="93">
        <v>0</v>
      </c>
      <c r="AN177" s="254" t="s">
        <v>0</v>
      </c>
      <c r="AO177" s="246">
        <v>0</v>
      </c>
      <c r="AP177" s="92">
        <v>0</v>
      </c>
      <c r="AQ177" s="282">
        <v>0</v>
      </c>
      <c r="AR177" s="93">
        <v>700.3791783912435</v>
      </c>
      <c r="AS177" s="104">
        <v>801.19082556287378</v>
      </c>
      <c r="AT177" s="245">
        <v>1</v>
      </c>
      <c r="AU177" s="260">
        <v>0</v>
      </c>
      <c r="AV177" s="93">
        <v>478.88336717915809</v>
      </c>
      <c r="AW177" s="104">
        <v>1449.4733546875311</v>
      </c>
      <c r="AX177" s="93">
        <v>1179.2625455704015</v>
      </c>
      <c r="AY177" s="243">
        <v>2250.664180250405</v>
      </c>
    </row>
    <row r="178" spans="1:51" ht="97.5" customHeight="1">
      <c r="A178" s="113" t="s">
        <v>984</v>
      </c>
      <c r="B178" s="90" t="s">
        <v>1226</v>
      </c>
      <c r="C178" s="246" t="s">
        <v>11</v>
      </c>
      <c r="D178" s="253" t="s">
        <v>1414</v>
      </c>
      <c r="E178" s="253" t="s">
        <v>227</v>
      </c>
      <c r="F178" s="253" t="s">
        <v>391</v>
      </c>
      <c r="G178" s="253" t="s">
        <v>231</v>
      </c>
      <c r="H178" s="246" t="s">
        <v>109</v>
      </c>
      <c r="I178" s="246" t="s">
        <v>142</v>
      </c>
      <c r="J178" s="246" t="s">
        <v>47</v>
      </c>
      <c r="K178" s="256" t="s">
        <v>49</v>
      </c>
      <c r="L178" s="250" t="s">
        <v>18</v>
      </c>
      <c r="M178" s="90">
        <v>0.33</v>
      </c>
      <c r="N178" s="251">
        <v>1.54</v>
      </c>
      <c r="O178" s="90">
        <v>1.87</v>
      </c>
      <c r="P178" s="93">
        <v>19.081969456246018</v>
      </c>
      <c r="Q178" s="93">
        <v>89.049190795814752</v>
      </c>
      <c r="R178" s="93">
        <v>57.75687396434946</v>
      </c>
      <c r="S178" s="104">
        <v>269.53207850029753</v>
      </c>
      <c r="T178" s="250" t="s">
        <v>18</v>
      </c>
      <c r="U178" s="90">
        <v>0.33</v>
      </c>
      <c r="V178" s="251">
        <v>1.54</v>
      </c>
      <c r="W178" s="90">
        <v>1.87</v>
      </c>
      <c r="X178" s="93">
        <v>19.081969456246018</v>
      </c>
      <c r="Y178" s="93">
        <v>89.049190795814752</v>
      </c>
      <c r="Z178" s="93">
        <v>57.75687396434946</v>
      </c>
      <c r="AA178" s="104">
        <v>269.53207850029753</v>
      </c>
      <c r="AB178" s="250" t="s">
        <v>107</v>
      </c>
      <c r="AC178" s="97">
        <v>0</v>
      </c>
      <c r="AD178" s="252">
        <v>0</v>
      </c>
      <c r="AE178" s="97">
        <v>0</v>
      </c>
      <c r="AF178" s="93">
        <v>0</v>
      </c>
      <c r="AG178" s="93">
        <v>0</v>
      </c>
      <c r="AH178" s="93">
        <v>0</v>
      </c>
      <c r="AI178" s="93">
        <v>0</v>
      </c>
      <c r="AJ178" s="247" t="s">
        <v>49</v>
      </c>
      <c r="AK178" s="246"/>
      <c r="AL178" s="93">
        <v>0</v>
      </c>
      <c r="AM178" s="93">
        <v>0</v>
      </c>
      <c r="AN178" s="254" t="s">
        <v>0</v>
      </c>
      <c r="AO178" s="246">
        <v>0</v>
      </c>
      <c r="AP178" s="92">
        <v>0</v>
      </c>
      <c r="AQ178" s="282">
        <v>0</v>
      </c>
      <c r="AR178" s="93">
        <v>0</v>
      </c>
      <c r="AS178" s="104">
        <v>0</v>
      </c>
      <c r="AT178" s="245">
        <v>1</v>
      </c>
      <c r="AU178" s="260">
        <v>0</v>
      </c>
      <c r="AV178" s="93">
        <v>216.26232050412153</v>
      </c>
      <c r="AW178" s="104">
        <v>654.57790492929394</v>
      </c>
      <c r="AX178" s="93">
        <v>216.26232050412153</v>
      </c>
      <c r="AY178" s="243">
        <v>654.57790492929394</v>
      </c>
    </row>
    <row r="179" spans="1:51" ht="93.75" customHeight="1">
      <c r="A179" s="113" t="s">
        <v>985</v>
      </c>
      <c r="B179" s="90" t="s">
        <v>1227</v>
      </c>
      <c r="C179" s="246" t="s">
        <v>11</v>
      </c>
      <c r="D179" s="253" t="s">
        <v>1414</v>
      </c>
      <c r="E179" s="253" t="s">
        <v>227</v>
      </c>
      <c r="F179" s="253" t="s">
        <v>391</v>
      </c>
      <c r="G179" s="253" t="s">
        <v>231</v>
      </c>
      <c r="H179" s="246" t="s">
        <v>110</v>
      </c>
      <c r="I179" s="246" t="s">
        <v>142</v>
      </c>
      <c r="J179" s="246" t="s">
        <v>47</v>
      </c>
      <c r="K179" s="256" t="s">
        <v>49</v>
      </c>
      <c r="L179" s="250" t="s">
        <v>18</v>
      </c>
      <c r="M179" s="90">
        <v>2</v>
      </c>
      <c r="N179" s="251">
        <v>1.54</v>
      </c>
      <c r="O179" s="90">
        <v>3.54</v>
      </c>
      <c r="P179" s="93">
        <v>115.64829973482435</v>
      </c>
      <c r="Q179" s="93">
        <v>89.049190795814752</v>
      </c>
      <c r="R179" s="93">
        <v>350.04166038999676</v>
      </c>
      <c r="S179" s="104">
        <v>269.53207850029753</v>
      </c>
      <c r="T179" s="250" t="s">
        <v>18</v>
      </c>
      <c r="U179" s="90">
        <v>2</v>
      </c>
      <c r="V179" s="251">
        <v>1.54</v>
      </c>
      <c r="W179" s="90">
        <v>3.54</v>
      </c>
      <c r="X179" s="93">
        <v>115.64829973482435</v>
      </c>
      <c r="Y179" s="93">
        <v>89.049190795814752</v>
      </c>
      <c r="Z179" s="93">
        <v>350.04166038999676</v>
      </c>
      <c r="AA179" s="104">
        <v>269.53207850029753</v>
      </c>
      <c r="AB179" s="250" t="s">
        <v>107</v>
      </c>
      <c r="AC179" s="97">
        <v>0</v>
      </c>
      <c r="AD179" s="252">
        <v>0</v>
      </c>
      <c r="AE179" s="97">
        <v>0</v>
      </c>
      <c r="AF179" s="93">
        <v>0</v>
      </c>
      <c r="AG179" s="93">
        <v>0</v>
      </c>
      <c r="AH179" s="93">
        <v>0</v>
      </c>
      <c r="AI179" s="93">
        <v>0</v>
      </c>
      <c r="AJ179" s="247" t="s">
        <v>49</v>
      </c>
      <c r="AK179" s="246"/>
      <c r="AL179" s="93">
        <v>0</v>
      </c>
      <c r="AM179" s="93">
        <v>0</v>
      </c>
      <c r="AN179" s="254" t="s">
        <v>0</v>
      </c>
      <c r="AO179" s="246">
        <v>0</v>
      </c>
      <c r="AP179" s="92">
        <v>0</v>
      </c>
      <c r="AQ179" s="282">
        <v>0</v>
      </c>
      <c r="AR179" s="93">
        <v>0</v>
      </c>
      <c r="AS179" s="104">
        <v>0</v>
      </c>
      <c r="AT179" s="245">
        <v>1</v>
      </c>
      <c r="AU179" s="260">
        <v>0</v>
      </c>
      <c r="AV179" s="93">
        <v>409.3949810612782</v>
      </c>
      <c r="AW179" s="104">
        <v>1239.1474777805886</v>
      </c>
      <c r="AX179" s="93">
        <v>409.3949810612782</v>
      </c>
      <c r="AY179" s="243">
        <v>1239.1474777805886</v>
      </c>
    </row>
    <row r="180" spans="1:51" ht="90.75" customHeight="1">
      <c r="A180" s="113" t="s">
        <v>986</v>
      </c>
      <c r="B180" s="90" t="s">
        <v>1228</v>
      </c>
      <c r="C180" s="246" t="s">
        <v>11</v>
      </c>
      <c r="D180" s="253" t="s">
        <v>1414</v>
      </c>
      <c r="E180" s="253" t="s">
        <v>227</v>
      </c>
      <c r="F180" s="253" t="s">
        <v>391</v>
      </c>
      <c r="G180" s="253" t="s">
        <v>408</v>
      </c>
      <c r="H180" s="246" t="s">
        <v>109</v>
      </c>
      <c r="I180" s="246" t="s">
        <v>142</v>
      </c>
      <c r="J180" s="246" t="s">
        <v>47</v>
      </c>
      <c r="K180" s="256" t="s">
        <v>142</v>
      </c>
      <c r="L180" s="250" t="s">
        <v>18</v>
      </c>
      <c r="M180" s="90">
        <v>0.33</v>
      </c>
      <c r="N180" s="251">
        <v>1.54</v>
      </c>
      <c r="O180" s="90">
        <v>1.87</v>
      </c>
      <c r="P180" s="93">
        <v>19.081969456246018</v>
      </c>
      <c r="Q180" s="93">
        <v>89.049190795814752</v>
      </c>
      <c r="R180" s="93">
        <v>57.75687396434946</v>
      </c>
      <c r="S180" s="104">
        <v>269.53207850029753</v>
      </c>
      <c r="T180" s="250" t="s">
        <v>18</v>
      </c>
      <c r="U180" s="90">
        <v>0.33</v>
      </c>
      <c r="V180" s="251">
        <v>1.54</v>
      </c>
      <c r="W180" s="90">
        <v>1.87</v>
      </c>
      <c r="X180" s="93">
        <v>19.081969456246018</v>
      </c>
      <c r="Y180" s="93">
        <v>89.049190795814752</v>
      </c>
      <c r="Z180" s="93">
        <v>57.75687396434946</v>
      </c>
      <c r="AA180" s="104">
        <v>269.53207850029753</v>
      </c>
      <c r="AB180" s="250" t="s">
        <v>107</v>
      </c>
      <c r="AC180" s="97">
        <v>0</v>
      </c>
      <c r="AD180" s="252">
        <v>0</v>
      </c>
      <c r="AE180" s="97">
        <v>0</v>
      </c>
      <c r="AF180" s="93">
        <v>0</v>
      </c>
      <c r="AG180" s="93">
        <v>0</v>
      </c>
      <c r="AH180" s="93">
        <v>0</v>
      </c>
      <c r="AI180" s="93">
        <v>0</v>
      </c>
      <c r="AJ180" s="247" t="s">
        <v>49</v>
      </c>
      <c r="AK180" s="246"/>
      <c r="AL180" s="93">
        <v>0</v>
      </c>
      <c r="AM180" s="93">
        <v>0</v>
      </c>
      <c r="AN180" s="254" t="s">
        <v>0</v>
      </c>
      <c r="AO180" s="246">
        <v>0</v>
      </c>
      <c r="AP180" s="92">
        <v>0</v>
      </c>
      <c r="AQ180" s="282">
        <v>0</v>
      </c>
      <c r="AR180" s="93">
        <v>700.3791783912435</v>
      </c>
      <c r="AS180" s="104">
        <v>801.19082556287378</v>
      </c>
      <c r="AT180" s="245">
        <v>1</v>
      </c>
      <c r="AU180" s="260">
        <v>0</v>
      </c>
      <c r="AV180" s="93">
        <v>216.26232050412153</v>
      </c>
      <c r="AW180" s="104">
        <v>654.57790492929394</v>
      </c>
      <c r="AX180" s="93">
        <v>916.64149889536498</v>
      </c>
      <c r="AY180" s="243">
        <v>1455.7687304921678</v>
      </c>
    </row>
    <row r="181" spans="1:51" ht="93.75" customHeight="1">
      <c r="A181" s="113" t="s">
        <v>987</v>
      </c>
      <c r="B181" s="90" t="s">
        <v>1229</v>
      </c>
      <c r="C181" s="246" t="s">
        <v>11</v>
      </c>
      <c r="D181" s="253" t="s">
        <v>1414</v>
      </c>
      <c r="E181" s="253" t="s">
        <v>227</v>
      </c>
      <c r="F181" s="253" t="s">
        <v>391</v>
      </c>
      <c r="G181" s="253" t="s">
        <v>408</v>
      </c>
      <c r="H181" s="246" t="s">
        <v>110</v>
      </c>
      <c r="I181" s="246" t="s">
        <v>142</v>
      </c>
      <c r="J181" s="246" t="s">
        <v>47</v>
      </c>
      <c r="K181" s="256" t="s">
        <v>142</v>
      </c>
      <c r="L181" s="250" t="s">
        <v>18</v>
      </c>
      <c r="M181" s="90">
        <v>2</v>
      </c>
      <c r="N181" s="251">
        <v>1.54</v>
      </c>
      <c r="O181" s="90">
        <v>3.54</v>
      </c>
      <c r="P181" s="93">
        <v>115.64829973482435</v>
      </c>
      <c r="Q181" s="93">
        <v>89.049190795814752</v>
      </c>
      <c r="R181" s="93">
        <v>350.04166038999676</v>
      </c>
      <c r="S181" s="104">
        <v>269.53207850029753</v>
      </c>
      <c r="T181" s="250" t="s">
        <v>18</v>
      </c>
      <c r="U181" s="90">
        <v>2</v>
      </c>
      <c r="V181" s="251">
        <v>1.54</v>
      </c>
      <c r="W181" s="90">
        <v>3.54</v>
      </c>
      <c r="X181" s="93">
        <v>115.64829973482435</v>
      </c>
      <c r="Y181" s="93">
        <v>89.049190795814752</v>
      </c>
      <c r="Z181" s="93">
        <v>350.04166038999676</v>
      </c>
      <c r="AA181" s="104">
        <v>269.53207850029753</v>
      </c>
      <c r="AB181" s="250" t="s">
        <v>107</v>
      </c>
      <c r="AC181" s="97">
        <v>0</v>
      </c>
      <c r="AD181" s="252">
        <v>0</v>
      </c>
      <c r="AE181" s="97">
        <v>0</v>
      </c>
      <c r="AF181" s="93">
        <v>0</v>
      </c>
      <c r="AG181" s="93">
        <v>0</v>
      </c>
      <c r="AH181" s="93">
        <v>0</v>
      </c>
      <c r="AI181" s="93">
        <v>0</v>
      </c>
      <c r="AJ181" s="247" t="s">
        <v>49</v>
      </c>
      <c r="AK181" s="246"/>
      <c r="AL181" s="93">
        <v>0</v>
      </c>
      <c r="AM181" s="93">
        <v>0</v>
      </c>
      <c r="AN181" s="254" t="s">
        <v>0</v>
      </c>
      <c r="AO181" s="246">
        <v>0</v>
      </c>
      <c r="AP181" s="92">
        <v>0</v>
      </c>
      <c r="AQ181" s="282">
        <v>0</v>
      </c>
      <c r="AR181" s="93">
        <v>700.3791783912435</v>
      </c>
      <c r="AS181" s="104">
        <v>801.19082556287378</v>
      </c>
      <c r="AT181" s="245">
        <v>1</v>
      </c>
      <c r="AU181" s="260">
        <v>0</v>
      </c>
      <c r="AV181" s="93">
        <v>409.3949810612782</v>
      </c>
      <c r="AW181" s="104">
        <v>1239.1474777805886</v>
      </c>
      <c r="AX181" s="93">
        <v>1109.7741594525216</v>
      </c>
      <c r="AY181" s="243">
        <v>2040.3383033434625</v>
      </c>
    </row>
    <row r="182" spans="1:51" ht="95.25" customHeight="1">
      <c r="A182" s="113" t="s">
        <v>988</v>
      </c>
      <c r="B182" s="90" t="s">
        <v>1230</v>
      </c>
      <c r="C182" s="246" t="s">
        <v>11</v>
      </c>
      <c r="D182" s="253" t="s">
        <v>1414</v>
      </c>
      <c r="E182" s="253" t="s">
        <v>227</v>
      </c>
      <c r="F182" s="253" t="s">
        <v>391</v>
      </c>
      <c r="G182" s="253" t="s">
        <v>232</v>
      </c>
      <c r="H182" s="246" t="s">
        <v>109</v>
      </c>
      <c r="I182" s="246" t="s">
        <v>142</v>
      </c>
      <c r="J182" s="246" t="s">
        <v>113</v>
      </c>
      <c r="K182" s="256" t="s">
        <v>49</v>
      </c>
      <c r="L182" s="250" t="s">
        <v>18</v>
      </c>
      <c r="M182" s="90">
        <v>0.33</v>
      </c>
      <c r="N182" s="251">
        <v>1.54</v>
      </c>
      <c r="O182" s="90">
        <v>1.87</v>
      </c>
      <c r="P182" s="93">
        <v>25.084366852241615</v>
      </c>
      <c r="Q182" s="93">
        <v>117.06037864379421</v>
      </c>
      <c r="R182" s="93">
        <v>75.924794769346875</v>
      </c>
      <c r="S182" s="104">
        <v>354.31570892361884</v>
      </c>
      <c r="T182" s="250" t="s">
        <v>18</v>
      </c>
      <c r="U182" s="90">
        <v>0.33</v>
      </c>
      <c r="V182" s="251">
        <v>1.54</v>
      </c>
      <c r="W182" s="90">
        <v>1.87</v>
      </c>
      <c r="X182" s="93">
        <v>25.084366852241615</v>
      </c>
      <c r="Y182" s="93">
        <v>117.06037864379421</v>
      </c>
      <c r="Z182" s="93">
        <v>75.924794769346875</v>
      </c>
      <c r="AA182" s="104">
        <v>354.31570892361884</v>
      </c>
      <c r="AB182" s="250" t="s">
        <v>107</v>
      </c>
      <c r="AC182" s="97">
        <v>0</v>
      </c>
      <c r="AD182" s="252">
        <v>0</v>
      </c>
      <c r="AE182" s="97">
        <v>0</v>
      </c>
      <c r="AF182" s="93">
        <v>0</v>
      </c>
      <c r="AG182" s="93">
        <v>0</v>
      </c>
      <c r="AH182" s="93">
        <v>0</v>
      </c>
      <c r="AI182" s="93">
        <v>0</v>
      </c>
      <c r="AJ182" s="247" t="s">
        <v>49</v>
      </c>
      <c r="AK182" s="246"/>
      <c r="AL182" s="93">
        <v>0</v>
      </c>
      <c r="AM182" s="93">
        <v>0</v>
      </c>
      <c r="AN182" s="254" t="s">
        <v>0</v>
      </c>
      <c r="AO182" s="246">
        <v>0</v>
      </c>
      <c r="AP182" s="92">
        <v>0</v>
      </c>
      <c r="AQ182" s="282">
        <v>0</v>
      </c>
      <c r="AR182" s="93">
        <v>0</v>
      </c>
      <c r="AS182" s="104">
        <v>0</v>
      </c>
      <c r="AT182" s="245">
        <v>1</v>
      </c>
      <c r="AU182" s="260">
        <v>0</v>
      </c>
      <c r="AV182" s="93">
        <v>284.28949099207165</v>
      </c>
      <c r="AW182" s="104">
        <v>860.48100738593143</v>
      </c>
      <c r="AX182" s="93">
        <v>284.28949099207165</v>
      </c>
      <c r="AY182" s="243">
        <v>860.48100738593143</v>
      </c>
    </row>
    <row r="183" spans="1:51" ht="79.5" customHeight="1">
      <c r="A183" s="113" t="s">
        <v>989</v>
      </c>
      <c r="B183" s="90" t="s">
        <v>1231</v>
      </c>
      <c r="C183" s="246" t="s">
        <v>11</v>
      </c>
      <c r="D183" s="253" t="s">
        <v>1414</v>
      </c>
      <c r="E183" s="253" t="s">
        <v>227</v>
      </c>
      <c r="F183" s="253" t="s">
        <v>391</v>
      </c>
      <c r="G183" s="253" t="s">
        <v>232</v>
      </c>
      <c r="H183" s="246" t="s">
        <v>110</v>
      </c>
      <c r="I183" s="246" t="s">
        <v>142</v>
      </c>
      <c r="J183" s="246" t="s">
        <v>113</v>
      </c>
      <c r="K183" s="256" t="s">
        <v>49</v>
      </c>
      <c r="L183" s="250" t="s">
        <v>18</v>
      </c>
      <c r="M183" s="90">
        <v>2</v>
      </c>
      <c r="N183" s="251">
        <v>1.54</v>
      </c>
      <c r="O183" s="90">
        <v>3.54</v>
      </c>
      <c r="P183" s="93">
        <v>152.0264657711613</v>
      </c>
      <c r="Q183" s="93">
        <v>117.06037864379421</v>
      </c>
      <c r="R183" s="93">
        <v>460.15027132937496</v>
      </c>
      <c r="S183" s="104">
        <v>354.31570892361884</v>
      </c>
      <c r="T183" s="250" t="s">
        <v>18</v>
      </c>
      <c r="U183" s="90">
        <v>2</v>
      </c>
      <c r="V183" s="251">
        <v>1.54</v>
      </c>
      <c r="W183" s="90">
        <v>3.54</v>
      </c>
      <c r="X183" s="93">
        <v>152.0264657711613</v>
      </c>
      <c r="Y183" s="93">
        <v>117.06037864379421</v>
      </c>
      <c r="Z183" s="93">
        <v>460.15027132937496</v>
      </c>
      <c r="AA183" s="104">
        <v>354.31570892361884</v>
      </c>
      <c r="AB183" s="250" t="s">
        <v>107</v>
      </c>
      <c r="AC183" s="97">
        <v>0</v>
      </c>
      <c r="AD183" s="252">
        <v>0</v>
      </c>
      <c r="AE183" s="97">
        <v>0</v>
      </c>
      <c r="AF183" s="93">
        <v>0</v>
      </c>
      <c r="AG183" s="93">
        <v>0</v>
      </c>
      <c r="AH183" s="93">
        <v>0</v>
      </c>
      <c r="AI183" s="93">
        <v>0</v>
      </c>
      <c r="AJ183" s="247" t="s">
        <v>49</v>
      </c>
      <c r="AK183" s="246"/>
      <c r="AL183" s="93">
        <v>0</v>
      </c>
      <c r="AM183" s="93">
        <v>0</v>
      </c>
      <c r="AN183" s="254" t="s">
        <v>0</v>
      </c>
      <c r="AO183" s="246">
        <v>0</v>
      </c>
      <c r="AP183" s="92">
        <v>0</v>
      </c>
      <c r="AQ183" s="282">
        <v>0</v>
      </c>
      <c r="AR183" s="93">
        <v>0</v>
      </c>
      <c r="AS183" s="104">
        <v>0</v>
      </c>
      <c r="AT183" s="245">
        <v>1</v>
      </c>
      <c r="AU183" s="260">
        <v>0</v>
      </c>
      <c r="AV183" s="93">
        <v>538.17368882991104</v>
      </c>
      <c r="AW183" s="104">
        <v>1628.9319605059877</v>
      </c>
      <c r="AX183" s="93">
        <v>538.17368882991104</v>
      </c>
      <c r="AY183" s="243">
        <v>1628.9319605059877</v>
      </c>
    </row>
    <row r="184" spans="1:51" ht="80.25" customHeight="1">
      <c r="A184" s="113" t="s">
        <v>990</v>
      </c>
      <c r="B184" s="90" t="s">
        <v>1232</v>
      </c>
      <c r="C184" s="246" t="s">
        <v>11</v>
      </c>
      <c r="D184" s="253" t="s">
        <v>1414</v>
      </c>
      <c r="E184" s="253" t="s">
        <v>227</v>
      </c>
      <c r="F184" s="253" t="s">
        <v>391</v>
      </c>
      <c r="G184" s="253" t="s">
        <v>244</v>
      </c>
      <c r="H184" s="246" t="s">
        <v>109</v>
      </c>
      <c r="I184" s="246" t="s">
        <v>142</v>
      </c>
      <c r="J184" s="246" t="s">
        <v>113</v>
      </c>
      <c r="K184" s="256" t="s">
        <v>142</v>
      </c>
      <c r="L184" s="250" t="s">
        <v>18</v>
      </c>
      <c r="M184" s="90">
        <v>0.33</v>
      </c>
      <c r="N184" s="251">
        <v>1.54</v>
      </c>
      <c r="O184" s="90">
        <v>1.87</v>
      </c>
      <c r="P184" s="93">
        <v>25.084366852241615</v>
      </c>
      <c r="Q184" s="93">
        <v>117.06037864379421</v>
      </c>
      <c r="R184" s="93">
        <v>75.924794769346875</v>
      </c>
      <c r="S184" s="104">
        <v>354.31570892361884</v>
      </c>
      <c r="T184" s="250" t="s">
        <v>18</v>
      </c>
      <c r="U184" s="90">
        <v>0.33</v>
      </c>
      <c r="V184" s="251">
        <v>1.54</v>
      </c>
      <c r="W184" s="90">
        <v>1.87</v>
      </c>
      <c r="X184" s="93">
        <v>25.084366852241615</v>
      </c>
      <c r="Y184" s="93">
        <v>117.06037864379421</v>
      </c>
      <c r="Z184" s="93">
        <v>75.924794769346875</v>
      </c>
      <c r="AA184" s="104">
        <v>354.31570892361884</v>
      </c>
      <c r="AB184" s="250" t="s">
        <v>107</v>
      </c>
      <c r="AC184" s="97">
        <v>0</v>
      </c>
      <c r="AD184" s="252">
        <v>0</v>
      </c>
      <c r="AE184" s="97">
        <v>0</v>
      </c>
      <c r="AF184" s="93">
        <v>0</v>
      </c>
      <c r="AG184" s="93">
        <v>0</v>
      </c>
      <c r="AH184" s="93">
        <v>0</v>
      </c>
      <c r="AI184" s="93">
        <v>0</v>
      </c>
      <c r="AJ184" s="247" t="s">
        <v>49</v>
      </c>
      <c r="AK184" s="246"/>
      <c r="AL184" s="93">
        <v>0</v>
      </c>
      <c r="AM184" s="93">
        <v>0</v>
      </c>
      <c r="AN184" s="254" t="s">
        <v>0</v>
      </c>
      <c r="AO184" s="246">
        <v>0</v>
      </c>
      <c r="AP184" s="92">
        <v>0</v>
      </c>
      <c r="AQ184" s="282">
        <v>0</v>
      </c>
      <c r="AR184" s="93">
        <v>700.3791783912435</v>
      </c>
      <c r="AS184" s="104">
        <v>801.19082556287378</v>
      </c>
      <c r="AT184" s="245">
        <v>1</v>
      </c>
      <c r="AU184" s="260">
        <v>0</v>
      </c>
      <c r="AV184" s="93">
        <v>284.28949099207165</v>
      </c>
      <c r="AW184" s="104">
        <v>860.48100738593143</v>
      </c>
      <c r="AX184" s="93">
        <v>984.66866938331509</v>
      </c>
      <c r="AY184" s="243">
        <v>1661.6718329488053</v>
      </c>
    </row>
    <row r="185" spans="1:51" ht="96.75" customHeight="1">
      <c r="A185" s="113" t="s">
        <v>991</v>
      </c>
      <c r="B185" s="90" t="s">
        <v>1233</v>
      </c>
      <c r="C185" s="246" t="s">
        <v>11</v>
      </c>
      <c r="D185" s="253" t="s">
        <v>1414</v>
      </c>
      <c r="E185" s="253" t="s">
        <v>227</v>
      </c>
      <c r="F185" s="253" t="s">
        <v>391</v>
      </c>
      <c r="G185" s="253" t="s">
        <v>244</v>
      </c>
      <c r="H185" s="246" t="s">
        <v>110</v>
      </c>
      <c r="I185" s="246" t="s">
        <v>142</v>
      </c>
      <c r="J185" s="246" t="s">
        <v>113</v>
      </c>
      <c r="K185" s="256" t="s">
        <v>142</v>
      </c>
      <c r="L185" s="250" t="s">
        <v>18</v>
      </c>
      <c r="M185" s="90">
        <v>2</v>
      </c>
      <c r="N185" s="251">
        <v>1.54</v>
      </c>
      <c r="O185" s="90">
        <v>3.54</v>
      </c>
      <c r="P185" s="93">
        <v>152.0264657711613</v>
      </c>
      <c r="Q185" s="93">
        <v>117.06037864379421</v>
      </c>
      <c r="R185" s="93">
        <v>460.15027132937496</v>
      </c>
      <c r="S185" s="104">
        <v>354.31570892361884</v>
      </c>
      <c r="T185" s="250" t="s">
        <v>18</v>
      </c>
      <c r="U185" s="90">
        <v>2</v>
      </c>
      <c r="V185" s="251">
        <v>1.54</v>
      </c>
      <c r="W185" s="90">
        <v>3.54</v>
      </c>
      <c r="X185" s="93">
        <v>152.0264657711613</v>
      </c>
      <c r="Y185" s="93">
        <v>117.06037864379421</v>
      </c>
      <c r="Z185" s="93">
        <v>460.15027132937496</v>
      </c>
      <c r="AA185" s="104">
        <v>354.31570892361884</v>
      </c>
      <c r="AB185" s="250" t="s">
        <v>107</v>
      </c>
      <c r="AC185" s="97">
        <v>0</v>
      </c>
      <c r="AD185" s="252">
        <v>0</v>
      </c>
      <c r="AE185" s="97">
        <v>0</v>
      </c>
      <c r="AF185" s="93">
        <v>0</v>
      </c>
      <c r="AG185" s="93">
        <v>0</v>
      </c>
      <c r="AH185" s="93">
        <v>0</v>
      </c>
      <c r="AI185" s="93">
        <v>0</v>
      </c>
      <c r="AJ185" s="247" t="s">
        <v>49</v>
      </c>
      <c r="AK185" s="246"/>
      <c r="AL185" s="93">
        <v>0</v>
      </c>
      <c r="AM185" s="93">
        <v>0</v>
      </c>
      <c r="AN185" s="254" t="s">
        <v>0</v>
      </c>
      <c r="AO185" s="246">
        <v>0</v>
      </c>
      <c r="AP185" s="92">
        <v>0</v>
      </c>
      <c r="AQ185" s="282">
        <v>0</v>
      </c>
      <c r="AR185" s="93">
        <v>700.3791783912435</v>
      </c>
      <c r="AS185" s="104">
        <v>801.19082556287378</v>
      </c>
      <c r="AT185" s="245">
        <v>1</v>
      </c>
      <c r="AU185" s="260">
        <v>0</v>
      </c>
      <c r="AV185" s="93">
        <v>538.17368882991104</v>
      </c>
      <c r="AW185" s="104">
        <v>1628.9319605059877</v>
      </c>
      <c r="AX185" s="93">
        <v>1238.5528672211544</v>
      </c>
      <c r="AY185" s="243">
        <v>2430.1227860688614</v>
      </c>
    </row>
    <row r="186" spans="1:51" ht="80.25" customHeight="1">
      <c r="A186" s="113" t="s">
        <v>992</v>
      </c>
      <c r="B186" s="90" t="s">
        <v>1234</v>
      </c>
      <c r="C186" s="246" t="s">
        <v>11</v>
      </c>
      <c r="D186" s="246" t="s">
        <v>1415</v>
      </c>
      <c r="E186" s="253" t="s">
        <v>234</v>
      </c>
      <c r="F186" s="253" t="s">
        <v>393</v>
      </c>
      <c r="G186" s="253" t="s">
        <v>228</v>
      </c>
      <c r="H186" s="246" t="s">
        <v>109</v>
      </c>
      <c r="I186" s="246" t="s">
        <v>142</v>
      </c>
      <c r="J186" s="246" t="s">
        <v>47</v>
      </c>
      <c r="K186" s="256" t="s">
        <v>49</v>
      </c>
      <c r="L186" s="250" t="s">
        <v>18</v>
      </c>
      <c r="M186" s="90">
        <v>0.33</v>
      </c>
      <c r="N186" s="251">
        <v>0.75</v>
      </c>
      <c r="O186" s="90">
        <v>1.08</v>
      </c>
      <c r="P186" s="93">
        <v>19.081969456246018</v>
      </c>
      <c r="Q186" s="93">
        <v>43.368112400559127</v>
      </c>
      <c r="R186" s="93">
        <v>57.75687396434946</v>
      </c>
      <c r="S186" s="104">
        <v>131.26562264624877</v>
      </c>
      <c r="T186" s="250" t="s">
        <v>18</v>
      </c>
      <c r="U186" s="90">
        <v>0.33</v>
      </c>
      <c r="V186" s="251">
        <v>0.75</v>
      </c>
      <c r="W186" s="90">
        <v>1.08</v>
      </c>
      <c r="X186" s="93">
        <v>19.081969456246018</v>
      </c>
      <c r="Y186" s="93">
        <v>43.368112400559127</v>
      </c>
      <c r="Z186" s="93">
        <v>57.75687396434946</v>
      </c>
      <c r="AA186" s="104">
        <v>131.26562264624877</v>
      </c>
      <c r="AB186" s="250" t="s">
        <v>18</v>
      </c>
      <c r="AC186" s="97">
        <v>0.33</v>
      </c>
      <c r="AD186" s="252">
        <v>2</v>
      </c>
      <c r="AE186" s="97">
        <v>2.33</v>
      </c>
      <c r="AF186" s="93">
        <v>19.081969456246018</v>
      </c>
      <c r="AG186" s="93">
        <v>115.64829973482435</v>
      </c>
      <c r="AH186" s="93">
        <v>57.75687396434946</v>
      </c>
      <c r="AI186" s="93">
        <v>350.04166038999676</v>
      </c>
      <c r="AJ186" s="247" t="s">
        <v>49</v>
      </c>
      <c r="AK186" s="246"/>
      <c r="AL186" s="93">
        <v>0</v>
      </c>
      <c r="AM186" s="93">
        <v>0</v>
      </c>
      <c r="AN186" s="254" t="s">
        <v>0</v>
      </c>
      <c r="AO186" s="246">
        <v>0</v>
      </c>
      <c r="AP186" s="92">
        <v>0</v>
      </c>
      <c r="AQ186" s="282">
        <v>0</v>
      </c>
      <c r="AR186" s="93">
        <v>0</v>
      </c>
      <c r="AS186" s="104">
        <v>0</v>
      </c>
      <c r="AT186" s="245">
        <v>1</v>
      </c>
      <c r="AU186" s="260">
        <v>0</v>
      </c>
      <c r="AV186" s="93">
        <v>259.63043290468067</v>
      </c>
      <c r="AW186" s="104">
        <v>785.84352757554268</v>
      </c>
      <c r="AX186" s="93">
        <v>259.63043290468067</v>
      </c>
      <c r="AY186" s="243">
        <v>785.84352757554268</v>
      </c>
    </row>
    <row r="187" spans="1:51" ht="79.5" customHeight="1">
      <c r="A187" s="113" t="s">
        <v>993</v>
      </c>
      <c r="B187" s="90" t="s">
        <v>1235</v>
      </c>
      <c r="C187" s="246" t="s">
        <v>11</v>
      </c>
      <c r="D187" s="246" t="s">
        <v>1415</v>
      </c>
      <c r="E187" s="253" t="s">
        <v>234</v>
      </c>
      <c r="F187" s="253" t="s">
        <v>393</v>
      </c>
      <c r="G187" s="253" t="s">
        <v>228</v>
      </c>
      <c r="H187" s="246" t="s">
        <v>110</v>
      </c>
      <c r="I187" s="246" t="s">
        <v>142</v>
      </c>
      <c r="J187" s="246" t="s">
        <v>47</v>
      </c>
      <c r="K187" s="256" t="s">
        <v>49</v>
      </c>
      <c r="L187" s="250" t="s">
        <v>18</v>
      </c>
      <c r="M187" s="90">
        <v>2</v>
      </c>
      <c r="N187" s="251">
        <v>0.75</v>
      </c>
      <c r="O187" s="90">
        <v>2.75</v>
      </c>
      <c r="P187" s="93">
        <v>115.64829973482435</v>
      </c>
      <c r="Q187" s="93">
        <v>43.368112400559127</v>
      </c>
      <c r="R187" s="93">
        <v>350.04166038999676</v>
      </c>
      <c r="S187" s="104">
        <v>131.26562264624877</v>
      </c>
      <c r="T187" s="250" t="s">
        <v>18</v>
      </c>
      <c r="U187" s="90">
        <v>2</v>
      </c>
      <c r="V187" s="251">
        <v>0.75</v>
      </c>
      <c r="W187" s="90">
        <v>2.75</v>
      </c>
      <c r="X187" s="93">
        <v>115.64829973482435</v>
      </c>
      <c r="Y187" s="93">
        <v>43.368112400559127</v>
      </c>
      <c r="Z187" s="93">
        <v>350.04166038999676</v>
      </c>
      <c r="AA187" s="104">
        <v>131.26562264624877</v>
      </c>
      <c r="AB187" s="250" t="s">
        <v>18</v>
      </c>
      <c r="AC187" s="97">
        <v>2</v>
      </c>
      <c r="AD187" s="252">
        <v>2</v>
      </c>
      <c r="AE187" s="97">
        <v>4</v>
      </c>
      <c r="AF187" s="93">
        <v>115.64829973482435</v>
      </c>
      <c r="AG187" s="93">
        <v>115.64829973482435</v>
      </c>
      <c r="AH187" s="93">
        <v>350.04166038999676</v>
      </c>
      <c r="AI187" s="93">
        <v>350.04166038999676</v>
      </c>
      <c r="AJ187" s="247" t="s">
        <v>49</v>
      </c>
      <c r="AK187" s="246"/>
      <c r="AL187" s="93">
        <v>0</v>
      </c>
      <c r="AM187" s="93">
        <v>0</v>
      </c>
      <c r="AN187" s="254" t="s">
        <v>0</v>
      </c>
      <c r="AO187" s="246">
        <v>0</v>
      </c>
      <c r="AP187" s="92">
        <v>0</v>
      </c>
      <c r="AQ187" s="282">
        <v>0</v>
      </c>
      <c r="AR187" s="93">
        <v>0</v>
      </c>
      <c r="AS187" s="104">
        <v>0</v>
      </c>
      <c r="AT187" s="245">
        <v>1</v>
      </c>
      <c r="AU187" s="260">
        <v>0</v>
      </c>
      <c r="AV187" s="93">
        <v>549.32942374041568</v>
      </c>
      <c r="AW187" s="104">
        <v>1662.6978868524843</v>
      </c>
      <c r="AX187" s="93">
        <v>549.32942374041568</v>
      </c>
      <c r="AY187" s="243">
        <v>1662.6978868524843</v>
      </c>
    </row>
    <row r="188" spans="1:51" ht="80.25" customHeight="1">
      <c r="A188" s="113" t="s">
        <v>994</v>
      </c>
      <c r="B188" s="90" t="s">
        <v>1236</v>
      </c>
      <c r="C188" s="246" t="s">
        <v>11</v>
      </c>
      <c r="D188" s="246" t="s">
        <v>1415</v>
      </c>
      <c r="E188" s="253" t="s">
        <v>234</v>
      </c>
      <c r="F188" s="253" t="s">
        <v>393</v>
      </c>
      <c r="G188" s="253" t="s">
        <v>240</v>
      </c>
      <c r="H188" s="246" t="s">
        <v>109</v>
      </c>
      <c r="I188" s="246" t="s">
        <v>142</v>
      </c>
      <c r="J188" s="246" t="s">
        <v>47</v>
      </c>
      <c r="K188" s="256" t="s">
        <v>142</v>
      </c>
      <c r="L188" s="250" t="s">
        <v>18</v>
      </c>
      <c r="M188" s="90">
        <v>0.33</v>
      </c>
      <c r="N188" s="251">
        <v>0.75</v>
      </c>
      <c r="O188" s="90">
        <v>1.08</v>
      </c>
      <c r="P188" s="93">
        <v>19.081969456246018</v>
      </c>
      <c r="Q188" s="93">
        <v>43.368112400559127</v>
      </c>
      <c r="R188" s="93">
        <v>57.75687396434946</v>
      </c>
      <c r="S188" s="104">
        <v>131.26562264624877</v>
      </c>
      <c r="T188" s="250" t="s">
        <v>18</v>
      </c>
      <c r="U188" s="90">
        <v>0.33</v>
      </c>
      <c r="V188" s="251">
        <v>0.75</v>
      </c>
      <c r="W188" s="90">
        <v>1.08</v>
      </c>
      <c r="X188" s="93">
        <v>19.081969456246018</v>
      </c>
      <c r="Y188" s="93">
        <v>43.368112400559127</v>
      </c>
      <c r="Z188" s="93">
        <v>57.75687396434946</v>
      </c>
      <c r="AA188" s="104">
        <v>131.26562264624877</v>
      </c>
      <c r="AB188" s="250" t="s">
        <v>18</v>
      </c>
      <c r="AC188" s="97">
        <v>0.33</v>
      </c>
      <c r="AD188" s="252">
        <v>2</v>
      </c>
      <c r="AE188" s="97">
        <v>2.33</v>
      </c>
      <c r="AF188" s="93">
        <v>19.081969456246018</v>
      </c>
      <c r="AG188" s="93">
        <v>115.64829973482435</v>
      </c>
      <c r="AH188" s="93">
        <v>57.75687396434946</v>
      </c>
      <c r="AI188" s="93">
        <v>350.04166038999676</v>
      </c>
      <c r="AJ188" s="247" t="s">
        <v>49</v>
      </c>
      <c r="AK188" s="246"/>
      <c r="AL188" s="93">
        <v>0</v>
      </c>
      <c r="AM188" s="93">
        <v>0</v>
      </c>
      <c r="AN188" s="254" t="s">
        <v>0</v>
      </c>
      <c r="AO188" s="246">
        <v>0</v>
      </c>
      <c r="AP188" s="92">
        <v>0</v>
      </c>
      <c r="AQ188" s="282">
        <v>0</v>
      </c>
      <c r="AR188" s="93">
        <v>700.3791783912435</v>
      </c>
      <c r="AS188" s="104">
        <v>801.19082556287378</v>
      </c>
      <c r="AT188" s="245">
        <v>1</v>
      </c>
      <c r="AU188" s="260">
        <v>0</v>
      </c>
      <c r="AV188" s="93">
        <v>259.63043290468067</v>
      </c>
      <c r="AW188" s="104">
        <v>785.84352757554268</v>
      </c>
      <c r="AX188" s="93">
        <v>960.00961129592417</v>
      </c>
      <c r="AY188" s="243">
        <v>1587.0343531384165</v>
      </c>
    </row>
    <row r="189" spans="1:51" ht="79.5" customHeight="1">
      <c r="A189" s="113" t="s">
        <v>995</v>
      </c>
      <c r="B189" s="90" t="s">
        <v>1237</v>
      </c>
      <c r="C189" s="246" t="s">
        <v>11</v>
      </c>
      <c r="D189" s="246" t="s">
        <v>1415</v>
      </c>
      <c r="E189" s="253" t="s">
        <v>234</v>
      </c>
      <c r="F189" s="253" t="s">
        <v>393</v>
      </c>
      <c r="G189" s="253" t="s">
        <v>240</v>
      </c>
      <c r="H189" s="246" t="s">
        <v>110</v>
      </c>
      <c r="I189" s="246" t="s">
        <v>142</v>
      </c>
      <c r="J189" s="246" t="s">
        <v>47</v>
      </c>
      <c r="K189" s="256" t="s">
        <v>142</v>
      </c>
      <c r="L189" s="250" t="s">
        <v>18</v>
      </c>
      <c r="M189" s="90">
        <v>2</v>
      </c>
      <c r="N189" s="251">
        <v>0.75</v>
      </c>
      <c r="O189" s="90">
        <v>2.75</v>
      </c>
      <c r="P189" s="93">
        <v>115.64829973482435</v>
      </c>
      <c r="Q189" s="93">
        <v>43.368112400559127</v>
      </c>
      <c r="R189" s="93">
        <v>350.04166038999676</v>
      </c>
      <c r="S189" s="104">
        <v>131.26562264624877</v>
      </c>
      <c r="T189" s="250" t="s">
        <v>18</v>
      </c>
      <c r="U189" s="90">
        <v>2</v>
      </c>
      <c r="V189" s="251">
        <v>0.75</v>
      </c>
      <c r="W189" s="90">
        <v>2.75</v>
      </c>
      <c r="X189" s="93">
        <v>115.64829973482435</v>
      </c>
      <c r="Y189" s="93">
        <v>43.368112400559127</v>
      </c>
      <c r="Z189" s="93">
        <v>350.04166038999676</v>
      </c>
      <c r="AA189" s="104">
        <v>131.26562264624877</v>
      </c>
      <c r="AB189" s="250" t="s">
        <v>18</v>
      </c>
      <c r="AC189" s="97">
        <v>2</v>
      </c>
      <c r="AD189" s="252">
        <v>2</v>
      </c>
      <c r="AE189" s="97">
        <v>4</v>
      </c>
      <c r="AF189" s="93">
        <v>115.64829973482435</v>
      </c>
      <c r="AG189" s="93">
        <v>115.64829973482435</v>
      </c>
      <c r="AH189" s="93">
        <v>350.04166038999676</v>
      </c>
      <c r="AI189" s="93">
        <v>350.04166038999676</v>
      </c>
      <c r="AJ189" s="247" t="s">
        <v>49</v>
      </c>
      <c r="AK189" s="246"/>
      <c r="AL189" s="93">
        <v>0</v>
      </c>
      <c r="AM189" s="93">
        <v>0</v>
      </c>
      <c r="AN189" s="254" t="s">
        <v>0</v>
      </c>
      <c r="AO189" s="246">
        <v>0</v>
      </c>
      <c r="AP189" s="92">
        <v>0</v>
      </c>
      <c r="AQ189" s="282">
        <v>0</v>
      </c>
      <c r="AR189" s="93">
        <v>700.3791783912435</v>
      </c>
      <c r="AS189" s="104">
        <v>801.19082556287378</v>
      </c>
      <c r="AT189" s="245">
        <v>1</v>
      </c>
      <c r="AU189" s="260">
        <v>0</v>
      </c>
      <c r="AV189" s="93">
        <v>549.32942374041568</v>
      </c>
      <c r="AW189" s="104">
        <v>1662.6978868524843</v>
      </c>
      <c r="AX189" s="93">
        <v>1249.7086021316591</v>
      </c>
      <c r="AY189" s="243">
        <v>2463.888712415358</v>
      </c>
    </row>
    <row r="190" spans="1:51" ht="80.25" customHeight="1">
      <c r="A190" s="113" t="s">
        <v>996</v>
      </c>
      <c r="B190" s="90" t="s">
        <v>1238</v>
      </c>
      <c r="C190" s="246" t="s">
        <v>11</v>
      </c>
      <c r="D190" s="246" t="s">
        <v>1415</v>
      </c>
      <c r="E190" s="253" t="s">
        <v>234</v>
      </c>
      <c r="F190" s="253" t="s">
        <v>393</v>
      </c>
      <c r="G190" s="253" t="s">
        <v>229</v>
      </c>
      <c r="H190" s="246" t="s">
        <v>109</v>
      </c>
      <c r="I190" s="246" t="s">
        <v>142</v>
      </c>
      <c r="J190" s="246" t="s">
        <v>113</v>
      </c>
      <c r="K190" s="256" t="s">
        <v>49</v>
      </c>
      <c r="L190" s="250" t="s">
        <v>18</v>
      </c>
      <c r="M190" s="90">
        <v>0.33</v>
      </c>
      <c r="N190" s="251">
        <v>0.75</v>
      </c>
      <c r="O190" s="90">
        <v>1.08</v>
      </c>
      <c r="P190" s="93">
        <v>25.084366852241615</v>
      </c>
      <c r="Q190" s="93">
        <v>57.00992466418549</v>
      </c>
      <c r="R190" s="93">
        <v>75.924794769346875</v>
      </c>
      <c r="S190" s="104">
        <v>172.55635174851562</v>
      </c>
      <c r="T190" s="250" t="s">
        <v>18</v>
      </c>
      <c r="U190" s="90">
        <v>0.33</v>
      </c>
      <c r="V190" s="251">
        <v>0.75</v>
      </c>
      <c r="W190" s="90">
        <v>1.08</v>
      </c>
      <c r="X190" s="93">
        <v>25.084366852241615</v>
      </c>
      <c r="Y190" s="93">
        <v>57.00992466418549</v>
      </c>
      <c r="Z190" s="93">
        <v>75.924794769346875</v>
      </c>
      <c r="AA190" s="104">
        <v>172.55635174851562</v>
      </c>
      <c r="AB190" s="250" t="s">
        <v>18</v>
      </c>
      <c r="AC190" s="97">
        <v>0.33</v>
      </c>
      <c r="AD190" s="252">
        <v>2</v>
      </c>
      <c r="AE190" s="97">
        <v>2.33</v>
      </c>
      <c r="AF190" s="93">
        <v>25.084366852241615</v>
      </c>
      <c r="AG190" s="93">
        <v>152.0264657711613</v>
      </c>
      <c r="AH190" s="93">
        <v>75.924794769346875</v>
      </c>
      <c r="AI190" s="93">
        <v>460.15027132937496</v>
      </c>
      <c r="AJ190" s="247" t="s">
        <v>49</v>
      </c>
      <c r="AK190" s="246"/>
      <c r="AL190" s="93">
        <v>0</v>
      </c>
      <c r="AM190" s="93">
        <v>0</v>
      </c>
      <c r="AN190" s="254" t="s">
        <v>0</v>
      </c>
      <c r="AO190" s="246">
        <v>0</v>
      </c>
      <c r="AP190" s="92">
        <v>0</v>
      </c>
      <c r="AQ190" s="282">
        <v>0</v>
      </c>
      <c r="AR190" s="93">
        <v>0</v>
      </c>
      <c r="AS190" s="104">
        <v>0</v>
      </c>
      <c r="AT190" s="245">
        <v>1</v>
      </c>
      <c r="AU190" s="260">
        <v>0</v>
      </c>
      <c r="AV190" s="93">
        <v>341.29941565625711</v>
      </c>
      <c r="AW190" s="104">
        <v>1033.0373591344469</v>
      </c>
      <c r="AX190" s="93">
        <v>341.29941565625711</v>
      </c>
      <c r="AY190" s="243">
        <v>1033.0373591344469</v>
      </c>
    </row>
    <row r="191" spans="1:51" ht="79.5" customHeight="1">
      <c r="A191" s="113" t="s">
        <v>997</v>
      </c>
      <c r="B191" s="90" t="s">
        <v>1239</v>
      </c>
      <c r="C191" s="246" t="s">
        <v>11</v>
      </c>
      <c r="D191" s="246" t="s">
        <v>1415</v>
      </c>
      <c r="E191" s="253" t="s">
        <v>234</v>
      </c>
      <c r="F191" s="253" t="s">
        <v>393</v>
      </c>
      <c r="G191" s="253" t="s">
        <v>229</v>
      </c>
      <c r="H191" s="246" t="s">
        <v>110</v>
      </c>
      <c r="I191" s="246" t="s">
        <v>142</v>
      </c>
      <c r="J191" s="246" t="s">
        <v>113</v>
      </c>
      <c r="K191" s="256" t="s">
        <v>49</v>
      </c>
      <c r="L191" s="250" t="s">
        <v>18</v>
      </c>
      <c r="M191" s="90">
        <v>2</v>
      </c>
      <c r="N191" s="251">
        <v>0.75</v>
      </c>
      <c r="O191" s="90">
        <v>2.75</v>
      </c>
      <c r="P191" s="93">
        <v>152.0264657711613</v>
      </c>
      <c r="Q191" s="93">
        <v>57.00992466418549</v>
      </c>
      <c r="R191" s="93">
        <v>460.15027132937496</v>
      </c>
      <c r="S191" s="104">
        <v>172.55635174851562</v>
      </c>
      <c r="T191" s="250" t="s">
        <v>18</v>
      </c>
      <c r="U191" s="90">
        <v>2</v>
      </c>
      <c r="V191" s="251">
        <v>0.75</v>
      </c>
      <c r="W191" s="90">
        <v>2.75</v>
      </c>
      <c r="X191" s="93">
        <v>152.0264657711613</v>
      </c>
      <c r="Y191" s="93">
        <v>57.00992466418549</v>
      </c>
      <c r="Z191" s="93">
        <v>460.15027132937496</v>
      </c>
      <c r="AA191" s="104">
        <v>172.55635174851562</v>
      </c>
      <c r="AB191" s="250" t="s">
        <v>18</v>
      </c>
      <c r="AC191" s="97">
        <v>2</v>
      </c>
      <c r="AD191" s="252">
        <v>2</v>
      </c>
      <c r="AE191" s="97">
        <v>4</v>
      </c>
      <c r="AF191" s="93">
        <v>152.0264657711613</v>
      </c>
      <c r="AG191" s="93">
        <v>152.0264657711613</v>
      </c>
      <c r="AH191" s="93">
        <v>460.15027132937496</v>
      </c>
      <c r="AI191" s="93">
        <v>460.15027132937496</v>
      </c>
      <c r="AJ191" s="247" t="s">
        <v>49</v>
      </c>
      <c r="AK191" s="246"/>
      <c r="AL191" s="93">
        <v>0</v>
      </c>
      <c r="AM191" s="93">
        <v>0</v>
      </c>
      <c r="AN191" s="254" t="s">
        <v>0</v>
      </c>
      <c r="AO191" s="246">
        <v>0</v>
      </c>
      <c r="AP191" s="92">
        <v>0</v>
      </c>
      <c r="AQ191" s="282">
        <v>0</v>
      </c>
      <c r="AR191" s="93">
        <v>0</v>
      </c>
      <c r="AS191" s="104">
        <v>0</v>
      </c>
      <c r="AT191" s="245">
        <v>1</v>
      </c>
      <c r="AU191" s="260">
        <v>0</v>
      </c>
      <c r="AV191" s="93">
        <v>722.12571241301612</v>
      </c>
      <c r="AW191" s="104">
        <v>2185.7137888145307</v>
      </c>
      <c r="AX191" s="93">
        <v>722.12571241301612</v>
      </c>
      <c r="AY191" s="243">
        <v>2185.7137888145307</v>
      </c>
    </row>
    <row r="192" spans="1:51" ht="80.25" customHeight="1">
      <c r="A192" s="113" t="s">
        <v>998</v>
      </c>
      <c r="B192" s="90" t="s">
        <v>1240</v>
      </c>
      <c r="C192" s="246" t="s">
        <v>11</v>
      </c>
      <c r="D192" s="246" t="s">
        <v>1415</v>
      </c>
      <c r="E192" s="253" t="s">
        <v>234</v>
      </c>
      <c r="F192" s="253" t="s">
        <v>393</v>
      </c>
      <c r="G192" s="253" t="s">
        <v>241</v>
      </c>
      <c r="H192" s="246" t="s">
        <v>109</v>
      </c>
      <c r="I192" s="246" t="s">
        <v>142</v>
      </c>
      <c r="J192" s="246" t="s">
        <v>113</v>
      </c>
      <c r="K192" s="256" t="s">
        <v>142</v>
      </c>
      <c r="L192" s="250" t="s">
        <v>18</v>
      </c>
      <c r="M192" s="90">
        <v>0.33</v>
      </c>
      <c r="N192" s="251">
        <v>0.75</v>
      </c>
      <c r="O192" s="90">
        <v>1.08</v>
      </c>
      <c r="P192" s="93">
        <v>25.084366852241615</v>
      </c>
      <c r="Q192" s="93">
        <v>57.00992466418549</v>
      </c>
      <c r="R192" s="93">
        <v>75.924794769346875</v>
      </c>
      <c r="S192" s="104">
        <v>172.55635174851562</v>
      </c>
      <c r="T192" s="250" t="s">
        <v>18</v>
      </c>
      <c r="U192" s="90">
        <v>0.33</v>
      </c>
      <c r="V192" s="251">
        <v>0.75</v>
      </c>
      <c r="W192" s="90">
        <v>1.08</v>
      </c>
      <c r="X192" s="93">
        <v>25.084366852241615</v>
      </c>
      <c r="Y192" s="93">
        <v>57.00992466418549</v>
      </c>
      <c r="Z192" s="93">
        <v>75.924794769346875</v>
      </c>
      <c r="AA192" s="104">
        <v>172.55635174851562</v>
      </c>
      <c r="AB192" s="250" t="s">
        <v>18</v>
      </c>
      <c r="AC192" s="97">
        <v>0.33</v>
      </c>
      <c r="AD192" s="252">
        <v>2</v>
      </c>
      <c r="AE192" s="97">
        <v>2.33</v>
      </c>
      <c r="AF192" s="93">
        <v>25.084366852241615</v>
      </c>
      <c r="AG192" s="93">
        <v>152.0264657711613</v>
      </c>
      <c r="AH192" s="93">
        <v>75.924794769346875</v>
      </c>
      <c r="AI192" s="93">
        <v>460.15027132937496</v>
      </c>
      <c r="AJ192" s="247" t="s">
        <v>49</v>
      </c>
      <c r="AK192" s="246"/>
      <c r="AL192" s="93">
        <v>0</v>
      </c>
      <c r="AM192" s="93">
        <v>0</v>
      </c>
      <c r="AN192" s="254" t="s">
        <v>0</v>
      </c>
      <c r="AO192" s="246">
        <v>0</v>
      </c>
      <c r="AP192" s="92">
        <v>0</v>
      </c>
      <c r="AQ192" s="282">
        <v>0</v>
      </c>
      <c r="AR192" s="93">
        <v>700.3791783912435</v>
      </c>
      <c r="AS192" s="104">
        <v>801.19082556287378</v>
      </c>
      <c r="AT192" s="245">
        <v>1</v>
      </c>
      <c r="AU192" s="260">
        <v>0</v>
      </c>
      <c r="AV192" s="93">
        <v>341.29941565625711</v>
      </c>
      <c r="AW192" s="104">
        <v>1033.0373591344469</v>
      </c>
      <c r="AX192" s="93">
        <v>1041.6785940475006</v>
      </c>
      <c r="AY192" s="243">
        <v>1834.2281846973206</v>
      </c>
    </row>
    <row r="193" spans="1:51" ht="79.5" customHeight="1">
      <c r="A193" s="113" t="s">
        <v>999</v>
      </c>
      <c r="B193" s="90" t="s">
        <v>1241</v>
      </c>
      <c r="C193" s="246" t="s">
        <v>11</v>
      </c>
      <c r="D193" s="246" t="s">
        <v>1415</v>
      </c>
      <c r="E193" s="253" t="s">
        <v>234</v>
      </c>
      <c r="F193" s="253" t="s">
        <v>393</v>
      </c>
      <c r="G193" s="253" t="s">
        <v>241</v>
      </c>
      <c r="H193" s="246" t="s">
        <v>110</v>
      </c>
      <c r="I193" s="246" t="s">
        <v>142</v>
      </c>
      <c r="J193" s="246" t="s">
        <v>113</v>
      </c>
      <c r="K193" s="256" t="s">
        <v>142</v>
      </c>
      <c r="L193" s="250" t="s">
        <v>18</v>
      </c>
      <c r="M193" s="90">
        <v>2</v>
      </c>
      <c r="N193" s="251">
        <v>0.75</v>
      </c>
      <c r="O193" s="90">
        <v>2.75</v>
      </c>
      <c r="P193" s="93">
        <v>152.0264657711613</v>
      </c>
      <c r="Q193" s="93">
        <v>57.00992466418549</v>
      </c>
      <c r="R193" s="93">
        <v>460.15027132937496</v>
      </c>
      <c r="S193" s="104">
        <v>172.55635174851562</v>
      </c>
      <c r="T193" s="250" t="s">
        <v>18</v>
      </c>
      <c r="U193" s="90">
        <v>2</v>
      </c>
      <c r="V193" s="251">
        <v>0.75</v>
      </c>
      <c r="W193" s="90">
        <v>2.75</v>
      </c>
      <c r="X193" s="93">
        <v>152.0264657711613</v>
      </c>
      <c r="Y193" s="93">
        <v>57.00992466418549</v>
      </c>
      <c r="Z193" s="93">
        <v>460.15027132937496</v>
      </c>
      <c r="AA193" s="104">
        <v>172.55635174851562</v>
      </c>
      <c r="AB193" s="250" t="s">
        <v>18</v>
      </c>
      <c r="AC193" s="97">
        <v>2</v>
      </c>
      <c r="AD193" s="252">
        <v>2</v>
      </c>
      <c r="AE193" s="97">
        <v>4</v>
      </c>
      <c r="AF193" s="93">
        <v>152.0264657711613</v>
      </c>
      <c r="AG193" s="93">
        <v>152.0264657711613</v>
      </c>
      <c r="AH193" s="93">
        <v>460.15027132937496</v>
      </c>
      <c r="AI193" s="93">
        <v>460.15027132937496</v>
      </c>
      <c r="AJ193" s="247" t="s">
        <v>49</v>
      </c>
      <c r="AK193" s="246"/>
      <c r="AL193" s="93">
        <v>0</v>
      </c>
      <c r="AM193" s="93">
        <v>0</v>
      </c>
      <c r="AN193" s="254" t="s">
        <v>0</v>
      </c>
      <c r="AO193" s="246">
        <v>0</v>
      </c>
      <c r="AP193" s="92">
        <v>0</v>
      </c>
      <c r="AQ193" s="282">
        <v>0</v>
      </c>
      <c r="AR193" s="93">
        <v>700.3791783912435</v>
      </c>
      <c r="AS193" s="104">
        <v>801.19082556287378</v>
      </c>
      <c r="AT193" s="245">
        <v>1</v>
      </c>
      <c r="AU193" s="260">
        <v>0</v>
      </c>
      <c r="AV193" s="93">
        <v>722.12571241301612</v>
      </c>
      <c r="AW193" s="104">
        <v>2185.7137888145307</v>
      </c>
      <c r="AX193" s="93">
        <v>1422.5048908042595</v>
      </c>
      <c r="AY193" s="243">
        <v>2986.9046143774044</v>
      </c>
    </row>
    <row r="194" spans="1:51" ht="80.25" customHeight="1">
      <c r="A194" s="113" t="s">
        <v>1000</v>
      </c>
      <c r="B194" s="90" t="s">
        <v>1242</v>
      </c>
      <c r="C194" s="246" t="s">
        <v>11</v>
      </c>
      <c r="D194" s="246" t="s">
        <v>1415</v>
      </c>
      <c r="E194" s="253" t="s">
        <v>234</v>
      </c>
      <c r="F194" s="253" t="s">
        <v>393</v>
      </c>
      <c r="G194" s="253" t="s">
        <v>231</v>
      </c>
      <c r="H194" s="246" t="s">
        <v>109</v>
      </c>
      <c r="I194" s="246" t="s">
        <v>142</v>
      </c>
      <c r="J194" s="246" t="s">
        <v>47</v>
      </c>
      <c r="K194" s="256" t="s">
        <v>49</v>
      </c>
      <c r="L194" s="250" t="s">
        <v>18</v>
      </c>
      <c r="M194" s="90">
        <v>0.33</v>
      </c>
      <c r="N194" s="251">
        <v>1</v>
      </c>
      <c r="O194" s="90">
        <v>1.33</v>
      </c>
      <c r="P194" s="93">
        <v>19.081969456246018</v>
      </c>
      <c r="Q194" s="93">
        <v>57.824149867412174</v>
      </c>
      <c r="R194" s="93">
        <v>57.75687396434946</v>
      </c>
      <c r="S194" s="104">
        <v>175.02083019499838</v>
      </c>
      <c r="T194" s="250" t="s">
        <v>18</v>
      </c>
      <c r="U194" s="90">
        <v>0.33</v>
      </c>
      <c r="V194" s="251">
        <v>1</v>
      </c>
      <c r="W194" s="90">
        <v>1.33</v>
      </c>
      <c r="X194" s="93">
        <v>19.081969456246018</v>
      </c>
      <c r="Y194" s="93">
        <v>57.824149867412174</v>
      </c>
      <c r="Z194" s="93">
        <v>57.75687396434946</v>
      </c>
      <c r="AA194" s="104">
        <v>175.02083019499838</v>
      </c>
      <c r="AB194" s="250" t="s">
        <v>18</v>
      </c>
      <c r="AC194" s="97">
        <v>0.33</v>
      </c>
      <c r="AD194" s="252">
        <v>2</v>
      </c>
      <c r="AE194" s="97">
        <v>2.33</v>
      </c>
      <c r="AF194" s="93">
        <v>19.081969456246018</v>
      </c>
      <c r="AG194" s="93">
        <v>115.64829973482435</v>
      </c>
      <c r="AH194" s="93">
        <v>57.75687396434946</v>
      </c>
      <c r="AI194" s="93">
        <v>350.04166038999676</v>
      </c>
      <c r="AJ194" s="247" t="s">
        <v>49</v>
      </c>
      <c r="AK194" s="246"/>
      <c r="AL194" s="93">
        <v>0</v>
      </c>
      <c r="AM194" s="93">
        <v>0</v>
      </c>
      <c r="AN194" s="254" t="s">
        <v>0</v>
      </c>
      <c r="AO194" s="246">
        <v>0</v>
      </c>
      <c r="AP194" s="92">
        <v>0</v>
      </c>
      <c r="AQ194" s="282">
        <v>0</v>
      </c>
      <c r="AR194" s="93">
        <v>0</v>
      </c>
      <c r="AS194" s="104">
        <v>0</v>
      </c>
      <c r="AT194" s="245">
        <v>1</v>
      </c>
      <c r="AU194" s="260">
        <v>0</v>
      </c>
      <c r="AV194" s="93">
        <v>288.54250783838677</v>
      </c>
      <c r="AW194" s="104">
        <v>873.35394267304196</v>
      </c>
      <c r="AX194" s="93">
        <v>288.54250783838677</v>
      </c>
      <c r="AY194" s="243">
        <v>873.35394267304196</v>
      </c>
    </row>
    <row r="195" spans="1:51" ht="79.5" customHeight="1">
      <c r="A195" s="113" t="s">
        <v>1001</v>
      </c>
      <c r="B195" s="90" t="s">
        <v>1243</v>
      </c>
      <c r="C195" s="246" t="s">
        <v>11</v>
      </c>
      <c r="D195" s="246" t="s">
        <v>1415</v>
      </c>
      <c r="E195" s="253" t="s">
        <v>234</v>
      </c>
      <c r="F195" s="253" t="s">
        <v>393</v>
      </c>
      <c r="G195" s="253" t="s">
        <v>231</v>
      </c>
      <c r="H195" s="246" t="s">
        <v>110</v>
      </c>
      <c r="I195" s="246" t="s">
        <v>142</v>
      </c>
      <c r="J195" s="246" t="s">
        <v>47</v>
      </c>
      <c r="K195" s="256" t="s">
        <v>49</v>
      </c>
      <c r="L195" s="250" t="s">
        <v>18</v>
      </c>
      <c r="M195" s="90">
        <v>2</v>
      </c>
      <c r="N195" s="251">
        <v>1</v>
      </c>
      <c r="O195" s="90">
        <v>3</v>
      </c>
      <c r="P195" s="93">
        <v>115.64829973482435</v>
      </c>
      <c r="Q195" s="93">
        <v>57.824149867412174</v>
      </c>
      <c r="R195" s="93">
        <v>350.04166038999676</v>
      </c>
      <c r="S195" s="104">
        <v>175.02083019499838</v>
      </c>
      <c r="T195" s="250" t="s">
        <v>18</v>
      </c>
      <c r="U195" s="90">
        <v>2</v>
      </c>
      <c r="V195" s="251">
        <v>1</v>
      </c>
      <c r="W195" s="90">
        <v>3</v>
      </c>
      <c r="X195" s="93">
        <v>115.64829973482435</v>
      </c>
      <c r="Y195" s="93">
        <v>57.824149867412174</v>
      </c>
      <c r="Z195" s="93">
        <v>350.04166038999676</v>
      </c>
      <c r="AA195" s="104">
        <v>175.02083019499838</v>
      </c>
      <c r="AB195" s="250" t="s">
        <v>18</v>
      </c>
      <c r="AC195" s="97">
        <v>2</v>
      </c>
      <c r="AD195" s="252">
        <v>2</v>
      </c>
      <c r="AE195" s="97">
        <v>4</v>
      </c>
      <c r="AF195" s="93">
        <v>115.64829973482435</v>
      </c>
      <c r="AG195" s="93">
        <v>115.64829973482435</v>
      </c>
      <c r="AH195" s="93">
        <v>350.04166038999676</v>
      </c>
      <c r="AI195" s="93">
        <v>350.04166038999676</v>
      </c>
      <c r="AJ195" s="247" t="s">
        <v>49</v>
      </c>
      <c r="AK195" s="246"/>
      <c r="AL195" s="93">
        <v>0</v>
      </c>
      <c r="AM195" s="93">
        <v>0</v>
      </c>
      <c r="AN195" s="254" t="s">
        <v>0</v>
      </c>
      <c r="AO195" s="246">
        <v>0</v>
      </c>
      <c r="AP195" s="92">
        <v>0</v>
      </c>
      <c r="AQ195" s="282">
        <v>0</v>
      </c>
      <c r="AR195" s="93">
        <v>0</v>
      </c>
      <c r="AS195" s="104">
        <v>0</v>
      </c>
      <c r="AT195" s="245">
        <v>1</v>
      </c>
      <c r="AU195" s="260">
        <v>0</v>
      </c>
      <c r="AV195" s="93">
        <v>578.24149867412177</v>
      </c>
      <c r="AW195" s="104">
        <v>1750.2083019499837</v>
      </c>
      <c r="AX195" s="93">
        <v>578.24149867412177</v>
      </c>
      <c r="AY195" s="243">
        <v>1750.2083019499837</v>
      </c>
    </row>
    <row r="196" spans="1:51" ht="80.25" customHeight="1">
      <c r="A196" s="113" t="s">
        <v>1002</v>
      </c>
      <c r="B196" s="90" t="s">
        <v>1244</v>
      </c>
      <c r="C196" s="246" t="s">
        <v>11</v>
      </c>
      <c r="D196" s="246" t="s">
        <v>1415</v>
      </c>
      <c r="E196" s="253" t="s">
        <v>234</v>
      </c>
      <c r="F196" s="253" t="s">
        <v>393</v>
      </c>
      <c r="G196" s="253" t="s">
        <v>408</v>
      </c>
      <c r="H196" s="246" t="s">
        <v>109</v>
      </c>
      <c r="I196" s="246" t="s">
        <v>142</v>
      </c>
      <c r="J196" s="246" t="s">
        <v>47</v>
      </c>
      <c r="K196" s="256" t="s">
        <v>142</v>
      </c>
      <c r="L196" s="250" t="s">
        <v>18</v>
      </c>
      <c r="M196" s="90">
        <v>0.33</v>
      </c>
      <c r="N196" s="251">
        <v>1</v>
      </c>
      <c r="O196" s="90">
        <v>1.33</v>
      </c>
      <c r="P196" s="93">
        <v>19.081969456246018</v>
      </c>
      <c r="Q196" s="93">
        <v>57.824149867412174</v>
      </c>
      <c r="R196" s="93">
        <v>57.75687396434946</v>
      </c>
      <c r="S196" s="104">
        <v>175.02083019499838</v>
      </c>
      <c r="T196" s="250" t="s">
        <v>18</v>
      </c>
      <c r="U196" s="90">
        <v>0.33</v>
      </c>
      <c r="V196" s="251">
        <v>1</v>
      </c>
      <c r="W196" s="90">
        <v>1.33</v>
      </c>
      <c r="X196" s="93">
        <v>19.081969456246018</v>
      </c>
      <c r="Y196" s="93">
        <v>57.824149867412174</v>
      </c>
      <c r="Z196" s="93">
        <v>57.75687396434946</v>
      </c>
      <c r="AA196" s="104">
        <v>175.02083019499838</v>
      </c>
      <c r="AB196" s="250" t="s">
        <v>18</v>
      </c>
      <c r="AC196" s="97">
        <v>0.33</v>
      </c>
      <c r="AD196" s="252">
        <v>2</v>
      </c>
      <c r="AE196" s="97">
        <v>2.33</v>
      </c>
      <c r="AF196" s="93">
        <v>19.081969456246018</v>
      </c>
      <c r="AG196" s="93">
        <v>115.64829973482435</v>
      </c>
      <c r="AH196" s="93">
        <v>57.75687396434946</v>
      </c>
      <c r="AI196" s="93">
        <v>350.04166038999676</v>
      </c>
      <c r="AJ196" s="247" t="s">
        <v>49</v>
      </c>
      <c r="AK196" s="246"/>
      <c r="AL196" s="93">
        <v>0</v>
      </c>
      <c r="AM196" s="93">
        <v>0</v>
      </c>
      <c r="AN196" s="254" t="s">
        <v>0</v>
      </c>
      <c r="AO196" s="246">
        <v>0</v>
      </c>
      <c r="AP196" s="92">
        <v>0</v>
      </c>
      <c r="AQ196" s="282">
        <v>0</v>
      </c>
      <c r="AR196" s="93">
        <v>700.3791783912435</v>
      </c>
      <c r="AS196" s="104">
        <v>801.19082556287378</v>
      </c>
      <c r="AT196" s="245">
        <v>1</v>
      </c>
      <c r="AU196" s="260">
        <v>0</v>
      </c>
      <c r="AV196" s="93">
        <v>288.54250783838677</v>
      </c>
      <c r="AW196" s="104">
        <v>873.35394267304196</v>
      </c>
      <c r="AX196" s="93">
        <v>988.92168622963027</v>
      </c>
      <c r="AY196" s="243">
        <v>1674.5447682359159</v>
      </c>
    </row>
    <row r="197" spans="1:51" ht="79.5" customHeight="1">
      <c r="A197" s="113" t="s">
        <v>1003</v>
      </c>
      <c r="B197" s="90" t="s">
        <v>1245</v>
      </c>
      <c r="C197" s="246" t="s">
        <v>11</v>
      </c>
      <c r="D197" s="246" t="s">
        <v>1415</v>
      </c>
      <c r="E197" s="253" t="s">
        <v>234</v>
      </c>
      <c r="F197" s="253" t="s">
        <v>393</v>
      </c>
      <c r="G197" s="253" t="s">
        <v>408</v>
      </c>
      <c r="H197" s="246" t="s">
        <v>110</v>
      </c>
      <c r="I197" s="246" t="s">
        <v>142</v>
      </c>
      <c r="J197" s="246" t="s">
        <v>47</v>
      </c>
      <c r="K197" s="256" t="s">
        <v>142</v>
      </c>
      <c r="L197" s="250" t="s">
        <v>18</v>
      </c>
      <c r="M197" s="90">
        <v>2</v>
      </c>
      <c r="N197" s="251">
        <v>1</v>
      </c>
      <c r="O197" s="90">
        <v>3</v>
      </c>
      <c r="P197" s="93">
        <v>115.64829973482435</v>
      </c>
      <c r="Q197" s="93">
        <v>57.824149867412174</v>
      </c>
      <c r="R197" s="93">
        <v>350.04166038999676</v>
      </c>
      <c r="S197" s="104">
        <v>175.02083019499838</v>
      </c>
      <c r="T197" s="250" t="s">
        <v>18</v>
      </c>
      <c r="U197" s="90">
        <v>2</v>
      </c>
      <c r="V197" s="251">
        <v>1</v>
      </c>
      <c r="W197" s="90">
        <v>3</v>
      </c>
      <c r="X197" s="93">
        <v>115.64829973482435</v>
      </c>
      <c r="Y197" s="93">
        <v>57.824149867412174</v>
      </c>
      <c r="Z197" s="93">
        <v>350.04166038999676</v>
      </c>
      <c r="AA197" s="104">
        <v>175.02083019499838</v>
      </c>
      <c r="AB197" s="250" t="s">
        <v>18</v>
      </c>
      <c r="AC197" s="97">
        <v>2</v>
      </c>
      <c r="AD197" s="252">
        <v>2</v>
      </c>
      <c r="AE197" s="97">
        <v>4</v>
      </c>
      <c r="AF197" s="93">
        <v>115.64829973482435</v>
      </c>
      <c r="AG197" s="93">
        <v>115.64829973482435</v>
      </c>
      <c r="AH197" s="93">
        <v>350.04166038999676</v>
      </c>
      <c r="AI197" s="93">
        <v>350.04166038999676</v>
      </c>
      <c r="AJ197" s="247" t="s">
        <v>49</v>
      </c>
      <c r="AK197" s="246"/>
      <c r="AL197" s="93">
        <v>0</v>
      </c>
      <c r="AM197" s="93">
        <v>0</v>
      </c>
      <c r="AN197" s="254" t="s">
        <v>0</v>
      </c>
      <c r="AO197" s="246">
        <v>0</v>
      </c>
      <c r="AP197" s="92">
        <v>0</v>
      </c>
      <c r="AQ197" s="282">
        <v>0</v>
      </c>
      <c r="AR197" s="93">
        <v>700.3791783912435</v>
      </c>
      <c r="AS197" s="104">
        <v>801.19082556287378</v>
      </c>
      <c r="AT197" s="245">
        <v>1</v>
      </c>
      <c r="AU197" s="260">
        <v>0</v>
      </c>
      <c r="AV197" s="93">
        <v>578.24149867412177</v>
      </c>
      <c r="AW197" s="104">
        <v>1750.2083019499837</v>
      </c>
      <c r="AX197" s="93">
        <v>1278.6206770653653</v>
      </c>
      <c r="AY197" s="243">
        <v>2551.3991275128574</v>
      </c>
    </row>
    <row r="198" spans="1:51" ht="80.25" customHeight="1">
      <c r="A198" s="113" t="s">
        <v>1004</v>
      </c>
      <c r="B198" s="90" t="s">
        <v>1246</v>
      </c>
      <c r="C198" s="246" t="s">
        <v>11</v>
      </c>
      <c r="D198" s="246" t="s">
        <v>1415</v>
      </c>
      <c r="E198" s="253" t="s">
        <v>234</v>
      </c>
      <c r="F198" s="253" t="s">
        <v>393</v>
      </c>
      <c r="G198" s="253" t="s">
        <v>232</v>
      </c>
      <c r="H198" s="246" t="s">
        <v>109</v>
      </c>
      <c r="I198" s="246" t="s">
        <v>142</v>
      </c>
      <c r="J198" s="246" t="s">
        <v>113</v>
      </c>
      <c r="K198" s="256" t="s">
        <v>49</v>
      </c>
      <c r="L198" s="250" t="s">
        <v>18</v>
      </c>
      <c r="M198" s="90">
        <v>0.33</v>
      </c>
      <c r="N198" s="251">
        <v>1</v>
      </c>
      <c r="O198" s="90">
        <v>1.33</v>
      </c>
      <c r="P198" s="93">
        <v>25.084366852241615</v>
      </c>
      <c r="Q198" s="93">
        <v>76.013232885580649</v>
      </c>
      <c r="R198" s="93">
        <v>75.924794769346875</v>
      </c>
      <c r="S198" s="104">
        <v>230.07513566468748</v>
      </c>
      <c r="T198" s="250" t="s">
        <v>18</v>
      </c>
      <c r="U198" s="90">
        <v>0.33</v>
      </c>
      <c r="V198" s="251">
        <v>1</v>
      </c>
      <c r="W198" s="90">
        <v>1.33</v>
      </c>
      <c r="X198" s="93">
        <v>25.084366852241615</v>
      </c>
      <c r="Y198" s="93">
        <v>76.013232885580649</v>
      </c>
      <c r="Z198" s="93">
        <v>75.924794769346875</v>
      </c>
      <c r="AA198" s="104">
        <v>230.07513566468748</v>
      </c>
      <c r="AB198" s="250" t="s">
        <v>18</v>
      </c>
      <c r="AC198" s="97">
        <v>0.33</v>
      </c>
      <c r="AD198" s="252">
        <v>2</v>
      </c>
      <c r="AE198" s="97">
        <v>2.33</v>
      </c>
      <c r="AF198" s="93">
        <v>25.084366852241615</v>
      </c>
      <c r="AG198" s="93">
        <v>152.0264657711613</v>
      </c>
      <c r="AH198" s="93">
        <v>75.924794769346875</v>
      </c>
      <c r="AI198" s="93">
        <v>460.15027132937496</v>
      </c>
      <c r="AJ198" s="247" t="s">
        <v>49</v>
      </c>
      <c r="AK198" s="246"/>
      <c r="AL198" s="93">
        <v>0</v>
      </c>
      <c r="AM198" s="93">
        <v>0</v>
      </c>
      <c r="AN198" s="254" t="s">
        <v>0</v>
      </c>
      <c r="AO198" s="246">
        <v>0</v>
      </c>
      <c r="AP198" s="92">
        <v>0</v>
      </c>
      <c r="AQ198" s="282">
        <v>0</v>
      </c>
      <c r="AR198" s="93">
        <v>0</v>
      </c>
      <c r="AS198" s="104">
        <v>0</v>
      </c>
      <c r="AT198" s="245">
        <v>1</v>
      </c>
      <c r="AU198" s="260">
        <v>0</v>
      </c>
      <c r="AV198" s="93">
        <v>379.30603209904746</v>
      </c>
      <c r="AW198" s="104">
        <v>1148.0749269667904</v>
      </c>
      <c r="AX198" s="93">
        <v>379.30603209904746</v>
      </c>
      <c r="AY198" s="243">
        <v>1148.0749269667904</v>
      </c>
    </row>
    <row r="199" spans="1:51" ht="79.5" customHeight="1">
      <c r="A199" s="113" t="s">
        <v>1005</v>
      </c>
      <c r="B199" s="90" t="s">
        <v>1247</v>
      </c>
      <c r="C199" s="246" t="s">
        <v>11</v>
      </c>
      <c r="D199" s="246" t="s">
        <v>1415</v>
      </c>
      <c r="E199" s="253" t="s">
        <v>234</v>
      </c>
      <c r="F199" s="253" t="s">
        <v>393</v>
      </c>
      <c r="G199" s="253" t="s">
        <v>232</v>
      </c>
      <c r="H199" s="246" t="s">
        <v>110</v>
      </c>
      <c r="I199" s="246" t="s">
        <v>142</v>
      </c>
      <c r="J199" s="246" t="s">
        <v>113</v>
      </c>
      <c r="K199" s="256" t="s">
        <v>49</v>
      </c>
      <c r="L199" s="250" t="s">
        <v>18</v>
      </c>
      <c r="M199" s="90">
        <v>2</v>
      </c>
      <c r="N199" s="251">
        <v>1</v>
      </c>
      <c r="O199" s="90">
        <v>3</v>
      </c>
      <c r="P199" s="93">
        <v>152.0264657711613</v>
      </c>
      <c r="Q199" s="93">
        <v>76.013232885580649</v>
      </c>
      <c r="R199" s="93">
        <v>460.15027132937496</v>
      </c>
      <c r="S199" s="104">
        <v>230.07513566468748</v>
      </c>
      <c r="T199" s="250" t="s">
        <v>18</v>
      </c>
      <c r="U199" s="90">
        <v>2</v>
      </c>
      <c r="V199" s="251">
        <v>1</v>
      </c>
      <c r="W199" s="90">
        <v>3</v>
      </c>
      <c r="X199" s="93">
        <v>152.0264657711613</v>
      </c>
      <c r="Y199" s="93">
        <v>76.013232885580649</v>
      </c>
      <c r="Z199" s="93">
        <v>460.15027132937496</v>
      </c>
      <c r="AA199" s="104">
        <v>230.07513566468748</v>
      </c>
      <c r="AB199" s="250" t="s">
        <v>18</v>
      </c>
      <c r="AC199" s="97">
        <v>2</v>
      </c>
      <c r="AD199" s="252">
        <v>2</v>
      </c>
      <c r="AE199" s="97">
        <v>4</v>
      </c>
      <c r="AF199" s="93">
        <v>152.0264657711613</v>
      </c>
      <c r="AG199" s="93">
        <v>152.0264657711613</v>
      </c>
      <c r="AH199" s="93">
        <v>460.15027132937496</v>
      </c>
      <c r="AI199" s="93">
        <v>460.15027132937496</v>
      </c>
      <c r="AJ199" s="247" t="s">
        <v>49</v>
      </c>
      <c r="AK199" s="246"/>
      <c r="AL199" s="93">
        <v>0</v>
      </c>
      <c r="AM199" s="93">
        <v>0</v>
      </c>
      <c r="AN199" s="254" t="s">
        <v>0</v>
      </c>
      <c r="AO199" s="246">
        <v>0</v>
      </c>
      <c r="AP199" s="92">
        <v>0</v>
      </c>
      <c r="AQ199" s="282">
        <v>0</v>
      </c>
      <c r="AR199" s="93">
        <v>0</v>
      </c>
      <c r="AS199" s="104">
        <v>0</v>
      </c>
      <c r="AT199" s="245">
        <v>1</v>
      </c>
      <c r="AU199" s="260">
        <v>0</v>
      </c>
      <c r="AV199" s="93">
        <v>760.13232885580646</v>
      </c>
      <c r="AW199" s="104">
        <v>2300.7513566468747</v>
      </c>
      <c r="AX199" s="93">
        <v>760.13232885580646</v>
      </c>
      <c r="AY199" s="243">
        <v>2300.7513566468747</v>
      </c>
    </row>
    <row r="200" spans="1:51" ht="80.25" customHeight="1">
      <c r="A200" s="113" t="s">
        <v>1006</v>
      </c>
      <c r="B200" s="90" t="s">
        <v>1248</v>
      </c>
      <c r="C200" s="246" t="s">
        <v>11</v>
      </c>
      <c r="D200" s="246" t="s">
        <v>1415</v>
      </c>
      <c r="E200" s="253" t="s">
        <v>234</v>
      </c>
      <c r="F200" s="253" t="s">
        <v>393</v>
      </c>
      <c r="G200" s="253" t="s">
        <v>244</v>
      </c>
      <c r="H200" s="246" t="s">
        <v>109</v>
      </c>
      <c r="I200" s="246" t="s">
        <v>142</v>
      </c>
      <c r="J200" s="246" t="s">
        <v>113</v>
      </c>
      <c r="K200" s="256" t="s">
        <v>142</v>
      </c>
      <c r="L200" s="250" t="s">
        <v>18</v>
      </c>
      <c r="M200" s="90">
        <v>0.33</v>
      </c>
      <c r="N200" s="251">
        <v>1</v>
      </c>
      <c r="O200" s="90">
        <v>1.33</v>
      </c>
      <c r="P200" s="93">
        <v>25.084366852241615</v>
      </c>
      <c r="Q200" s="93">
        <v>76.013232885580649</v>
      </c>
      <c r="R200" s="93">
        <v>75.924794769346875</v>
      </c>
      <c r="S200" s="104">
        <v>230.07513566468748</v>
      </c>
      <c r="T200" s="250" t="s">
        <v>18</v>
      </c>
      <c r="U200" s="90">
        <v>0.33</v>
      </c>
      <c r="V200" s="251">
        <v>1</v>
      </c>
      <c r="W200" s="90">
        <v>1.33</v>
      </c>
      <c r="X200" s="93">
        <v>25.084366852241615</v>
      </c>
      <c r="Y200" s="93">
        <v>76.013232885580649</v>
      </c>
      <c r="Z200" s="93">
        <v>75.924794769346875</v>
      </c>
      <c r="AA200" s="104">
        <v>230.07513566468748</v>
      </c>
      <c r="AB200" s="250" t="s">
        <v>18</v>
      </c>
      <c r="AC200" s="97">
        <v>0.33</v>
      </c>
      <c r="AD200" s="252">
        <v>2</v>
      </c>
      <c r="AE200" s="97">
        <v>2.33</v>
      </c>
      <c r="AF200" s="93">
        <v>25.084366852241615</v>
      </c>
      <c r="AG200" s="93">
        <v>152.0264657711613</v>
      </c>
      <c r="AH200" s="93">
        <v>75.924794769346875</v>
      </c>
      <c r="AI200" s="93">
        <v>460.15027132937496</v>
      </c>
      <c r="AJ200" s="247" t="s">
        <v>49</v>
      </c>
      <c r="AK200" s="246"/>
      <c r="AL200" s="93">
        <v>0</v>
      </c>
      <c r="AM200" s="93">
        <v>0</v>
      </c>
      <c r="AN200" s="254" t="s">
        <v>0</v>
      </c>
      <c r="AO200" s="246">
        <v>0</v>
      </c>
      <c r="AP200" s="92">
        <v>0</v>
      </c>
      <c r="AQ200" s="282">
        <v>0</v>
      </c>
      <c r="AR200" s="93">
        <v>700.3791783912435</v>
      </c>
      <c r="AS200" s="104">
        <v>801.19082556287378</v>
      </c>
      <c r="AT200" s="245">
        <v>1</v>
      </c>
      <c r="AU200" s="260">
        <v>0</v>
      </c>
      <c r="AV200" s="93">
        <v>379.30603209904746</v>
      </c>
      <c r="AW200" s="104">
        <v>1148.0749269667904</v>
      </c>
      <c r="AX200" s="93">
        <v>1079.685210490291</v>
      </c>
      <c r="AY200" s="243">
        <v>1949.265752529664</v>
      </c>
    </row>
    <row r="201" spans="1:51" ht="79.5" customHeight="1">
      <c r="A201" s="113" t="s">
        <v>1007</v>
      </c>
      <c r="B201" s="90" t="s">
        <v>1249</v>
      </c>
      <c r="C201" s="246" t="s">
        <v>11</v>
      </c>
      <c r="D201" s="246" t="s">
        <v>1415</v>
      </c>
      <c r="E201" s="253" t="s">
        <v>234</v>
      </c>
      <c r="F201" s="253" t="s">
        <v>393</v>
      </c>
      <c r="G201" s="253" t="s">
        <v>244</v>
      </c>
      <c r="H201" s="246" t="s">
        <v>110</v>
      </c>
      <c r="I201" s="246" t="s">
        <v>142</v>
      </c>
      <c r="J201" s="246" t="s">
        <v>113</v>
      </c>
      <c r="K201" s="256" t="s">
        <v>142</v>
      </c>
      <c r="L201" s="250" t="s">
        <v>18</v>
      </c>
      <c r="M201" s="90">
        <v>2</v>
      </c>
      <c r="N201" s="251">
        <v>1</v>
      </c>
      <c r="O201" s="90">
        <v>3</v>
      </c>
      <c r="P201" s="93">
        <v>152.0264657711613</v>
      </c>
      <c r="Q201" s="93">
        <v>76.013232885580649</v>
      </c>
      <c r="R201" s="93">
        <v>460.15027132937496</v>
      </c>
      <c r="S201" s="104">
        <v>230.07513566468748</v>
      </c>
      <c r="T201" s="250" t="s">
        <v>18</v>
      </c>
      <c r="U201" s="90">
        <v>2</v>
      </c>
      <c r="V201" s="251">
        <v>1</v>
      </c>
      <c r="W201" s="90">
        <v>3</v>
      </c>
      <c r="X201" s="93">
        <v>152.0264657711613</v>
      </c>
      <c r="Y201" s="93">
        <v>76.013232885580649</v>
      </c>
      <c r="Z201" s="93">
        <v>460.15027132937496</v>
      </c>
      <c r="AA201" s="104">
        <v>230.07513566468748</v>
      </c>
      <c r="AB201" s="250" t="s">
        <v>18</v>
      </c>
      <c r="AC201" s="97">
        <v>2</v>
      </c>
      <c r="AD201" s="252">
        <v>2</v>
      </c>
      <c r="AE201" s="97">
        <v>4</v>
      </c>
      <c r="AF201" s="93">
        <v>152.0264657711613</v>
      </c>
      <c r="AG201" s="93">
        <v>152.0264657711613</v>
      </c>
      <c r="AH201" s="93">
        <v>460.15027132937496</v>
      </c>
      <c r="AI201" s="93">
        <v>460.15027132937496</v>
      </c>
      <c r="AJ201" s="247" t="s">
        <v>49</v>
      </c>
      <c r="AK201" s="246"/>
      <c r="AL201" s="93">
        <v>0</v>
      </c>
      <c r="AM201" s="93">
        <v>0</v>
      </c>
      <c r="AN201" s="254" t="s">
        <v>0</v>
      </c>
      <c r="AO201" s="246">
        <v>0</v>
      </c>
      <c r="AP201" s="92">
        <v>0</v>
      </c>
      <c r="AQ201" s="282">
        <v>0</v>
      </c>
      <c r="AR201" s="93">
        <v>700.3791783912435</v>
      </c>
      <c r="AS201" s="104">
        <v>801.19082556287378</v>
      </c>
      <c r="AT201" s="245">
        <v>1</v>
      </c>
      <c r="AU201" s="260">
        <v>0</v>
      </c>
      <c r="AV201" s="93">
        <v>760.13232885580646</v>
      </c>
      <c r="AW201" s="104">
        <v>2300.7513566468747</v>
      </c>
      <c r="AX201" s="93">
        <v>1460.5115072470498</v>
      </c>
      <c r="AY201" s="243">
        <v>3101.9421822097484</v>
      </c>
    </row>
    <row r="202" spans="1:51" ht="80.25" customHeight="1">
      <c r="A202" s="113" t="s">
        <v>1008</v>
      </c>
      <c r="B202" s="90" t="s">
        <v>944</v>
      </c>
      <c r="C202" s="246" t="s">
        <v>11</v>
      </c>
      <c r="D202" s="253" t="s">
        <v>1414</v>
      </c>
      <c r="E202" s="253" t="s">
        <v>235</v>
      </c>
      <c r="F202" s="253" t="s">
        <v>392</v>
      </c>
      <c r="G202" s="253" t="s">
        <v>228</v>
      </c>
      <c r="H202" s="246" t="s">
        <v>109</v>
      </c>
      <c r="I202" s="246" t="s">
        <v>142</v>
      </c>
      <c r="J202" s="246" t="s">
        <v>47</v>
      </c>
      <c r="K202" s="256" t="s">
        <v>49</v>
      </c>
      <c r="L202" s="250" t="s">
        <v>18</v>
      </c>
      <c r="M202" s="90">
        <v>0.33</v>
      </c>
      <c r="N202" s="251">
        <v>2</v>
      </c>
      <c r="O202" s="90">
        <v>2.33</v>
      </c>
      <c r="P202" s="93">
        <v>19.081969456246018</v>
      </c>
      <c r="Q202" s="93">
        <v>115.64829973482435</v>
      </c>
      <c r="R202" s="93">
        <v>57.75687396434946</v>
      </c>
      <c r="S202" s="104">
        <v>350.04166038999676</v>
      </c>
      <c r="T202" s="250" t="s">
        <v>18</v>
      </c>
      <c r="U202" s="90">
        <v>0.33</v>
      </c>
      <c r="V202" s="251">
        <v>2</v>
      </c>
      <c r="W202" s="90">
        <v>2.33</v>
      </c>
      <c r="X202" s="93">
        <v>19.081969456246018</v>
      </c>
      <c r="Y202" s="93">
        <v>115.64829973482435</v>
      </c>
      <c r="Z202" s="93">
        <v>57.75687396434946</v>
      </c>
      <c r="AA202" s="104">
        <v>350.04166038999676</v>
      </c>
      <c r="AB202" s="250" t="s">
        <v>107</v>
      </c>
      <c r="AC202" s="97">
        <v>0</v>
      </c>
      <c r="AD202" s="252">
        <v>0</v>
      </c>
      <c r="AE202" s="97">
        <v>0</v>
      </c>
      <c r="AF202" s="93">
        <v>0</v>
      </c>
      <c r="AG202" s="93">
        <v>0</v>
      </c>
      <c r="AH202" s="93">
        <v>0</v>
      </c>
      <c r="AI202" s="93">
        <v>0</v>
      </c>
      <c r="AJ202" s="247" t="s">
        <v>49</v>
      </c>
      <c r="AK202" s="246"/>
      <c r="AL202" s="93">
        <v>0</v>
      </c>
      <c r="AM202" s="93">
        <v>0</v>
      </c>
      <c r="AN202" s="254" t="s">
        <v>0</v>
      </c>
      <c r="AO202" s="246">
        <v>0</v>
      </c>
      <c r="AP202" s="92">
        <v>0</v>
      </c>
      <c r="AQ202" s="282">
        <v>0</v>
      </c>
      <c r="AR202" s="93">
        <v>0</v>
      </c>
      <c r="AS202" s="104">
        <v>0</v>
      </c>
      <c r="AT202" s="245">
        <v>1</v>
      </c>
      <c r="AU202" s="260">
        <v>0</v>
      </c>
      <c r="AV202" s="93">
        <v>269.46053838214073</v>
      </c>
      <c r="AW202" s="104">
        <v>815.5970687086924</v>
      </c>
      <c r="AX202" s="93">
        <v>269.46053838214073</v>
      </c>
      <c r="AY202" s="243">
        <v>815.5970687086924</v>
      </c>
    </row>
    <row r="203" spans="1:51" ht="79.5" customHeight="1">
      <c r="A203" s="113" t="s">
        <v>1009</v>
      </c>
      <c r="B203" s="90" t="s">
        <v>945</v>
      </c>
      <c r="C203" s="246" t="s">
        <v>11</v>
      </c>
      <c r="D203" s="253" t="s">
        <v>1414</v>
      </c>
      <c r="E203" s="253" t="s">
        <v>235</v>
      </c>
      <c r="F203" s="253" t="s">
        <v>392</v>
      </c>
      <c r="G203" s="253" t="s">
        <v>228</v>
      </c>
      <c r="H203" s="246" t="s">
        <v>110</v>
      </c>
      <c r="I203" s="246" t="s">
        <v>142</v>
      </c>
      <c r="J203" s="246" t="s">
        <v>47</v>
      </c>
      <c r="K203" s="256" t="s">
        <v>49</v>
      </c>
      <c r="L203" s="250" t="s">
        <v>18</v>
      </c>
      <c r="M203" s="90">
        <v>2</v>
      </c>
      <c r="N203" s="251">
        <v>2</v>
      </c>
      <c r="O203" s="90">
        <v>4</v>
      </c>
      <c r="P203" s="93">
        <v>115.64829973482435</v>
      </c>
      <c r="Q203" s="93">
        <v>115.64829973482435</v>
      </c>
      <c r="R203" s="93">
        <v>350.04166038999676</v>
      </c>
      <c r="S203" s="104">
        <v>350.04166038999676</v>
      </c>
      <c r="T203" s="250" t="s">
        <v>18</v>
      </c>
      <c r="U203" s="90">
        <v>2</v>
      </c>
      <c r="V203" s="251">
        <v>2</v>
      </c>
      <c r="W203" s="90">
        <v>4</v>
      </c>
      <c r="X203" s="93">
        <v>115.64829973482435</v>
      </c>
      <c r="Y203" s="93">
        <v>115.64829973482435</v>
      </c>
      <c r="Z203" s="93">
        <v>350.04166038999676</v>
      </c>
      <c r="AA203" s="104">
        <v>350.04166038999676</v>
      </c>
      <c r="AB203" s="250" t="s">
        <v>107</v>
      </c>
      <c r="AC203" s="97">
        <v>0</v>
      </c>
      <c r="AD203" s="252">
        <v>0</v>
      </c>
      <c r="AE203" s="97">
        <v>0</v>
      </c>
      <c r="AF203" s="93">
        <v>0</v>
      </c>
      <c r="AG203" s="93">
        <v>0</v>
      </c>
      <c r="AH203" s="93">
        <v>0</v>
      </c>
      <c r="AI203" s="93">
        <v>0</v>
      </c>
      <c r="AJ203" s="247" t="s">
        <v>49</v>
      </c>
      <c r="AK203" s="246"/>
      <c r="AL203" s="93">
        <v>0</v>
      </c>
      <c r="AM203" s="93">
        <v>0</v>
      </c>
      <c r="AN203" s="254" t="s">
        <v>0</v>
      </c>
      <c r="AO203" s="246">
        <v>0</v>
      </c>
      <c r="AP203" s="92">
        <v>0</v>
      </c>
      <c r="AQ203" s="282">
        <v>0</v>
      </c>
      <c r="AR203" s="93">
        <v>0</v>
      </c>
      <c r="AS203" s="104">
        <v>0</v>
      </c>
      <c r="AT203" s="245">
        <v>1</v>
      </c>
      <c r="AU203" s="260">
        <v>0</v>
      </c>
      <c r="AV203" s="93">
        <v>462.59319893929739</v>
      </c>
      <c r="AW203" s="104">
        <v>1400.1666415599871</v>
      </c>
      <c r="AX203" s="93">
        <v>462.59319893929739</v>
      </c>
      <c r="AY203" s="243">
        <v>1400.1666415599871</v>
      </c>
    </row>
    <row r="204" spans="1:51" ht="80.25" customHeight="1">
      <c r="A204" s="113" t="s">
        <v>1010</v>
      </c>
      <c r="B204" s="90" t="s">
        <v>946</v>
      </c>
      <c r="C204" s="246" t="s">
        <v>11</v>
      </c>
      <c r="D204" s="253" t="s">
        <v>1414</v>
      </c>
      <c r="E204" s="253" t="s">
        <v>235</v>
      </c>
      <c r="F204" s="253" t="s">
        <v>392</v>
      </c>
      <c r="G204" s="253" t="s">
        <v>240</v>
      </c>
      <c r="H204" s="246" t="s">
        <v>109</v>
      </c>
      <c r="I204" s="246" t="s">
        <v>142</v>
      </c>
      <c r="J204" s="246" t="s">
        <v>47</v>
      </c>
      <c r="K204" s="256" t="s">
        <v>142</v>
      </c>
      <c r="L204" s="250" t="s">
        <v>18</v>
      </c>
      <c r="M204" s="90">
        <v>0.33</v>
      </c>
      <c r="N204" s="251">
        <v>2</v>
      </c>
      <c r="O204" s="90">
        <v>2.33</v>
      </c>
      <c r="P204" s="93">
        <v>19.081969456246018</v>
      </c>
      <c r="Q204" s="93">
        <v>115.64829973482435</v>
      </c>
      <c r="R204" s="93">
        <v>57.75687396434946</v>
      </c>
      <c r="S204" s="104">
        <v>350.04166038999676</v>
      </c>
      <c r="T204" s="250" t="s">
        <v>18</v>
      </c>
      <c r="U204" s="90">
        <v>0.33</v>
      </c>
      <c r="V204" s="251">
        <v>2</v>
      </c>
      <c r="W204" s="90">
        <v>2.33</v>
      </c>
      <c r="X204" s="93">
        <v>19.081969456246018</v>
      </c>
      <c r="Y204" s="93">
        <v>115.64829973482435</v>
      </c>
      <c r="Z204" s="93">
        <v>57.75687396434946</v>
      </c>
      <c r="AA204" s="104">
        <v>350.04166038999676</v>
      </c>
      <c r="AB204" s="250" t="s">
        <v>107</v>
      </c>
      <c r="AC204" s="97">
        <v>0</v>
      </c>
      <c r="AD204" s="252">
        <v>0</v>
      </c>
      <c r="AE204" s="97">
        <v>0</v>
      </c>
      <c r="AF204" s="93">
        <v>0</v>
      </c>
      <c r="AG204" s="93">
        <v>0</v>
      </c>
      <c r="AH204" s="93">
        <v>0</v>
      </c>
      <c r="AI204" s="93">
        <v>0</v>
      </c>
      <c r="AJ204" s="247" t="s">
        <v>49</v>
      </c>
      <c r="AK204" s="246"/>
      <c r="AL204" s="93">
        <v>0</v>
      </c>
      <c r="AM204" s="93">
        <v>0</v>
      </c>
      <c r="AN204" s="254" t="s">
        <v>0</v>
      </c>
      <c r="AO204" s="246">
        <v>0</v>
      </c>
      <c r="AP204" s="92">
        <v>0</v>
      </c>
      <c r="AQ204" s="282">
        <v>0</v>
      </c>
      <c r="AR204" s="93">
        <v>700.3791783912435</v>
      </c>
      <c r="AS204" s="104">
        <v>801.19082556287378</v>
      </c>
      <c r="AT204" s="245">
        <v>1</v>
      </c>
      <c r="AU204" s="260">
        <v>0</v>
      </c>
      <c r="AV204" s="93">
        <v>269.46053838214073</v>
      </c>
      <c r="AW204" s="104">
        <v>815.5970687086924</v>
      </c>
      <c r="AX204" s="93">
        <v>969.83971677338423</v>
      </c>
      <c r="AY204" s="243">
        <v>1616.7878942715661</v>
      </c>
    </row>
    <row r="205" spans="1:51" ht="79.5" customHeight="1">
      <c r="A205" s="113" t="s">
        <v>1011</v>
      </c>
      <c r="B205" s="90" t="s">
        <v>947</v>
      </c>
      <c r="C205" s="246" t="s">
        <v>11</v>
      </c>
      <c r="D205" s="253" t="s">
        <v>1414</v>
      </c>
      <c r="E205" s="253" t="s">
        <v>235</v>
      </c>
      <c r="F205" s="253" t="s">
        <v>392</v>
      </c>
      <c r="G205" s="253" t="s">
        <v>240</v>
      </c>
      <c r="H205" s="246" t="s">
        <v>110</v>
      </c>
      <c r="I205" s="246" t="s">
        <v>142</v>
      </c>
      <c r="J205" s="246" t="s">
        <v>47</v>
      </c>
      <c r="K205" s="256" t="s">
        <v>142</v>
      </c>
      <c r="L205" s="250" t="s">
        <v>18</v>
      </c>
      <c r="M205" s="90">
        <v>2</v>
      </c>
      <c r="N205" s="251">
        <v>2</v>
      </c>
      <c r="O205" s="90">
        <v>4</v>
      </c>
      <c r="P205" s="93">
        <v>115.64829973482435</v>
      </c>
      <c r="Q205" s="93">
        <v>115.64829973482435</v>
      </c>
      <c r="R205" s="93">
        <v>350.04166038999676</v>
      </c>
      <c r="S205" s="104">
        <v>350.04166038999676</v>
      </c>
      <c r="T205" s="250" t="s">
        <v>18</v>
      </c>
      <c r="U205" s="90">
        <v>2</v>
      </c>
      <c r="V205" s="251">
        <v>2</v>
      </c>
      <c r="W205" s="90">
        <v>4</v>
      </c>
      <c r="X205" s="93">
        <v>115.64829973482435</v>
      </c>
      <c r="Y205" s="93">
        <v>115.64829973482435</v>
      </c>
      <c r="Z205" s="93">
        <v>350.04166038999676</v>
      </c>
      <c r="AA205" s="104">
        <v>350.04166038999676</v>
      </c>
      <c r="AB205" s="250" t="s">
        <v>107</v>
      </c>
      <c r="AC205" s="97">
        <v>0</v>
      </c>
      <c r="AD205" s="252">
        <v>0</v>
      </c>
      <c r="AE205" s="97">
        <v>0</v>
      </c>
      <c r="AF205" s="93">
        <v>0</v>
      </c>
      <c r="AG205" s="93">
        <v>0</v>
      </c>
      <c r="AH205" s="93">
        <v>0</v>
      </c>
      <c r="AI205" s="93">
        <v>0</v>
      </c>
      <c r="AJ205" s="247" t="s">
        <v>49</v>
      </c>
      <c r="AK205" s="246"/>
      <c r="AL205" s="93">
        <v>0</v>
      </c>
      <c r="AM205" s="93">
        <v>0</v>
      </c>
      <c r="AN205" s="254" t="s">
        <v>0</v>
      </c>
      <c r="AO205" s="246">
        <v>0</v>
      </c>
      <c r="AP205" s="92">
        <v>0</v>
      </c>
      <c r="AQ205" s="282">
        <v>0</v>
      </c>
      <c r="AR205" s="93">
        <v>700.3791783912435</v>
      </c>
      <c r="AS205" s="104">
        <v>801.19082556287378</v>
      </c>
      <c r="AT205" s="245">
        <v>1</v>
      </c>
      <c r="AU205" s="260">
        <v>0</v>
      </c>
      <c r="AV205" s="93">
        <v>462.59319893929739</v>
      </c>
      <c r="AW205" s="104">
        <v>1400.1666415599871</v>
      </c>
      <c r="AX205" s="93">
        <v>1162.9723773305409</v>
      </c>
      <c r="AY205" s="243">
        <v>2201.3574671228607</v>
      </c>
    </row>
    <row r="206" spans="1:51" ht="80.25" customHeight="1">
      <c r="A206" s="113" t="s">
        <v>1012</v>
      </c>
      <c r="B206" s="90" t="s">
        <v>948</v>
      </c>
      <c r="C206" s="246" t="s">
        <v>11</v>
      </c>
      <c r="D206" s="253" t="s">
        <v>1414</v>
      </c>
      <c r="E206" s="253" t="s">
        <v>235</v>
      </c>
      <c r="F206" s="253" t="s">
        <v>392</v>
      </c>
      <c r="G206" s="253" t="s">
        <v>231</v>
      </c>
      <c r="H206" s="246" t="s">
        <v>109</v>
      </c>
      <c r="I206" s="246" t="s">
        <v>142</v>
      </c>
      <c r="J206" s="246" t="s">
        <v>47</v>
      </c>
      <c r="K206" s="256" t="s">
        <v>49</v>
      </c>
      <c r="L206" s="250" t="s">
        <v>18</v>
      </c>
      <c r="M206" s="90">
        <v>0.33</v>
      </c>
      <c r="N206" s="251">
        <v>3</v>
      </c>
      <c r="O206" s="90">
        <v>3.33</v>
      </c>
      <c r="P206" s="93">
        <v>19.081969456246018</v>
      </c>
      <c r="Q206" s="93">
        <v>173.47244960223651</v>
      </c>
      <c r="R206" s="93">
        <v>57.75687396434946</v>
      </c>
      <c r="S206" s="104">
        <v>525.06249058499509</v>
      </c>
      <c r="T206" s="250" t="s">
        <v>18</v>
      </c>
      <c r="U206" s="90">
        <v>0.33</v>
      </c>
      <c r="V206" s="251">
        <v>3</v>
      </c>
      <c r="W206" s="90">
        <v>3.33</v>
      </c>
      <c r="X206" s="93">
        <v>19.081969456246018</v>
      </c>
      <c r="Y206" s="93">
        <v>173.47244960223651</v>
      </c>
      <c r="Z206" s="93">
        <v>57.75687396434946</v>
      </c>
      <c r="AA206" s="104">
        <v>525.06249058499509</v>
      </c>
      <c r="AB206" s="250" t="s">
        <v>107</v>
      </c>
      <c r="AC206" s="97">
        <v>0</v>
      </c>
      <c r="AD206" s="252">
        <v>0</v>
      </c>
      <c r="AE206" s="97">
        <v>0</v>
      </c>
      <c r="AF206" s="93">
        <v>0</v>
      </c>
      <c r="AG206" s="93">
        <v>0</v>
      </c>
      <c r="AH206" s="93">
        <v>0</v>
      </c>
      <c r="AI206" s="93">
        <v>0</v>
      </c>
      <c r="AJ206" s="247" t="s">
        <v>49</v>
      </c>
      <c r="AK206" s="246"/>
      <c r="AL206" s="93">
        <v>0</v>
      </c>
      <c r="AM206" s="93">
        <v>0</v>
      </c>
      <c r="AN206" s="254" t="s">
        <v>0</v>
      </c>
      <c r="AO206" s="246">
        <v>0</v>
      </c>
      <c r="AP206" s="92">
        <v>0</v>
      </c>
      <c r="AQ206" s="282">
        <v>0</v>
      </c>
      <c r="AR206" s="93">
        <v>0</v>
      </c>
      <c r="AS206" s="104">
        <v>0</v>
      </c>
      <c r="AT206" s="245">
        <v>1</v>
      </c>
      <c r="AU206" s="260">
        <v>0</v>
      </c>
      <c r="AV206" s="93">
        <v>385.10883811696505</v>
      </c>
      <c r="AW206" s="104">
        <v>1165.6387290986891</v>
      </c>
      <c r="AX206" s="93">
        <v>385.10883811696505</v>
      </c>
      <c r="AY206" s="243">
        <v>1165.6387290986891</v>
      </c>
    </row>
    <row r="207" spans="1:51" ht="79.5" customHeight="1">
      <c r="A207" s="113" t="s">
        <v>1013</v>
      </c>
      <c r="B207" s="90" t="s">
        <v>949</v>
      </c>
      <c r="C207" s="246" t="s">
        <v>11</v>
      </c>
      <c r="D207" s="253" t="s">
        <v>1414</v>
      </c>
      <c r="E207" s="253" t="s">
        <v>235</v>
      </c>
      <c r="F207" s="253" t="s">
        <v>392</v>
      </c>
      <c r="G207" s="253" t="s">
        <v>231</v>
      </c>
      <c r="H207" s="246" t="s">
        <v>110</v>
      </c>
      <c r="I207" s="246" t="s">
        <v>142</v>
      </c>
      <c r="J207" s="246" t="s">
        <v>47</v>
      </c>
      <c r="K207" s="256" t="s">
        <v>49</v>
      </c>
      <c r="L207" s="250" t="s">
        <v>18</v>
      </c>
      <c r="M207" s="90">
        <v>2</v>
      </c>
      <c r="N207" s="251">
        <v>3</v>
      </c>
      <c r="O207" s="90">
        <v>5</v>
      </c>
      <c r="P207" s="93">
        <v>115.64829973482435</v>
      </c>
      <c r="Q207" s="93">
        <v>173.47244960223651</v>
      </c>
      <c r="R207" s="93">
        <v>350.04166038999676</v>
      </c>
      <c r="S207" s="104">
        <v>525.06249058499509</v>
      </c>
      <c r="T207" s="250" t="s">
        <v>18</v>
      </c>
      <c r="U207" s="90">
        <v>2</v>
      </c>
      <c r="V207" s="251">
        <v>3</v>
      </c>
      <c r="W207" s="90">
        <v>5</v>
      </c>
      <c r="X207" s="93">
        <v>115.64829973482435</v>
      </c>
      <c r="Y207" s="93">
        <v>173.47244960223651</v>
      </c>
      <c r="Z207" s="93">
        <v>350.04166038999676</v>
      </c>
      <c r="AA207" s="104">
        <v>525.06249058499509</v>
      </c>
      <c r="AB207" s="250" t="s">
        <v>107</v>
      </c>
      <c r="AC207" s="97">
        <v>0</v>
      </c>
      <c r="AD207" s="252">
        <v>0</v>
      </c>
      <c r="AE207" s="97">
        <v>0</v>
      </c>
      <c r="AF207" s="93">
        <v>0</v>
      </c>
      <c r="AG207" s="93">
        <v>0</v>
      </c>
      <c r="AH207" s="93">
        <v>0</v>
      </c>
      <c r="AI207" s="93">
        <v>0</v>
      </c>
      <c r="AJ207" s="247" t="s">
        <v>49</v>
      </c>
      <c r="AK207" s="246"/>
      <c r="AL207" s="93">
        <v>0</v>
      </c>
      <c r="AM207" s="93">
        <v>0</v>
      </c>
      <c r="AN207" s="254" t="s">
        <v>0</v>
      </c>
      <c r="AO207" s="246">
        <v>0</v>
      </c>
      <c r="AP207" s="92">
        <v>0</v>
      </c>
      <c r="AQ207" s="282">
        <v>0</v>
      </c>
      <c r="AR207" s="93">
        <v>0</v>
      </c>
      <c r="AS207" s="104">
        <v>0</v>
      </c>
      <c r="AT207" s="245">
        <v>1</v>
      </c>
      <c r="AU207" s="260">
        <v>0</v>
      </c>
      <c r="AV207" s="93">
        <v>578.24149867412166</v>
      </c>
      <c r="AW207" s="104">
        <v>1750.2083019499837</v>
      </c>
      <c r="AX207" s="93">
        <v>578.24149867412166</v>
      </c>
      <c r="AY207" s="243">
        <v>1750.2083019499837</v>
      </c>
    </row>
    <row r="208" spans="1:51" ht="80.25" customHeight="1">
      <c r="A208" s="113" t="s">
        <v>1014</v>
      </c>
      <c r="B208" s="90" t="s">
        <v>950</v>
      </c>
      <c r="C208" s="246" t="s">
        <v>11</v>
      </c>
      <c r="D208" s="253" t="s">
        <v>1414</v>
      </c>
      <c r="E208" s="253" t="s">
        <v>235</v>
      </c>
      <c r="F208" s="253" t="s">
        <v>392</v>
      </c>
      <c r="G208" s="253" t="s">
        <v>408</v>
      </c>
      <c r="H208" s="246" t="s">
        <v>109</v>
      </c>
      <c r="I208" s="246" t="s">
        <v>142</v>
      </c>
      <c r="J208" s="246" t="s">
        <v>47</v>
      </c>
      <c r="K208" s="256" t="s">
        <v>142</v>
      </c>
      <c r="L208" s="250" t="s">
        <v>18</v>
      </c>
      <c r="M208" s="90">
        <v>0.33</v>
      </c>
      <c r="N208" s="251">
        <v>3</v>
      </c>
      <c r="O208" s="90">
        <v>3.33</v>
      </c>
      <c r="P208" s="93">
        <v>19.081969456246018</v>
      </c>
      <c r="Q208" s="93">
        <v>173.47244960223651</v>
      </c>
      <c r="R208" s="93">
        <v>57.75687396434946</v>
      </c>
      <c r="S208" s="104">
        <v>525.06249058499509</v>
      </c>
      <c r="T208" s="250" t="s">
        <v>18</v>
      </c>
      <c r="U208" s="90">
        <v>0.33</v>
      </c>
      <c r="V208" s="251">
        <v>3</v>
      </c>
      <c r="W208" s="90">
        <v>3.33</v>
      </c>
      <c r="X208" s="93">
        <v>19.081969456246018</v>
      </c>
      <c r="Y208" s="93">
        <v>173.47244960223651</v>
      </c>
      <c r="Z208" s="93">
        <v>57.75687396434946</v>
      </c>
      <c r="AA208" s="104">
        <v>525.06249058499509</v>
      </c>
      <c r="AB208" s="250" t="s">
        <v>107</v>
      </c>
      <c r="AC208" s="97">
        <v>0</v>
      </c>
      <c r="AD208" s="252">
        <v>0</v>
      </c>
      <c r="AE208" s="97">
        <v>0</v>
      </c>
      <c r="AF208" s="93">
        <v>0</v>
      </c>
      <c r="AG208" s="93">
        <v>0</v>
      </c>
      <c r="AH208" s="93">
        <v>0</v>
      </c>
      <c r="AI208" s="93">
        <v>0</v>
      </c>
      <c r="AJ208" s="247" t="s">
        <v>49</v>
      </c>
      <c r="AK208" s="246"/>
      <c r="AL208" s="93">
        <v>0</v>
      </c>
      <c r="AM208" s="93">
        <v>0</v>
      </c>
      <c r="AN208" s="254" t="s">
        <v>0</v>
      </c>
      <c r="AO208" s="246">
        <v>0</v>
      </c>
      <c r="AP208" s="92">
        <v>0</v>
      </c>
      <c r="AQ208" s="282">
        <v>0</v>
      </c>
      <c r="AR208" s="93">
        <v>700.3791783912435</v>
      </c>
      <c r="AS208" s="104">
        <v>801.19082556287378</v>
      </c>
      <c r="AT208" s="245">
        <v>1</v>
      </c>
      <c r="AU208" s="260">
        <v>0</v>
      </c>
      <c r="AV208" s="93">
        <v>385.10883811696505</v>
      </c>
      <c r="AW208" s="104">
        <v>1165.6387290986891</v>
      </c>
      <c r="AX208" s="93">
        <v>1085.4880165082086</v>
      </c>
      <c r="AY208" s="243">
        <v>1966.8295546615627</v>
      </c>
    </row>
    <row r="209" spans="1:51" ht="79.5" customHeight="1">
      <c r="A209" s="113" t="s">
        <v>1015</v>
      </c>
      <c r="B209" s="90" t="s">
        <v>951</v>
      </c>
      <c r="C209" s="246" t="s">
        <v>11</v>
      </c>
      <c r="D209" s="253" t="s">
        <v>1414</v>
      </c>
      <c r="E209" s="253" t="s">
        <v>235</v>
      </c>
      <c r="F209" s="253" t="s">
        <v>392</v>
      </c>
      <c r="G209" s="253" t="s">
        <v>408</v>
      </c>
      <c r="H209" s="246" t="s">
        <v>110</v>
      </c>
      <c r="I209" s="246" t="s">
        <v>142</v>
      </c>
      <c r="J209" s="246" t="s">
        <v>47</v>
      </c>
      <c r="K209" s="256" t="s">
        <v>142</v>
      </c>
      <c r="L209" s="250" t="s">
        <v>18</v>
      </c>
      <c r="M209" s="90">
        <v>2</v>
      </c>
      <c r="N209" s="251">
        <v>3</v>
      </c>
      <c r="O209" s="90">
        <v>5</v>
      </c>
      <c r="P209" s="93">
        <v>115.64829973482435</v>
      </c>
      <c r="Q209" s="93">
        <v>173.47244960223651</v>
      </c>
      <c r="R209" s="93">
        <v>350.04166038999676</v>
      </c>
      <c r="S209" s="104">
        <v>525.06249058499509</v>
      </c>
      <c r="T209" s="250" t="s">
        <v>18</v>
      </c>
      <c r="U209" s="90">
        <v>2</v>
      </c>
      <c r="V209" s="251">
        <v>3</v>
      </c>
      <c r="W209" s="90">
        <v>5</v>
      </c>
      <c r="X209" s="93">
        <v>115.64829973482435</v>
      </c>
      <c r="Y209" s="93">
        <v>173.47244960223651</v>
      </c>
      <c r="Z209" s="93">
        <v>350.04166038999676</v>
      </c>
      <c r="AA209" s="104">
        <v>525.06249058499509</v>
      </c>
      <c r="AB209" s="250" t="s">
        <v>107</v>
      </c>
      <c r="AC209" s="97">
        <v>0</v>
      </c>
      <c r="AD209" s="252">
        <v>0</v>
      </c>
      <c r="AE209" s="97">
        <v>0</v>
      </c>
      <c r="AF209" s="93">
        <v>0</v>
      </c>
      <c r="AG209" s="93">
        <v>0</v>
      </c>
      <c r="AH209" s="93">
        <v>0</v>
      </c>
      <c r="AI209" s="93">
        <v>0</v>
      </c>
      <c r="AJ209" s="247" t="s">
        <v>49</v>
      </c>
      <c r="AK209" s="246"/>
      <c r="AL209" s="93">
        <v>0</v>
      </c>
      <c r="AM209" s="93">
        <v>0</v>
      </c>
      <c r="AN209" s="254" t="s">
        <v>0</v>
      </c>
      <c r="AO209" s="246">
        <v>0</v>
      </c>
      <c r="AP209" s="92">
        <v>0</v>
      </c>
      <c r="AQ209" s="282">
        <v>0</v>
      </c>
      <c r="AR209" s="93">
        <v>700.3791783912435</v>
      </c>
      <c r="AS209" s="104">
        <v>801.19082556287378</v>
      </c>
      <c r="AT209" s="245">
        <v>1</v>
      </c>
      <c r="AU209" s="260">
        <v>0</v>
      </c>
      <c r="AV209" s="93">
        <v>578.24149867412166</v>
      </c>
      <c r="AW209" s="104">
        <v>1750.2083019499837</v>
      </c>
      <c r="AX209" s="93">
        <v>1278.6206770653653</v>
      </c>
      <c r="AY209" s="243">
        <v>2551.3991275128574</v>
      </c>
    </row>
    <row r="210" spans="1:51" ht="80.25" customHeight="1">
      <c r="A210" s="113" t="s">
        <v>1016</v>
      </c>
      <c r="B210" s="90" t="s">
        <v>952</v>
      </c>
      <c r="C210" s="246" t="s">
        <v>11</v>
      </c>
      <c r="D210" s="253" t="s">
        <v>1414</v>
      </c>
      <c r="E210" s="253" t="s">
        <v>235</v>
      </c>
      <c r="F210" s="253" t="s">
        <v>392</v>
      </c>
      <c r="G210" s="253" t="s">
        <v>229</v>
      </c>
      <c r="H210" s="246" t="s">
        <v>109</v>
      </c>
      <c r="I210" s="246" t="s">
        <v>142</v>
      </c>
      <c r="J210" s="246" t="s">
        <v>113</v>
      </c>
      <c r="K210" s="256" t="s">
        <v>49</v>
      </c>
      <c r="L210" s="250" t="s">
        <v>18</v>
      </c>
      <c r="M210" s="90">
        <v>0.33</v>
      </c>
      <c r="N210" s="251">
        <v>2</v>
      </c>
      <c r="O210" s="90">
        <v>2.33</v>
      </c>
      <c r="P210" s="93">
        <v>25.084366852241615</v>
      </c>
      <c r="Q210" s="93">
        <v>152.0264657711613</v>
      </c>
      <c r="R210" s="93">
        <v>75.924794769346875</v>
      </c>
      <c r="S210" s="104">
        <v>460.15027132937496</v>
      </c>
      <c r="T210" s="250" t="s">
        <v>18</v>
      </c>
      <c r="U210" s="90">
        <v>0.33</v>
      </c>
      <c r="V210" s="251">
        <v>2</v>
      </c>
      <c r="W210" s="90">
        <v>2.33</v>
      </c>
      <c r="X210" s="93">
        <v>25.084366852241615</v>
      </c>
      <c r="Y210" s="93">
        <v>152.0264657711613</v>
      </c>
      <c r="Z210" s="93">
        <v>75.924794769346875</v>
      </c>
      <c r="AA210" s="104">
        <v>460.15027132937496</v>
      </c>
      <c r="AB210" s="250" t="s">
        <v>107</v>
      </c>
      <c r="AC210" s="97">
        <v>0</v>
      </c>
      <c r="AD210" s="252">
        <v>0</v>
      </c>
      <c r="AE210" s="97">
        <v>0</v>
      </c>
      <c r="AF210" s="93">
        <v>0</v>
      </c>
      <c r="AG210" s="93">
        <v>0</v>
      </c>
      <c r="AH210" s="93">
        <v>0</v>
      </c>
      <c r="AI210" s="93">
        <v>0</v>
      </c>
      <c r="AJ210" s="247" t="s">
        <v>49</v>
      </c>
      <c r="AK210" s="246"/>
      <c r="AL210" s="93">
        <v>0</v>
      </c>
      <c r="AM210" s="93">
        <v>0</v>
      </c>
      <c r="AN210" s="254" t="s">
        <v>0</v>
      </c>
      <c r="AO210" s="246">
        <v>0</v>
      </c>
      <c r="AP210" s="92">
        <v>0</v>
      </c>
      <c r="AQ210" s="282">
        <v>0</v>
      </c>
      <c r="AR210" s="93">
        <v>0</v>
      </c>
      <c r="AS210" s="104">
        <v>0</v>
      </c>
      <c r="AT210" s="245">
        <v>1</v>
      </c>
      <c r="AU210" s="260">
        <v>0</v>
      </c>
      <c r="AV210" s="93">
        <v>354.22166524680586</v>
      </c>
      <c r="AW210" s="104">
        <v>1072.1501321974438</v>
      </c>
      <c r="AX210" s="93">
        <v>354.22166524680586</v>
      </c>
      <c r="AY210" s="243">
        <v>1072.1501321974438</v>
      </c>
    </row>
    <row r="211" spans="1:51" ht="79.5" customHeight="1">
      <c r="A211" s="113" t="s">
        <v>1017</v>
      </c>
      <c r="B211" s="90" t="s">
        <v>953</v>
      </c>
      <c r="C211" s="246" t="s">
        <v>11</v>
      </c>
      <c r="D211" s="253" t="s">
        <v>1414</v>
      </c>
      <c r="E211" s="253" t="s">
        <v>235</v>
      </c>
      <c r="F211" s="253" t="s">
        <v>392</v>
      </c>
      <c r="G211" s="253" t="s">
        <v>229</v>
      </c>
      <c r="H211" s="246" t="s">
        <v>110</v>
      </c>
      <c r="I211" s="246" t="s">
        <v>142</v>
      </c>
      <c r="J211" s="246" t="s">
        <v>113</v>
      </c>
      <c r="K211" s="256" t="s">
        <v>49</v>
      </c>
      <c r="L211" s="250" t="s">
        <v>18</v>
      </c>
      <c r="M211" s="90">
        <v>2</v>
      </c>
      <c r="N211" s="251">
        <v>2</v>
      </c>
      <c r="O211" s="90">
        <v>4</v>
      </c>
      <c r="P211" s="93">
        <v>152.0264657711613</v>
      </c>
      <c r="Q211" s="93">
        <v>152.0264657711613</v>
      </c>
      <c r="R211" s="93">
        <v>460.15027132937496</v>
      </c>
      <c r="S211" s="104">
        <v>460.15027132937496</v>
      </c>
      <c r="T211" s="250" t="s">
        <v>18</v>
      </c>
      <c r="U211" s="90">
        <v>2</v>
      </c>
      <c r="V211" s="251">
        <v>2</v>
      </c>
      <c r="W211" s="90">
        <v>4</v>
      </c>
      <c r="X211" s="93">
        <v>152.0264657711613</v>
      </c>
      <c r="Y211" s="93">
        <v>152.0264657711613</v>
      </c>
      <c r="Z211" s="93">
        <v>460.15027132937496</v>
      </c>
      <c r="AA211" s="104">
        <v>460.15027132937496</v>
      </c>
      <c r="AB211" s="250" t="s">
        <v>107</v>
      </c>
      <c r="AC211" s="97">
        <v>0</v>
      </c>
      <c r="AD211" s="252">
        <v>0</v>
      </c>
      <c r="AE211" s="97">
        <v>0</v>
      </c>
      <c r="AF211" s="93">
        <v>0</v>
      </c>
      <c r="AG211" s="93">
        <v>0</v>
      </c>
      <c r="AH211" s="93">
        <v>0</v>
      </c>
      <c r="AI211" s="93">
        <v>0</v>
      </c>
      <c r="AJ211" s="247" t="s">
        <v>49</v>
      </c>
      <c r="AK211" s="246"/>
      <c r="AL211" s="93">
        <v>0</v>
      </c>
      <c r="AM211" s="93">
        <v>0</v>
      </c>
      <c r="AN211" s="254" t="s">
        <v>0</v>
      </c>
      <c r="AO211" s="246">
        <v>0</v>
      </c>
      <c r="AP211" s="92">
        <v>0</v>
      </c>
      <c r="AQ211" s="282">
        <v>0</v>
      </c>
      <c r="AR211" s="93">
        <v>0</v>
      </c>
      <c r="AS211" s="104">
        <v>0</v>
      </c>
      <c r="AT211" s="245">
        <v>1</v>
      </c>
      <c r="AU211" s="260">
        <v>0</v>
      </c>
      <c r="AV211" s="93">
        <v>608.10586308464519</v>
      </c>
      <c r="AW211" s="104">
        <v>1840.6010853174998</v>
      </c>
      <c r="AX211" s="93">
        <v>608.10586308464519</v>
      </c>
      <c r="AY211" s="243">
        <v>1840.6010853174998</v>
      </c>
    </row>
    <row r="212" spans="1:51" ht="80.25" customHeight="1">
      <c r="A212" s="113" t="s">
        <v>1018</v>
      </c>
      <c r="B212" s="90" t="s">
        <v>954</v>
      </c>
      <c r="C212" s="246" t="s">
        <v>11</v>
      </c>
      <c r="D212" s="253" t="s">
        <v>1414</v>
      </c>
      <c r="E212" s="253" t="s">
        <v>235</v>
      </c>
      <c r="F212" s="253" t="s">
        <v>392</v>
      </c>
      <c r="G212" s="253" t="s">
        <v>241</v>
      </c>
      <c r="H212" s="246" t="s">
        <v>109</v>
      </c>
      <c r="I212" s="246" t="s">
        <v>142</v>
      </c>
      <c r="J212" s="246" t="s">
        <v>113</v>
      </c>
      <c r="K212" s="256" t="s">
        <v>142</v>
      </c>
      <c r="L212" s="250" t="s">
        <v>18</v>
      </c>
      <c r="M212" s="90">
        <v>0.33</v>
      </c>
      <c r="N212" s="251">
        <v>2</v>
      </c>
      <c r="O212" s="90">
        <v>2.33</v>
      </c>
      <c r="P212" s="93">
        <v>25.084366852241615</v>
      </c>
      <c r="Q212" s="93">
        <v>152.0264657711613</v>
      </c>
      <c r="R212" s="93">
        <v>75.924794769346875</v>
      </c>
      <c r="S212" s="104">
        <v>460.15027132937496</v>
      </c>
      <c r="T212" s="250" t="s">
        <v>18</v>
      </c>
      <c r="U212" s="90">
        <v>0.33</v>
      </c>
      <c r="V212" s="251">
        <v>2</v>
      </c>
      <c r="W212" s="90">
        <v>2.33</v>
      </c>
      <c r="X212" s="93">
        <v>25.084366852241615</v>
      </c>
      <c r="Y212" s="93">
        <v>152.0264657711613</v>
      </c>
      <c r="Z212" s="93">
        <v>75.924794769346875</v>
      </c>
      <c r="AA212" s="104">
        <v>460.15027132937496</v>
      </c>
      <c r="AB212" s="250" t="s">
        <v>107</v>
      </c>
      <c r="AC212" s="97">
        <v>0</v>
      </c>
      <c r="AD212" s="252">
        <v>0</v>
      </c>
      <c r="AE212" s="97">
        <v>0</v>
      </c>
      <c r="AF212" s="93">
        <v>0</v>
      </c>
      <c r="AG212" s="93">
        <v>0</v>
      </c>
      <c r="AH212" s="93">
        <v>0</v>
      </c>
      <c r="AI212" s="93">
        <v>0</v>
      </c>
      <c r="AJ212" s="247" t="s">
        <v>49</v>
      </c>
      <c r="AK212" s="246"/>
      <c r="AL212" s="93">
        <v>0</v>
      </c>
      <c r="AM212" s="93">
        <v>0</v>
      </c>
      <c r="AN212" s="254" t="s">
        <v>0</v>
      </c>
      <c r="AO212" s="246">
        <v>0</v>
      </c>
      <c r="AP212" s="92">
        <v>0</v>
      </c>
      <c r="AQ212" s="282">
        <v>0</v>
      </c>
      <c r="AR212" s="93">
        <v>700.3791783912435</v>
      </c>
      <c r="AS212" s="104">
        <v>801.19082556287378</v>
      </c>
      <c r="AT212" s="245">
        <v>1</v>
      </c>
      <c r="AU212" s="260">
        <v>0</v>
      </c>
      <c r="AV212" s="93">
        <v>354.22166524680586</v>
      </c>
      <c r="AW212" s="104">
        <v>1072.1501321974438</v>
      </c>
      <c r="AX212" s="93">
        <v>1054.6008436380494</v>
      </c>
      <c r="AY212" s="243">
        <v>1873.3409577603175</v>
      </c>
    </row>
    <row r="213" spans="1:51" ht="79.5" customHeight="1">
      <c r="A213" s="113" t="s">
        <v>1019</v>
      </c>
      <c r="B213" s="90" t="s">
        <v>955</v>
      </c>
      <c r="C213" s="246" t="s">
        <v>11</v>
      </c>
      <c r="D213" s="253" t="s">
        <v>1414</v>
      </c>
      <c r="E213" s="253" t="s">
        <v>235</v>
      </c>
      <c r="F213" s="253" t="s">
        <v>392</v>
      </c>
      <c r="G213" s="253" t="s">
        <v>241</v>
      </c>
      <c r="H213" s="246" t="s">
        <v>110</v>
      </c>
      <c r="I213" s="246" t="s">
        <v>142</v>
      </c>
      <c r="J213" s="246" t="s">
        <v>113</v>
      </c>
      <c r="K213" s="256" t="s">
        <v>142</v>
      </c>
      <c r="L213" s="250" t="s">
        <v>18</v>
      </c>
      <c r="M213" s="90">
        <v>2</v>
      </c>
      <c r="N213" s="251">
        <v>2</v>
      </c>
      <c r="O213" s="90">
        <v>4</v>
      </c>
      <c r="P213" s="93">
        <v>152.0264657711613</v>
      </c>
      <c r="Q213" s="93">
        <v>152.0264657711613</v>
      </c>
      <c r="R213" s="93">
        <v>460.15027132937496</v>
      </c>
      <c r="S213" s="104">
        <v>460.15027132937496</v>
      </c>
      <c r="T213" s="250" t="s">
        <v>18</v>
      </c>
      <c r="U213" s="90">
        <v>2</v>
      </c>
      <c r="V213" s="251">
        <v>2</v>
      </c>
      <c r="W213" s="90">
        <v>4</v>
      </c>
      <c r="X213" s="93">
        <v>152.0264657711613</v>
      </c>
      <c r="Y213" s="93">
        <v>152.0264657711613</v>
      </c>
      <c r="Z213" s="93">
        <v>460.15027132937496</v>
      </c>
      <c r="AA213" s="104">
        <v>460.15027132937496</v>
      </c>
      <c r="AB213" s="250" t="s">
        <v>107</v>
      </c>
      <c r="AC213" s="97">
        <v>0</v>
      </c>
      <c r="AD213" s="252">
        <v>0</v>
      </c>
      <c r="AE213" s="97">
        <v>0</v>
      </c>
      <c r="AF213" s="93">
        <v>0</v>
      </c>
      <c r="AG213" s="93">
        <v>0</v>
      </c>
      <c r="AH213" s="93">
        <v>0</v>
      </c>
      <c r="AI213" s="93">
        <v>0</v>
      </c>
      <c r="AJ213" s="247" t="s">
        <v>49</v>
      </c>
      <c r="AK213" s="246"/>
      <c r="AL213" s="93">
        <v>0</v>
      </c>
      <c r="AM213" s="93">
        <v>0</v>
      </c>
      <c r="AN213" s="254" t="s">
        <v>0</v>
      </c>
      <c r="AO213" s="246">
        <v>0</v>
      </c>
      <c r="AP213" s="92">
        <v>0</v>
      </c>
      <c r="AQ213" s="282">
        <v>0</v>
      </c>
      <c r="AR213" s="93">
        <v>700.3791783912435</v>
      </c>
      <c r="AS213" s="104">
        <v>801.19082556287378</v>
      </c>
      <c r="AT213" s="245">
        <v>1</v>
      </c>
      <c r="AU213" s="260">
        <v>0</v>
      </c>
      <c r="AV213" s="93">
        <v>608.10586308464519</v>
      </c>
      <c r="AW213" s="104">
        <v>1840.6010853174998</v>
      </c>
      <c r="AX213" s="93">
        <v>1308.4850414758887</v>
      </c>
      <c r="AY213" s="243">
        <v>2641.7919108803735</v>
      </c>
    </row>
    <row r="214" spans="1:51" ht="80.25" customHeight="1">
      <c r="A214" s="113" t="s">
        <v>1020</v>
      </c>
      <c r="B214" s="90" t="s">
        <v>956</v>
      </c>
      <c r="C214" s="246" t="s">
        <v>11</v>
      </c>
      <c r="D214" s="253" t="s">
        <v>1414</v>
      </c>
      <c r="E214" s="253" t="s">
        <v>235</v>
      </c>
      <c r="F214" s="253" t="s">
        <v>392</v>
      </c>
      <c r="G214" s="253" t="s">
        <v>232</v>
      </c>
      <c r="H214" s="246" t="s">
        <v>109</v>
      </c>
      <c r="I214" s="246" t="s">
        <v>142</v>
      </c>
      <c r="J214" s="246" t="s">
        <v>113</v>
      </c>
      <c r="K214" s="256" t="s">
        <v>49</v>
      </c>
      <c r="L214" s="250" t="s">
        <v>18</v>
      </c>
      <c r="M214" s="90">
        <v>0.33</v>
      </c>
      <c r="N214" s="251">
        <v>3</v>
      </c>
      <c r="O214" s="90">
        <v>3.33</v>
      </c>
      <c r="P214" s="93">
        <v>25.084366852241615</v>
      </c>
      <c r="Q214" s="93">
        <v>228.03969865674196</v>
      </c>
      <c r="R214" s="93">
        <v>75.924794769346875</v>
      </c>
      <c r="S214" s="104">
        <v>690.2254069940625</v>
      </c>
      <c r="T214" s="250" t="s">
        <v>18</v>
      </c>
      <c r="U214" s="90">
        <v>0.33</v>
      </c>
      <c r="V214" s="251">
        <v>3</v>
      </c>
      <c r="W214" s="90">
        <v>3.33</v>
      </c>
      <c r="X214" s="93">
        <v>25.084366852241615</v>
      </c>
      <c r="Y214" s="93">
        <v>228.03969865674196</v>
      </c>
      <c r="Z214" s="93">
        <v>75.924794769346875</v>
      </c>
      <c r="AA214" s="104">
        <v>690.2254069940625</v>
      </c>
      <c r="AB214" s="250" t="s">
        <v>107</v>
      </c>
      <c r="AC214" s="97">
        <v>0</v>
      </c>
      <c r="AD214" s="252">
        <v>0</v>
      </c>
      <c r="AE214" s="97">
        <v>0</v>
      </c>
      <c r="AF214" s="93">
        <v>0</v>
      </c>
      <c r="AG214" s="93">
        <v>0</v>
      </c>
      <c r="AH214" s="93">
        <v>0</v>
      </c>
      <c r="AI214" s="93">
        <v>0</v>
      </c>
      <c r="AJ214" s="247" t="s">
        <v>49</v>
      </c>
      <c r="AK214" s="246"/>
      <c r="AL214" s="93">
        <v>0</v>
      </c>
      <c r="AM214" s="93">
        <v>0</v>
      </c>
      <c r="AN214" s="254" t="s">
        <v>0</v>
      </c>
      <c r="AO214" s="246">
        <v>0</v>
      </c>
      <c r="AP214" s="92">
        <v>0</v>
      </c>
      <c r="AQ214" s="282">
        <v>0</v>
      </c>
      <c r="AR214" s="93">
        <v>0</v>
      </c>
      <c r="AS214" s="104">
        <v>0</v>
      </c>
      <c r="AT214" s="245">
        <v>1</v>
      </c>
      <c r="AU214" s="260">
        <v>0</v>
      </c>
      <c r="AV214" s="93">
        <v>506.24813101796713</v>
      </c>
      <c r="AW214" s="104">
        <v>1532.3004035268186</v>
      </c>
      <c r="AX214" s="93">
        <v>506.24813101796713</v>
      </c>
      <c r="AY214" s="243">
        <v>1532.3004035268186</v>
      </c>
    </row>
    <row r="215" spans="1:51" ht="79.5" customHeight="1">
      <c r="A215" s="113" t="s">
        <v>1021</v>
      </c>
      <c r="B215" s="90" t="s">
        <v>957</v>
      </c>
      <c r="C215" s="246" t="s">
        <v>11</v>
      </c>
      <c r="D215" s="253" t="s">
        <v>1414</v>
      </c>
      <c r="E215" s="253" t="s">
        <v>235</v>
      </c>
      <c r="F215" s="253" t="s">
        <v>392</v>
      </c>
      <c r="G215" s="253" t="s">
        <v>232</v>
      </c>
      <c r="H215" s="246" t="s">
        <v>110</v>
      </c>
      <c r="I215" s="246" t="s">
        <v>142</v>
      </c>
      <c r="J215" s="246" t="s">
        <v>113</v>
      </c>
      <c r="K215" s="256" t="s">
        <v>49</v>
      </c>
      <c r="L215" s="250" t="s">
        <v>18</v>
      </c>
      <c r="M215" s="90">
        <v>2</v>
      </c>
      <c r="N215" s="251">
        <v>3</v>
      </c>
      <c r="O215" s="90">
        <v>5</v>
      </c>
      <c r="P215" s="93">
        <v>152.0264657711613</v>
      </c>
      <c r="Q215" s="93">
        <v>228.03969865674196</v>
      </c>
      <c r="R215" s="93">
        <v>460.15027132937496</v>
      </c>
      <c r="S215" s="104">
        <v>690.2254069940625</v>
      </c>
      <c r="T215" s="250" t="s">
        <v>18</v>
      </c>
      <c r="U215" s="90">
        <v>2</v>
      </c>
      <c r="V215" s="251">
        <v>3</v>
      </c>
      <c r="W215" s="90">
        <v>5</v>
      </c>
      <c r="X215" s="93">
        <v>152.0264657711613</v>
      </c>
      <c r="Y215" s="93">
        <v>228.03969865674196</v>
      </c>
      <c r="Z215" s="93">
        <v>460.15027132937496</v>
      </c>
      <c r="AA215" s="104">
        <v>690.2254069940625</v>
      </c>
      <c r="AB215" s="250" t="s">
        <v>107</v>
      </c>
      <c r="AC215" s="97">
        <v>0</v>
      </c>
      <c r="AD215" s="252">
        <v>0</v>
      </c>
      <c r="AE215" s="97">
        <v>0</v>
      </c>
      <c r="AF215" s="93">
        <v>0</v>
      </c>
      <c r="AG215" s="93">
        <v>0</v>
      </c>
      <c r="AH215" s="93">
        <v>0</v>
      </c>
      <c r="AI215" s="93">
        <v>0</v>
      </c>
      <c r="AJ215" s="247" t="s">
        <v>49</v>
      </c>
      <c r="AK215" s="246"/>
      <c r="AL215" s="93">
        <v>0</v>
      </c>
      <c r="AM215" s="93">
        <v>0</v>
      </c>
      <c r="AN215" s="254" t="s">
        <v>0</v>
      </c>
      <c r="AO215" s="246">
        <v>0</v>
      </c>
      <c r="AP215" s="92">
        <v>0</v>
      </c>
      <c r="AQ215" s="282">
        <v>0</v>
      </c>
      <c r="AR215" s="93">
        <v>0</v>
      </c>
      <c r="AS215" s="104">
        <v>0</v>
      </c>
      <c r="AT215" s="245">
        <v>1</v>
      </c>
      <c r="AU215" s="260">
        <v>0</v>
      </c>
      <c r="AV215" s="93">
        <v>760.13232885580646</v>
      </c>
      <c r="AW215" s="104">
        <v>2300.7513566468751</v>
      </c>
      <c r="AX215" s="93">
        <v>760.13232885580646</v>
      </c>
      <c r="AY215" s="243">
        <v>2300.7513566468751</v>
      </c>
    </row>
    <row r="216" spans="1:51" ht="80.25" customHeight="1">
      <c r="A216" s="113" t="s">
        <v>1022</v>
      </c>
      <c r="B216" s="90" t="s">
        <v>958</v>
      </c>
      <c r="C216" s="246" t="s">
        <v>11</v>
      </c>
      <c r="D216" s="253" t="s">
        <v>1414</v>
      </c>
      <c r="E216" s="253" t="s">
        <v>235</v>
      </c>
      <c r="F216" s="253" t="s">
        <v>392</v>
      </c>
      <c r="G216" s="253" t="s">
        <v>244</v>
      </c>
      <c r="H216" s="246" t="s">
        <v>109</v>
      </c>
      <c r="I216" s="246" t="s">
        <v>142</v>
      </c>
      <c r="J216" s="246" t="s">
        <v>113</v>
      </c>
      <c r="K216" s="256" t="s">
        <v>142</v>
      </c>
      <c r="L216" s="250" t="s">
        <v>18</v>
      </c>
      <c r="M216" s="90">
        <v>0.33</v>
      </c>
      <c r="N216" s="251">
        <v>3</v>
      </c>
      <c r="O216" s="90">
        <v>3.33</v>
      </c>
      <c r="P216" s="93">
        <v>25.084366852241615</v>
      </c>
      <c r="Q216" s="93">
        <v>228.03969865674196</v>
      </c>
      <c r="R216" s="93">
        <v>75.924794769346875</v>
      </c>
      <c r="S216" s="104">
        <v>690.2254069940625</v>
      </c>
      <c r="T216" s="250" t="s">
        <v>18</v>
      </c>
      <c r="U216" s="90">
        <v>0.33</v>
      </c>
      <c r="V216" s="251">
        <v>3</v>
      </c>
      <c r="W216" s="90">
        <v>3.33</v>
      </c>
      <c r="X216" s="93">
        <v>25.084366852241615</v>
      </c>
      <c r="Y216" s="93">
        <v>228.03969865674196</v>
      </c>
      <c r="Z216" s="93">
        <v>75.924794769346875</v>
      </c>
      <c r="AA216" s="104">
        <v>690.2254069940625</v>
      </c>
      <c r="AB216" s="250" t="s">
        <v>107</v>
      </c>
      <c r="AC216" s="97">
        <v>0</v>
      </c>
      <c r="AD216" s="252">
        <v>0</v>
      </c>
      <c r="AE216" s="97">
        <v>0</v>
      </c>
      <c r="AF216" s="93">
        <v>0</v>
      </c>
      <c r="AG216" s="93">
        <v>0</v>
      </c>
      <c r="AH216" s="93">
        <v>0</v>
      </c>
      <c r="AI216" s="93">
        <v>0</v>
      </c>
      <c r="AJ216" s="247" t="s">
        <v>49</v>
      </c>
      <c r="AK216" s="246"/>
      <c r="AL216" s="93">
        <v>0</v>
      </c>
      <c r="AM216" s="93">
        <v>0</v>
      </c>
      <c r="AN216" s="254" t="s">
        <v>0</v>
      </c>
      <c r="AO216" s="246">
        <v>0</v>
      </c>
      <c r="AP216" s="92">
        <v>0</v>
      </c>
      <c r="AQ216" s="282">
        <v>0</v>
      </c>
      <c r="AR216" s="93">
        <v>700.3791783912435</v>
      </c>
      <c r="AS216" s="104">
        <v>801.19082556287378</v>
      </c>
      <c r="AT216" s="245">
        <v>1</v>
      </c>
      <c r="AU216" s="260">
        <v>0</v>
      </c>
      <c r="AV216" s="93">
        <v>506.24813101796713</v>
      </c>
      <c r="AW216" s="104">
        <v>1532.3004035268186</v>
      </c>
      <c r="AX216" s="93">
        <v>1206.6273094092107</v>
      </c>
      <c r="AY216" s="243">
        <v>2333.4912290896923</v>
      </c>
    </row>
    <row r="217" spans="1:51" ht="79.5" customHeight="1">
      <c r="A217" s="113" t="s">
        <v>1023</v>
      </c>
      <c r="B217" s="90" t="s">
        <v>959</v>
      </c>
      <c r="C217" s="246" t="s">
        <v>11</v>
      </c>
      <c r="D217" s="253" t="s">
        <v>1414</v>
      </c>
      <c r="E217" s="253" t="s">
        <v>235</v>
      </c>
      <c r="F217" s="253" t="s">
        <v>392</v>
      </c>
      <c r="G217" s="253" t="s">
        <v>244</v>
      </c>
      <c r="H217" s="246" t="s">
        <v>110</v>
      </c>
      <c r="I217" s="246" t="s">
        <v>142</v>
      </c>
      <c r="J217" s="246" t="s">
        <v>113</v>
      </c>
      <c r="K217" s="256" t="s">
        <v>142</v>
      </c>
      <c r="L217" s="250" t="s">
        <v>18</v>
      </c>
      <c r="M217" s="90">
        <v>2</v>
      </c>
      <c r="N217" s="251">
        <v>3</v>
      </c>
      <c r="O217" s="90">
        <v>5</v>
      </c>
      <c r="P217" s="93">
        <v>152.0264657711613</v>
      </c>
      <c r="Q217" s="93">
        <v>228.03969865674196</v>
      </c>
      <c r="R217" s="93">
        <v>460.15027132937496</v>
      </c>
      <c r="S217" s="104">
        <v>690.2254069940625</v>
      </c>
      <c r="T217" s="250" t="s">
        <v>18</v>
      </c>
      <c r="U217" s="90">
        <v>2</v>
      </c>
      <c r="V217" s="251">
        <v>3</v>
      </c>
      <c r="W217" s="90">
        <v>5</v>
      </c>
      <c r="X217" s="93">
        <v>152.0264657711613</v>
      </c>
      <c r="Y217" s="93">
        <v>228.03969865674196</v>
      </c>
      <c r="Z217" s="93">
        <v>460.15027132937496</v>
      </c>
      <c r="AA217" s="104">
        <v>690.2254069940625</v>
      </c>
      <c r="AB217" s="250" t="s">
        <v>107</v>
      </c>
      <c r="AC217" s="97">
        <v>0</v>
      </c>
      <c r="AD217" s="252">
        <v>0</v>
      </c>
      <c r="AE217" s="97">
        <v>0</v>
      </c>
      <c r="AF217" s="93">
        <v>0</v>
      </c>
      <c r="AG217" s="93">
        <v>0</v>
      </c>
      <c r="AH217" s="93">
        <v>0</v>
      </c>
      <c r="AI217" s="93">
        <v>0</v>
      </c>
      <c r="AJ217" s="247" t="s">
        <v>49</v>
      </c>
      <c r="AK217" s="246"/>
      <c r="AL217" s="93">
        <v>0</v>
      </c>
      <c r="AM217" s="93">
        <v>0</v>
      </c>
      <c r="AN217" s="254" t="s">
        <v>0</v>
      </c>
      <c r="AO217" s="246">
        <v>0</v>
      </c>
      <c r="AP217" s="92">
        <v>0</v>
      </c>
      <c r="AQ217" s="282">
        <v>0</v>
      </c>
      <c r="AR217" s="93">
        <v>700.3791783912435</v>
      </c>
      <c r="AS217" s="104">
        <v>801.19082556287378</v>
      </c>
      <c r="AT217" s="245">
        <v>1</v>
      </c>
      <c r="AU217" s="260">
        <v>0</v>
      </c>
      <c r="AV217" s="93">
        <v>760.13232885580646</v>
      </c>
      <c r="AW217" s="104">
        <v>2300.7513566468751</v>
      </c>
      <c r="AX217" s="93">
        <v>1460.5115072470498</v>
      </c>
      <c r="AY217" s="243">
        <v>3101.9421822097488</v>
      </c>
    </row>
    <row r="218" spans="1:51" ht="30.75" customHeight="1">
      <c r="A218" s="113" t="s">
        <v>1024</v>
      </c>
      <c r="B218" s="90" t="s">
        <v>1250</v>
      </c>
      <c r="C218" s="246" t="s">
        <v>11</v>
      </c>
      <c r="D218" s="246" t="s">
        <v>1415</v>
      </c>
      <c r="E218" s="253" t="s">
        <v>211</v>
      </c>
      <c r="F218" s="253" t="s">
        <v>212</v>
      </c>
      <c r="G218" s="253" t="s">
        <v>127</v>
      </c>
      <c r="H218" s="246" t="s">
        <v>109</v>
      </c>
      <c r="I218" s="246" t="s">
        <v>142</v>
      </c>
      <c r="J218" s="246" t="s">
        <v>47</v>
      </c>
      <c r="K218" s="256" t="s">
        <v>49</v>
      </c>
      <c r="L218" s="250" t="s">
        <v>18</v>
      </c>
      <c r="M218" s="90">
        <v>0.33</v>
      </c>
      <c r="N218" s="251">
        <v>0.5</v>
      </c>
      <c r="O218" s="90">
        <v>0.83000000000000007</v>
      </c>
      <c r="P218" s="93">
        <v>19.081969456246018</v>
      </c>
      <c r="Q218" s="93">
        <v>28.912074933706087</v>
      </c>
      <c r="R218" s="93">
        <v>57.75687396434946</v>
      </c>
      <c r="S218" s="104">
        <v>87.510415097499191</v>
      </c>
      <c r="T218" s="250" t="s">
        <v>18</v>
      </c>
      <c r="U218" s="90">
        <v>0.33</v>
      </c>
      <c r="V218" s="251">
        <v>0.5</v>
      </c>
      <c r="W218" s="90">
        <v>0.83000000000000007</v>
      </c>
      <c r="X218" s="93">
        <v>19.081969456246018</v>
      </c>
      <c r="Y218" s="93">
        <v>28.912074933706087</v>
      </c>
      <c r="Z218" s="93">
        <v>57.75687396434946</v>
      </c>
      <c r="AA218" s="104">
        <v>87.510415097499191</v>
      </c>
      <c r="AB218" s="250" t="s">
        <v>107</v>
      </c>
      <c r="AC218" s="97">
        <v>0</v>
      </c>
      <c r="AD218" s="252">
        <v>0</v>
      </c>
      <c r="AE218" s="97">
        <v>0</v>
      </c>
      <c r="AF218" s="93">
        <v>0</v>
      </c>
      <c r="AG218" s="93">
        <v>0</v>
      </c>
      <c r="AH218" s="93">
        <v>0</v>
      </c>
      <c r="AI218" s="93">
        <v>0</v>
      </c>
      <c r="AJ218" s="247" t="s">
        <v>49</v>
      </c>
      <c r="AK218" s="246"/>
      <c r="AL218" s="93">
        <v>0</v>
      </c>
      <c r="AM218" s="93">
        <v>0</v>
      </c>
      <c r="AN218" s="254" t="s">
        <v>0</v>
      </c>
      <c r="AO218" s="246">
        <v>0</v>
      </c>
      <c r="AP218" s="92">
        <v>0</v>
      </c>
      <c r="AQ218" s="282">
        <v>0</v>
      </c>
      <c r="AR218" s="93">
        <v>0</v>
      </c>
      <c r="AS218" s="104">
        <v>0</v>
      </c>
      <c r="AT218" s="245">
        <v>1</v>
      </c>
      <c r="AU218" s="260">
        <v>0</v>
      </c>
      <c r="AV218" s="93">
        <v>95.988088779904217</v>
      </c>
      <c r="AW218" s="104">
        <v>290.53457812369732</v>
      </c>
      <c r="AX218" s="93">
        <v>95.988088779904217</v>
      </c>
      <c r="AY218" s="243">
        <v>290.53457812369732</v>
      </c>
    </row>
    <row r="219" spans="1:51" ht="30">
      <c r="A219" s="113" t="s">
        <v>1025</v>
      </c>
      <c r="B219" s="90" t="s">
        <v>1251</v>
      </c>
      <c r="C219" s="246" t="s">
        <v>11</v>
      </c>
      <c r="D219" s="246" t="s">
        <v>1415</v>
      </c>
      <c r="E219" s="253" t="s">
        <v>211</v>
      </c>
      <c r="F219" s="253" t="s">
        <v>212</v>
      </c>
      <c r="G219" s="253" t="s">
        <v>127</v>
      </c>
      <c r="H219" s="246" t="s">
        <v>110</v>
      </c>
      <c r="I219" s="246" t="s">
        <v>142</v>
      </c>
      <c r="J219" s="246" t="s">
        <v>47</v>
      </c>
      <c r="K219" s="256" t="s">
        <v>49</v>
      </c>
      <c r="L219" s="250" t="s">
        <v>18</v>
      </c>
      <c r="M219" s="90">
        <v>2</v>
      </c>
      <c r="N219" s="251">
        <v>0.5</v>
      </c>
      <c r="O219" s="90">
        <v>2.5</v>
      </c>
      <c r="P219" s="93">
        <v>115.64829973482435</v>
      </c>
      <c r="Q219" s="93">
        <v>28.912074933706087</v>
      </c>
      <c r="R219" s="93">
        <v>350.04166038999676</v>
      </c>
      <c r="S219" s="104">
        <v>87.510415097499191</v>
      </c>
      <c r="T219" s="250" t="s">
        <v>18</v>
      </c>
      <c r="U219" s="90">
        <v>2</v>
      </c>
      <c r="V219" s="251">
        <v>0.5</v>
      </c>
      <c r="W219" s="90">
        <v>2.5</v>
      </c>
      <c r="X219" s="93">
        <v>115.64829973482435</v>
      </c>
      <c r="Y219" s="93">
        <v>28.912074933706087</v>
      </c>
      <c r="Z219" s="93">
        <v>350.04166038999676</v>
      </c>
      <c r="AA219" s="104">
        <v>87.510415097499191</v>
      </c>
      <c r="AB219" s="250" t="s">
        <v>107</v>
      </c>
      <c r="AC219" s="97">
        <v>0</v>
      </c>
      <c r="AD219" s="252">
        <v>0</v>
      </c>
      <c r="AE219" s="97">
        <v>0</v>
      </c>
      <c r="AF219" s="93">
        <v>0</v>
      </c>
      <c r="AG219" s="93">
        <v>0</v>
      </c>
      <c r="AH219" s="93">
        <v>0</v>
      </c>
      <c r="AI219" s="93">
        <v>0</v>
      </c>
      <c r="AJ219" s="247" t="s">
        <v>49</v>
      </c>
      <c r="AK219" s="246"/>
      <c r="AL219" s="93">
        <v>0</v>
      </c>
      <c r="AM219" s="93">
        <v>0</v>
      </c>
      <c r="AN219" s="254" t="s">
        <v>0</v>
      </c>
      <c r="AO219" s="246">
        <v>0</v>
      </c>
      <c r="AP219" s="92">
        <v>0</v>
      </c>
      <c r="AQ219" s="282">
        <v>0</v>
      </c>
      <c r="AR219" s="93">
        <v>0</v>
      </c>
      <c r="AS219" s="104">
        <v>0</v>
      </c>
      <c r="AT219" s="245">
        <v>1</v>
      </c>
      <c r="AU219" s="260">
        <v>0</v>
      </c>
      <c r="AV219" s="93">
        <v>289.12074933706089</v>
      </c>
      <c r="AW219" s="104">
        <v>875.10415097499185</v>
      </c>
      <c r="AX219" s="93">
        <v>289.12074933706089</v>
      </c>
      <c r="AY219" s="243">
        <v>875.10415097499185</v>
      </c>
    </row>
    <row r="220" spans="1:51" ht="30.75" customHeight="1">
      <c r="A220" s="113" t="s">
        <v>1026</v>
      </c>
      <c r="B220" s="90" t="s">
        <v>1252</v>
      </c>
      <c r="C220" s="246" t="s">
        <v>11</v>
      </c>
      <c r="D220" s="246" t="s">
        <v>1415</v>
      </c>
      <c r="E220" s="253" t="s">
        <v>211</v>
      </c>
      <c r="F220" s="253" t="s">
        <v>212</v>
      </c>
      <c r="G220" s="253" t="s">
        <v>122</v>
      </c>
      <c r="H220" s="246" t="s">
        <v>109</v>
      </c>
      <c r="I220" s="246" t="s">
        <v>142</v>
      </c>
      <c r="J220" s="246" t="s">
        <v>113</v>
      </c>
      <c r="K220" s="256" t="s">
        <v>49</v>
      </c>
      <c r="L220" s="250" t="s">
        <v>18</v>
      </c>
      <c r="M220" s="90">
        <v>0.33</v>
      </c>
      <c r="N220" s="251">
        <v>0.5</v>
      </c>
      <c r="O220" s="90">
        <v>0.83000000000000007</v>
      </c>
      <c r="P220" s="93">
        <v>25.084366852241615</v>
      </c>
      <c r="Q220" s="93">
        <v>38.006616442790325</v>
      </c>
      <c r="R220" s="93">
        <v>75.924794769346875</v>
      </c>
      <c r="S220" s="104">
        <v>115.03756783234374</v>
      </c>
      <c r="T220" s="250" t="s">
        <v>18</v>
      </c>
      <c r="U220" s="90">
        <v>0.33</v>
      </c>
      <c r="V220" s="251">
        <v>0.5</v>
      </c>
      <c r="W220" s="90">
        <v>0.83000000000000007</v>
      </c>
      <c r="X220" s="93">
        <v>25.084366852241615</v>
      </c>
      <c r="Y220" s="93">
        <v>38.006616442790325</v>
      </c>
      <c r="Z220" s="93">
        <v>75.924794769346875</v>
      </c>
      <c r="AA220" s="104">
        <v>115.03756783234374</v>
      </c>
      <c r="AB220" s="250" t="s">
        <v>107</v>
      </c>
      <c r="AC220" s="97">
        <v>0</v>
      </c>
      <c r="AD220" s="252">
        <v>0</v>
      </c>
      <c r="AE220" s="97">
        <v>0</v>
      </c>
      <c r="AF220" s="93">
        <v>0</v>
      </c>
      <c r="AG220" s="93">
        <v>0</v>
      </c>
      <c r="AH220" s="93">
        <v>0</v>
      </c>
      <c r="AI220" s="93">
        <v>0</v>
      </c>
      <c r="AJ220" s="247" t="s">
        <v>49</v>
      </c>
      <c r="AK220" s="246"/>
      <c r="AL220" s="93">
        <v>0</v>
      </c>
      <c r="AM220" s="93">
        <v>0</v>
      </c>
      <c r="AN220" s="254" t="s">
        <v>0</v>
      </c>
      <c r="AO220" s="246">
        <v>0</v>
      </c>
      <c r="AP220" s="92">
        <v>0</v>
      </c>
      <c r="AQ220" s="282">
        <v>0</v>
      </c>
      <c r="AR220" s="93">
        <v>0</v>
      </c>
      <c r="AS220" s="104">
        <v>0</v>
      </c>
      <c r="AT220" s="245">
        <v>1</v>
      </c>
      <c r="AU220" s="260">
        <v>0</v>
      </c>
      <c r="AV220" s="93">
        <v>126.18196659006387</v>
      </c>
      <c r="AW220" s="104">
        <v>381.92472520338117</v>
      </c>
      <c r="AX220" s="93">
        <v>126.18196659006387</v>
      </c>
      <c r="AY220" s="243">
        <v>381.92472520338117</v>
      </c>
    </row>
    <row r="221" spans="1:51" ht="30">
      <c r="A221" s="113" t="s">
        <v>1027</v>
      </c>
      <c r="B221" s="90" t="s">
        <v>1253</v>
      </c>
      <c r="C221" s="246" t="s">
        <v>11</v>
      </c>
      <c r="D221" s="246" t="s">
        <v>1415</v>
      </c>
      <c r="E221" s="253" t="s">
        <v>211</v>
      </c>
      <c r="F221" s="253" t="s">
        <v>212</v>
      </c>
      <c r="G221" s="253" t="s">
        <v>122</v>
      </c>
      <c r="H221" s="246" t="s">
        <v>110</v>
      </c>
      <c r="I221" s="246" t="s">
        <v>142</v>
      </c>
      <c r="J221" s="246" t="s">
        <v>113</v>
      </c>
      <c r="K221" s="256" t="s">
        <v>49</v>
      </c>
      <c r="L221" s="250" t="s">
        <v>18</v>
      </c>
      <c r="M221" s="90">
        <v>2</v>
      </c>
      <c r="N221" s="251">
        <v>0.5</v>
      </c>
      <c r="O221" s="90">
        <v>2.5</v>
      </c>
      <c r="P221" s="93">
        <v>152.0264657711613</v>
      </c>
      <c r="Q221" s="93">
        <v>38.006616442790325</v>
      </c>
      <c r="R221" s="93">
        <v>460.15027132937496</v>
      </c>
      <c r="S221" s="104">
        <v>115.03756783234374</v>
      </c>
      <c r="T221" s="250" t="s">
        <v>18</v>
      </c>
      <c r="U221" s="90">
        <v>2</v>
      </c>
      <c r="V221" s="251">
        <v>0.5</v>
      </c>
      <c r="W221" s="90">
        <v>2.5</v>
      </c>
      <c r="X221" s="93">
        <v>152.0264657711613</v>
      </c>
      <c r="Y221" s="93">
        <v>38.006616442790325</v>
      </c>
      <c r="Z221" s="93">
        <v>460.15027132937496</v>
      </c>
      <c r="AA221" s="104">
        <v>115.03756783234374</v>
      </c>
      <c r="AB221" s="250" t="s">
        <v>107</v>
      </c>
      <c r="AC221" s="97">
        <v>0</v>
      </c>
      <c r="AD221" s="252">
        <v>0</v>
      </c>
      <c r="AE221" s="97">
        <v>0</v>
      </c>
      <c r="AF221" s="93">
        <v>0</v>
      </c>
      <c r="AG221" s="93">
        <v>0</v>
      </c>
      <c r="AH221" s="93">
        <v>0</v>
      </c>
      <c r="AI221" s="93">
        <v>0</v>
      </c>
      <c r="AJ221" s="247" t="s">
        <v>49</v>
      </c>
      <c r="AK221" s="246"/>
      <c r="AL221" s="93">
        <v>0</v>
      </c>
      <c r="AM221" s="93">
        <v>0</v>
      </c>
      <c r="AN221" s="254" t="s">
        <v>0</v>
      </c>
      <c r="AO221" s="246">
        <v>0</v>
      </c>
      <c r="AP221" s="92">
        <v>0</v>
      </c>
      <c r="AQ221" s="282">
        <v>0</v>
      </c>
      <c r="AR221" s="93">
        <v>0</v>
      </c>
      <c r="AS221" s="104">
        <v>0</v>
      </c>
      <c r="AT221" s="245">
        <v>1</v>
      </c>
      <c r="AU221" s="260">
        <v>0</v>
      </c>
      <c r="AV221" s="93">
        <v>380.06616442790323</v>
      </c>
      <c r="AW221" s="104">
        <v>1150.3756783234373</v>
      </c>
      <c r="AX221" s="93">
        <v>380.06616442790323</v>
      </c>
      <c r="AY221" s="243">
        <v>1150.3756783234373</v>
      </c>
    </row>
    <row r="222" spans="1:51" ht="70.5" customHeight="1">
      <c r="A222" s="113" t="s">
        <v>1028</v>
      </c>
      <c r="B222" s="90" t="s">
        <v>1254</v>
      </c>
      <c r="C222" s="246" t="s">
        <v>11</v>
      </c>
      <c r="D222" s="246" t="s">
        <v>1415</v>
      </c>
      <c r="E222" s="253" t="s">
        <v>312</v>
      </c>
      <c r="F222" s="253" t="s">
        <v>1447</v>
      </c>
      <c r="G222" s="253" t="s">
        <v>448</v>
      </c>
      <c r="H222" s="246" t="s">
        <v>109</v>
      </c>
      <c r="I222" s="246" t="s">
        <v>142</v>
      </c>
      <c r="J222" s="246" t="s">
        <v>47</v>
      </c>
      <c r="K222" s="256" t="s">
        <v>49</v>
      </c>
      <c r="L222" s="250" t="s">
        <v>18</v>
      </c>
      <c r="M222" s="90">
        <v>0.33</v>
      </c>
      <c r="N222" s="251">
        <v>0.17</v>
      </c>
      <c r="O222" s="90">
        <v>0.5</v>
      </c>
      <c r="P222" s="93">
        <v>19.081969456246018</v>
      </c>
      <c r="Q222" s="93">
        <v>9.8301054774600711</v>
      </c>
      <c r="R222" s="93">
        <v>57.75687396434946</v>
      </c>
      <c r="S222" s="104">
        <v>29.753541133149728</v>
      </c>
      <c r="T222" s="250" t="s">
        <v>107</v>
      </c>
      <c r="U222" s="90">
        <v>0</v>
      </c>
      <c r="V222" s="251">
        <v>0</v>
      </c>
      <c r="W222" s="90">
        <v>0</v>
      </c>
      <c r="X222" s="93">
        <v>0</v>
      </c>
      <c r="Y222" s="93">
        <v>0</v>
      </c>
      <c r="Z222" s="93">
        <v>0</v>
      </c>
      <c r="AA222" s="104">
        <v>0</v>
      </c>
      <c r="AB222" s="250" t="s">
        <v>107</v>
      </c>
      <c r="AC222" s="97">
        <v>0</v>
      </c>
      <c r="AD222" s="252">
        <v>0</v>
      </c>
      <c r="AE222" s="97">
        <v>0</v>
      </c>
      <c r="AF222" s="93">
        <v>0</v>
      </c>
      <c r="AG222" s="93">
        <v>0</v>
      </c>
      <c r="AH222" s="93">
        <v>0</v>
      </c>
      <c r="AI222" s="93">
        <v>0</v>
      </c>
      <c r="AJ222" s="247" t="s">
        <v>49</v>
      </c>
      <c r="AK222" s="246"/>
      <c r="AL222" s="93">
        <v>0</v>
      </c>
      <c r="AM222" s="93">
        <v>0</v>
      </c>
      <c r="AN222" s="254" t="s">
        <v>0</v>
      </c>
      <c r="AO222" s="246">
        <v>0</v>
      </c>
      <c r="AP222" s="92">
        <v>0</v>
      </c>
      <c r="AQ222" s="282">
        <v>0</v>
      </c>
      <c r="AR222" s="93">
        <v>0</v>
      </c>
      <c r="AS222" s="104">
        <v>0</v>
      </c>
      <c r="AT222" s="245">
        <v>1</v>
      </c>
      <c r="AU222" s="260">
        <v>0</v>
      </c>
      <c r="AV222" s="93">
        <v>28.912074933706087</v>
      </c>
      <c r="AW222" s="104">
        <v>87.510415097499191</v>
      </c>
      <c r="AX222" s="93">
        <v>28.912074933706087</v>
      </c>
      <c r="AY222" s="243">
        <v>87.510415097499191</v>
      </c>
    </row>
    <row r="223" spans="1:51" ht="68.25" customHeight="1">
      <c r="A223" s="113" t="s">
        <v>1029</v>
      </c>
      <c r="B223" s="90" t="s">
        <v>1255</v>
      </c>
      <c r="C223" s="246" t="s">
        <v>11</v>
      </c>
      <c r="D223" s="246" t="s">
        <v>1415</v>
      </c>
      <c r="E223" s="253" t="s">
        <v>312</v>
      </c>
      <c r="F223" s="253" t="s">
        <v>1447</v>
      </c>
      <c r="G223" s="253" t="s">
        <v>448</v>
      </c>
      <c r="H223" s="246" t="s">
        <v>110</v>
      </c>
      <c r="I223" s="246" t="s">
        <v>142</v>
      </c>
      <c r="J223" s="246" t="s">
        <v>47</v>
      </c>
      <c r="K223" s="256" t="s">
        <v>49</v>
      </c>
      <c r="L223" s="250" t="s">
        <v>18</v>
      </c>
      <c r="M223" s="90">
        <v>2</v>
      </c>
      <c r="N223" s="251">
        <v>0.17</v>
      </c>
      <c r="O223" s="90">
        <v>2.17</v>
      </c>
      <c r="P223" s="93">
        <v>115.64829973482435</v>
      </c>
      <c r="Q223" s="93">
        <v>9.8301054774600711</v>
      </c>
      <c r="R223" s="93">
        <v>350.04166038999676</v>
      </c>
      <c r="S223" s="104">
        <v>29.753541133149728</v>
      </c>
      <c r="T223" s="250" t="s">
        <v>107</v>
      </c>
      <c r="U223" s="90">
        <v>0</v>
      </c>
      <c r="V223" s="251">
        <v>0</v>
      </c>
      <c r="W223" s="90">
        <v>0</v>
      </c>
      <c r="X223" s="93">
        <v>0</v>
      </c>
      <c r="Y223" s="93">
        <v>0</v>
      </c>
      <c r="Z223" s="93">
        <v>0</v>
      </c>
      <c r="AA223" s="104">
        <v>0</v>
      </c>
      <c r="AB223" s="250" t="s">
        <v>107</v>
      </c>
      <c r="AC223" s="97">
        <v>0</v>
      </c>
      <c r="AD223" s="252">
        <v>0</v>
      </c>
      <c r="AE223" s="97">
        <v>0</v>
      </c>
      <c r="AF223" s="93">
        <v>0</v>
      </c>
      <c r="AG223" s="93">
        <v>0</v>
      </c>
      <c r="AH223" s="93">
        <v>0</v>
      </c>
      <c r="AI223" s="93">
        <v>0</v>
      </c>
      <c r="AJ223" s="247" t="s">
        <v>49</v>
      </c>
      <c r="AK223" s="246"/>
      <c r="AL223" s="93">
        <v>0</v>
      </c>
      <c r="AM223" s="93">
        <v>0</v>
      </c>
      <c r="AN223" s="254" t="s">
        <v>0</v>
      </c>
      <c r="AO223" s="246">
        <v>0</v>
      </c>
      <c r="AP223" s="92">
        <v>0</v>
      </c>
      <c r="AQ223" s="282">
        <v>0</v>
      </c>
      <c r="AR223" s="93">
        <v>0</v>
      </c>
      <c r="AS223" s="104">
        <v>0</v>
      </c>
      <c r="AT223" s="245">
        <v>1</v>
      </c>
      <c r="AU223" s="260">
        <v>0</v>
      </c>
      <c r="AV223" s="93">
        <v>125.47840521228441</v>
      </c>
      <c r="AW223" s="104">
        <v>379.79520152314649</v>
      </c>
      <c r="AX223" s="93">
        <v>125.47840521228441</v>
      </c>
      <c r="AY223" s="243">
        <v>379.79520152314649</v>
      </c>
    </row>
    <row r="224" spans="1:51" ht="64.5" customHeight="1">
      <c r="A224" s="113" t="s">
        <v>1030</v>
      </c>
      <c r="B224" s="90" t="s">
        <v>1256</v>
      </c>
      <c r="C224" s="246" t="s">
        <v>11</v>
      </c>
      <c r="D224" s="246" t="s">
        <v>1415</v>
      </c>
      <c r="E224" s="253" t="s">
        <v>312</v>
      </c>
      <c r="F224" s="253" t="s">
        <v>1447</v>
      </c>
      <c r="G224" s="253" t="s">
        <v>445</v>
      </c>
      <c r="H224" s="246" t="s">
        <v>109</v>
      </c>
      <c r="I224" s="246" t="s">
        <v>142</v>
      </c>
      <c r="J224" s="246" t="s">
        <v>47</v>
      </c>
      <c r="K224" s="256" t="s">
        <v>49</v>
      </c>
      <c r="L224" s="250" t="s">
        <v>18</v>
      </c>
      <c r="M224" s="90">
        <v>0.33</v>
      </c>
      <c r="N224" s="251">
        <v>0.17</v>
      </c>
      <c r="O224" s="90">
        <v>0.5</v>
      </c>
      <c r="P224" s="93">
        <v>19.081969456246018</v>
      </c>
      <c r="Q224" s="93">
        <v>9.8301054774600711</v>
      </c>
      <c r="R224" s="93">
        <v>57.75687396434946</v>
      </c>
      <c r="S224" s="104">
        <v>29.753541133149728</v>
      </c>
      <c r="T224" s="250" t="s">
        <v>18</v>
      </c>
      <c r="U224" s="90">
        <v>0.33</v>
      </c>
      <c r="V224" s="251">
        <v>0.17</v>
      </c>
      <c r="W224" s="90">
        <v>0.5</v>
      </c>
      <c r="X224" s="93">
        <v>19.081969456246018</v>
      </c>
      <c r="Y224" s="93">
        <v>9.8301054774600711</v>
      </c>
      <c r="Z224" s="93">
        <v>57.75687396434946</v>
      </c>
      <c r="AA224" s="104">
        <v>29.753541133149728</v>
      </c>
      <c r="AB224" s="250" t="s">
        <v>107</v>
      </c>
      <c r="AC224" s="97">
        <v>0</v>
      </c>
      <c r="AD224" s="252">
        <v>0</v>
      </c>
      <c r="AE224" s="97">
        <v>0</v>
      </c>
      <c r="AF224" s="93">
        <v>0</v>
      </c>
      <c r="AG224" s="93">
        <v>0</v>
      </c>
      <c r="AH224" s="93">
        <v>0</v>
      </c>
      <c r="AI224" s="93">
        <v>0</v>
      </c>
      <c r="AJ224" s="247" t="s">
        <v>49</v>
      </c>
      <c r="AK224" s="246"/>
      <c r="AL224" s="93">
        <v>0</v>
      </c>
      <c r="AM224" s="93">
        <v>0</v>
      </c>
      <c r="AN224" s="254" t="s">
        <v>0</v>
      </c>
      <c r="AO224" s="246">
        <v>0</v>
      </c>
      <c r="AP224" s="92">
        <v>0</v>
      </c>
      <c r="AQ224" s="282">
        <v>0</v>
      </c>
      <c r="AR224" s="93">
        <v>0</v>
      </c>
      <c r="AS224" s="104">
        <v>0</v>
      </c>
      <c r="AT224" s="245">
        <v>1</v>
      </c>
      <c r="AU224" s="260">
        <v>0</v>
      </c>
      <c r="AV224" s="93">
        <v>57.824149867412181</v>
      </c>
      <c r="AW224" s="104">
        <v>175.02083019499838</v>
      </c>
      <c r="AX224" s="93">
        <v>57.824149867412181</v>
      </c>
      <c r="AY224" s="243">
        <v>175.02083019499838</v>
      </c>
    </row>
    <row r="225" spans="1:51" ht="60" customHeight="1">
      <c r="A225" s="113" t="s">
        <v>1031</v>
      </c>
      <c r="B225" s="90" t="s">
        <v>1257</v>
      </c>
      <c r="C225" s="246" t="s">
        <v>11</v>
      </c>
      <c r="D225" s="246" t="s">
        <v>1415</v>
      </c>
      <c r="E225" s="253" t="s">
        <v>312</v>
      </c>
      <c r="F225" s="253" t="s">
        <v>1447</v>
      </c>
      <c r="G225" s="253" t="s">
        <v>445</v>
      </c>
      <c r="H225" s="246" t="s">
        <v>110</v>
      </c>
      <c r="I225" s="246" t="s">
        <v>142</v>
      </c>
      <c r="J225" s="246" t="s">
        <v>47</v>
      </c>
      <c r="K225" s="256" t="s">
        <v>49</v>
      </c>
      <c r="L225" s="250" t="s">
        <v>18</v>
      </c>
      <c r="M225" s="90">
        <v>2</v>
      </c>
      <c r="N225" s="251">
        <v>0.17</v>
      </c>
      <c r="O225" s="90">
        <v>2.17</v>
      </c>
      <c r="P225" s="93">
        <v>115.64829973482435</v>
      </c>
      <c r="Q225" s="93">
        <v>9.8301054774600711</v>
      </c>
      <c r="R225" s="93">
        <v>350.04166038999676</v>
      </c>
      <c r="S225" s="104">
        <v>29.753541133149728</v>
      </c>
      <c r="T225" s="250" t="s">
        <v>18</v>
      </c>
      <c r="U225" s="90">
        <v>2</v>
      </c>
      <c r="V225" s="251">
        <v>0.17</v>
      </c>
      <c r="W225" s="90">
        <v>2.17</v>
      </c>
      <c r="X225" s="93">
        <v>115.64829973482435</v>
      </c>
      <c r="Y225" s="93">
        <v>9.8301054774600711</v>
      </c>
      <c r="Z225" s="93">
        <v>350.04166038999676</v>
      </c>
      <c r="AA225" s="104">
        <v>29.753541133149728</v>
      </c>
      <c r="AB225" s="250" t="s">
        <v>107</v>
      </c>
      <c r="AC225" s="97">
        <v>0</v>
      </c>
      <c r="AD225" s="252">
        <v>0</v>
      </c>
      <c r="AE225" s="97">
        <v>0</v>
      </c>
      <c r="AF225" s="93">
        <v>0</v>
      </c>
      <c r="AG225" s="93">
        <v>0</v>
      </c>
      <c r="AH225" s="93">
        <v>0</v>
      </c>
      <c r="AI225" s="93">
        <v>0</v>
      </c>
      <c r="AJ225" s="247" t="s">
        <v>49</v>
      </c>
      <c r="AK225" s="246"/>
      <c r="AL225" s="93">
        <v>0</v>
      </c>
      <c r="AM225" s="93">
        <v>0</v>
      </c>
      <c r="AN225" s="254" t="s">
        <v>0</v>
      </c>
      <c r="AO225" s="246">
        <v>0</v>
      </c>
      <c r="AP225" s="92">
        <v>0</v>
      </c>
      <c r="AQ225" s="282">
        <v>0</v>
      </c>
      <c r="AR225" s="93">
        <v>0</v>
      </c>
      <c r="AS225" s="104">
        <v>0</v>
      </c>
      <c r="AT225" s="245">
        <v>1</v>
      </c>
      <c r="AU225" s="260">
        <v>0</v>
      </c>
      <c r="AV225" s="93">
        <v>250.95681042456883</v>
      </c>
      <c r="AW225" s="104">
        <v>759.59040304629298</v>
      </c>
      <c r="AX225" s="93">
        <v>250.95681042456883</v>
      </c>
      <c r="AY225" s="243">
        <v>759.59040304629298</v>
      </c>
    </row>
    <row r="226" spans="1:51" ht="63.75" customHeight="1">
      <c r="A226" s="113" t="s">
        <v>1032</v>
      </c>
      <c r="B226" s="90" t="s">
        <v>960</v>
      </c>
      <c r="C226" s="246" t="s">
        <v>11</v>
      </c>
      <c r="D226" s="246" t="s">
        <v>1415</v>
      </c>
      <c r="E226" s="253" t="s">
        <v>312</v>
      </c>
      <c r="F226" s="253" t="s">
        <v>1447</v>
      </c>
      <c r="G226" s="253" t="s">
        <v>449</v>
      </c>
      <c r="H226" s="246" t="s">
        <v>109</v>
      </c>
      <c r="I226" s="246" t="s">
        <v>142</v>
      </c>
      <c r="J226" s="246" t="s">
        <v>113</v>
      </c>
      <c r="K226" s="256" t="s">
        <v>49</v>
      </c>
      <c r="L226" s="250" t="s">
        <v>18</v>
      </c>
      <c r="M226" s="90">
        <v>0.33</v>
      </c>
      <c r="N226" s="251">
        <v>0.17</v>
      </c>
      <c r="O226" s="90">
        <v>0.5</v>
      </c>
      <c r="P226" s="93">
        <v>25.084366852241615</v>
      </c>
      <c r="Q226" s="93">
        <v>12.922249590548711</v>
      </c>
      <c r="R226" s="93">
        <v>75.924794769346875</v>
      </c>
      <c r="S226" s="104">
        <v>39.11277306299688</v>
      </c>
      <c r="T226" s="250" t="s">
        <v>107</v>
      </c>
      <c r="U226" s="90">
        <v>0</v>
      </c>
      <c r="V226" s="251">
        <v>0</v>
      </c>
      <c r="W226" s="90">
        <v>0</v>
      </c>
      <c r="X226" s="93">
        <v>0</v>
      </c>
      <c r="Y226" s="93">
        <v>0</v>
      </c>
      <c r="Z226" s="93">
        <v>0</v>
      </c>
      <c r="AA226" s="104">
        <v>0</v>
      </c>
      <c r="AB226" s="250" t="s">
        <v>107</v>
      </c>
      <c r="AC226" s="97">
        <v>0</v>
      </c>
      <c r="AD226" s="252">
        <v>0</v>
      </c>
      <c r="AE226" s="97">
        <v>0</v>
      </c>
      <c r="AF226" s="93">
        <v>0</v>
      </c>
      <c r="AG226" s="93">
        <v>0</v>
      </c>
      <c r="AH226" s="93">
        <v>0</v>
      </c>
      <c r="AI226" s="93">
        <v>0</v>
      </c>
      <c r="AJ226" s="247" t="s">
        <v>49</v>
      </c>
      <c r="AK226" s="246"/>
      <c r="AL226" s="93">
        <v>0</v>
      </c>
      <c r="AM226" s="93">
        <v>0</v>
      </c>
      <c r="AN226" s="254" t="s">
        <v>0</v>
      </c>
      <c r="AO226" s="246">
        <v>0</v>
      </c>
      <c r="AP226" s="92">
        <v>0</v>
      </c>
      <c r="AQ226" s="282">
        <v>0</v>
      </c>
      <c r="AR226" s="93">
        <v>0</v>
      </c>
      <c r="AS226" s="104">
        <v>0</v>
      </c>
      <c r="AT226" s="245">
        <v>1</v>
      </c>
      <c r="AU226" s="260">
        <v>0</v>
      </c>
      <c r="AV226" s="93">
        <v>38.006616442790325</v>
      </c>
      <c r="AW226" s="104">
        <v>115.03756783234375</v>
      </c>
      <c r="AX226" s="93">
        <v>38.006616442790325</v>
      </c>
      <c r="AY226" s="243">
        <v>115.03756783234375</v>
      </c>
    </row>
    <row r="227" spans="1:51" ht="60" customHeight="1">
      <c r="A227" s="113" t="s">
        <v>1033</v>
      </c>
      <c r="B227" s="90" t="s">
        <v>961</v>
      </c>
      <c r="C227" s="246" t="s">
        <v>11</v>
      </c>
      <c r="D227" s="246" t="s">
        <v>1415</v>
      </c>
      <c r="E227" s="253" t="s">
        <v>312</v>
      </c>
      <c r="F227" s="253" t="s">
        <v>1447</v>
      </c>
      <c r="G227" s="253" t="s">
        <v>449</v>
      </c>
      <c r="H227" s="246" t="s">
        <v>110</v>
      </c>
      <c r="I227" s="246" t="s">
        <v>142</v>
      </c>
      <c r="J227" s="246" t="s">
        <v>113</v>
      </c>
      <c r="K227" s="256" t="s">
        <v>49</v>
      </c>
      <c r="L227" s="250" t="s">
        <v>18</v>
      </c>
      <c r="M227" s="90">
        <v>2</v>
      </c>
      <c r="N227" s="251">
        <v>0.17</v>
      </c>
      <c r="O227" s="90">
        <v>2.17</v>
      </c>
      <c r="P227" s="93">
        <v>152.0264657711613</v>
      </c>
      <c r="Q227" s="93">
        <v>12.922249590548711</v>
      </c>
      <c r="R227" s="93">
        <v>460.15027132937496</v>
      </c>
      <c r="S227" s="104">
        <v>39.11277306299688</v>
      </c>
      <c r="T227" s="250" t="s">
        <v>107</v>
      </c>
      <c r="U227" s="90">
        <v>0</v>
      </c>
      <c r="V227" s="251">
        <v>0</v>
      </c>
      <c r="W227" s="90">
        <v>0</v>
      </c>
      <c r="X227" s="93">
        <v>0</v>
      </c>
      <c r="Y227" s="93">
        <v>0</v>
      </c>
      <c r="Z227" s="93">
        <v>0</v>
      </c>
      <c r="AA227" s="104">
        <v>0</v>
      </c>
      <c r="AB227" s="250" t="s">
        <v>107</v>
      </c>
      <c r="AC227" s="97">
        <v>0</v>
      </c>
      <c r="AD227" s="252">
        <v>0</v>
      </c>
      <c r="AE227" s="97">
        <v>0</v>
      </c>
      <c r="AF227" s="93">
        <v>0</v>
      </c>
      <c r="AG227" s="93">
        <v>0</v>
      </c>
      <c r="AH227" s="93">
        <v>0</v>
      </c>
      <c r="AI227" s="93">
        <v>0</v>
      </c>
      <c r="AJ227" s="247" t="s">
        <v>49</v>
      </c>
      <c r="AK227" s="246"/>
      <c r="AL227" s="93">
        <v>0</v>
      </c>
      <c r="AM227" s="93">
        <v>0</v>
      </c>
      <c r="AN227" s="254" t="s">
        <v>0</v>
      </c>
      <c r="AO227" s="246">
        <v>0</v>
      </c>
      <c r="AP227" s="92">
        <v>0</v>
      </c>
      <c r="AQ227" s="282">
        <v>0</v>
      </c>
      <c r="AR227" s="93">
        <v>0</v>
      </c>
      <c r="AS227" s="104">
        <v>0</v>
      </c>
      <c r="AT227" s="245">
        <v>1</v>
      </c>
      <c r="AU227" s="260">
        <v>0</v>
      </c>
      <c r="AV227" s="93">
        <v>164.94871536171001</v>
      </c>
      <c r="AW227" s="104">
        <v>499.26304439237185</v>
      </c>
      <c r="AX227" s="93">
        <v>164.94871536171001</v>
      </c>
      <c r="AY227" s="243">
        <v>499.26304439237185</v>
      </c>
    </row>
    <row r="228" spans="1:51" ht="57" customHeight="1">
      <c r="A228" s="113" t="s">
        <v>1034</v>
      </c>
      <c r="B228" s="90" t="s">
        <v>962</v>
      </c>
      <c r="C228" s="246" t="s">
        <v>11</v>
      </c>
      <c r="D228" s="246" t="s">
        <v>1415</v>
      </c>
      <c r="E228" s="253" t="s">
        <v>312</v>
      </c>
      <c r="F228" s="253" t="s">
        <v>1447</v>
      </c>
      <c r="G228" s="253" t="s">
        <v>446</v>
      </c>
      <c r="H228" s="246" t="s">
        <v>109</v>
      </c>
      <c r="I228" s="246" t="s">
        <v>142</v>
      </c>
      <c r="J228" s="246" t="s">
        <v>113</v>
      </c>
      <c r="K228" s="256" t="s">
        <v>49</v>
      </c>
      <c r="L228" s="250" t="s">
        <v>18</v>
      </c>
      <c r="M228" s="90">
        <v>0.33</v>
      </c>
      <c r="N228" s="251">
        <v>0.17</v>
      </c>
      <c r="O228" s="90">
        <v>0.5</v>
      </c>
      <c r="P228" s="93">
        <v>25.084366852241615</v>
      </c>
      <c r="Q228" s="93">
        <v>12.922249590548711</v>
      </c>
      <c r="R228" s="93">
        <v>75.924794769346875</v>
      </c>
      <c r="S228" s="104">
        <v>39.11277306299688</v>
      </c>
      <c r="T228" s="250" t="s">
        <v>18</v>
      </c>
      <c r="U228" s="90">
        <v>0.33</v>
      </c>
      <c r="V228" s="251">
        <v>0.17</v>
      </c>
      <c r="W228" s="90">
        <v>0.5</v>
      </c>
      <c r="X228" s="93">
        <v>25.084366852241615</v>
      </c>
      <c r="Y228" s="93">
        <v>12.922249590548711</v>
      </c>
      <c r="Z228" s="93">
        <v>75.924794769346875</v>
      </c>
      <c r="AA228" s="104">
        <v>39.11277306299688</v>
      </c>
      <c r="AB228" s="250" t="s">
        <v>107</v>
      </c>
      <c r="AC228" s="97">
        <v>0</v>
      </c>
      <c r="AD228" s="252">
        <v>0</v>
      </c>
      <c r="AE228" s="97">
        <v>0</v>
      </c>
      <c r="AF228" s="93">
        <v>0</v>
      </c>
      <c r="AG228" s="93">
        <v>0</v>
      </c>
      <c r="AH228" s="93">
        <v>0</v>
      </c>
      <c r="AI228" s="93">
        <v>0</v>
      </c>
      <c r="AJ228" s="247" t="s">
        <v>49</v>
      </c>
      <c r="AK228" s="246"/>
      <c r="AL228" s="93">
        <v>0</v>
      </c>
      <c r="AM228" s="93">
        <v>0</v>
      </c>
      <c r="AN228" s="254" t="s">
        <v>0</v>
      </c>
      <c r="AO228" s="246">
        <v>0</v>
      </c>
      <c r="AP228" s="92">
        <v>0</v>
      </c>
      <c r="AQ228" s="282">
        <v>0</v>
      </c>
      <c r="AR228" s="93">
        <v>0</v>
      </c>
      <c r="AS228" s="104">
        <v>0</v>
      </c>
      <c r="AT228" s="245">
        <v>1</v>
      </c>
      <c r="AU228" s="260">
        <v>0</v>
      </c>
      <c r="AV228" s="93">
        <v>76.013232885580649</v>
      </c>
      <c r="AW228" s="104">
        <v>230.07513566468754</v>
      </c>
      <c r="AX228" s="93">
        <v>76.013232885580649</v>
      </c>
      <c r="AY228" s="243">
        <v>230.07513566468754</v>
      </c>
    </row>
    <row r="229" spans="1:51" ht="78" customHeight="1">
      <c r="A229" s="113" t="s">
        <v>1035</v>
      </c>
      <c r="B229" s="90" t="s">
        <v>963</v>
      </c>
      <c r="C229" s="246" t="s">
        <v>11</v>
      </c>
      <c r="D229" s="246" t="s">
        <v>1415</v>
      </c>
      <c r="E229" s="253" t="s">
        <v>312</v>
      </c>
      <c r="F229" s="253" t="s">
        <v>1447</v>
      </c>
      <c r="G229" s="253" t="s">
        <v>446</v>
      </c>
      <c r="H229" s="246" t="s">
        <v>110</v>
      </c>
      <c r="I229" s="246" t="s">
        <v>142</v>
      </c>
      <c r="J229" s="246" t="s">
        <v>113</v>
      </c>
      <c r="K229" s="256" t="s">
        <v>49</v>
      </c>
      <c r="L229" s="250" t="s">
        <v>18</v>
      </c>
      <c r="M229" s="90">
        <v>2</v>
      </c>
      <c r="N229" s="251">
        <v>0.17</v>
      </c>
      <c r="O229" s="90">
        <v>2.17</v>
      </c>
      <c r="P229" s="93">
        <v>152.0264657711613</v>
      </c>
      <c r="Q229" s="93">
        <v>12.922249590548711</v>
      </c>
      <c r="R229" s="93">
        <v>460.15027132937496</v>
      </c>
      <c r="S229" s="104">
        <v>39.11277306299688</v>
      </c>
      <c r="T229" s="250" t="s">
        <v>18</v>
      </c>
      <c r="U229" s="90">
        <v>2</v>
      </c>
      <c r="V229" s="251">
        <v>0.17</v>
      </c>
      <c r="W229" s="90">
        <v>2.17</v>
      </c>
      <c r="X229" s="93">
        <v>152.0264657711613</v>
      </c>
      <c r="Y229" s="93">
        <v>12.922249590548711</v>
      </c>
      <c r="Z229" s="93">
        <v>460.15027132937496</v>
      </c>
      <c r="AA229" s="104">
        <v>39.11277306299688</v>
      </c>
      <c r="AB229" s="250" t="s">
        <v>107</v>
      </c>
      <c r="AC229" s="97">
        <v>0</v>
      </c>
      <c r="AD229" s="252">
        <v>0</v>
      </c>
      <c r="AE229" s="97">
        <v>0</v>
      </c>
      <c r="AF229" s="93">
        <v>0</v>
      </c>
      <c r="AG229" s="93">
        <v>0</v>
      </c>
      <c r="AH229" s="93">
        <v>0</v>
      </c>
      <c r="AI229" s="93">
        <v>0</v>
      </c>
      <c r="AJ229" s="247" t="s">
        <v>49</v>
      </c>
      <c r="AK229" s="246"/>
      <c r="AL229" s="93">
        <v>0</v>
      </c>
      <c r="AM229" s="93">
        <v>0</v>
      </c>
      <c r="AN229" s="254" t="s">
        <v>0</v>
      </c>
      <c r="AO229" s="246">
        <v>0</v>
      </c>
      <c r="AP229" s="92">
        <v>0</v>
      </c>
      <c r="AQ229" s="282">
        <v>0</v>
      </c>
      <c r="AR229" s="93">
        <v>0</v>
      </c>
      <c r="AS229" s="104">
        <v>0</v>
      </c>
      <c r="AT229" s="245">
        <v>1</v>
      </c>
      <c r="AU229" s="260">
        <v>0</v>
      </c>
      <c r="AV229" s="93">
        <v>329.89743072341997</v>
      </c>
      <c r="AW229" s="104">
        <v>998.52608878474371</v>
      </c>
      <c r="AX229" s="93">
        <v>329.89743072341997</v>
      </c>
      <c r="AY229" s="243">
        <v>998.52608878474371</v>
      </c>
    </row>
    <row r="230" spans="1:51" ht="67.5" customHeight="1">
      <c r="A230" s="113" t="s">
        <v>1036</v>
      </c>
      <c r="B230" s="90" t="s">
        <v>964</v>
      </c>
      <c r="C230" s="246" t="s">
        <v>11</v>
      </c>
      <c r="D230" s="246" t="s">
        <v>1415</v>
      </c>
      <c r="E230" s="249" t="s">
        <v>312</v>
      </c>
      <c r="F230" s="253" t="s">
        <v>1448</v>
      </c>
      <c r="G230" s="253" t="s">
        <v>127</v>
      </c>
      <c r="H230" s="246" t="s">
        <v>109</v>
      </c>
      <c r="I230" s="246" t="s">
        <v>49</v>
      </c>
      <c r="J230" s="246" t="s">
        <v>47</v>
      </c>
      <c r="K230" s="256" t="s">
        <v>49</v>
      </c>
      <c r="L230" s="250" t="s">
        <v>107</v>
      </c>
      <c r="M230" s="90">
        <v>0</v>
      </c>
      <c r="N230" s="251">
        <v>0</v>
      </c>
      <c r="O230" s="90">
        <v>0</v>
      </c>
      <c r="P230" s="93">
        <v>0</v>
      </c>
      <c r="Q230" s="93">
        <v>0</v>
      </c>
      <c r="R230" s="93">
        <v>0</v>
      </c>
      <c r="S230" s="104">
        <v>0</v>
      </c>
      <c r="T230" s="250" t="s">
        <v>107</v>
      </c>
      <c r="U230" s="90">
        <v>0</v>
      </c>
      <c r="V230" s="251">
        <v>0</v>
      </c>
      <c r="W230" s="90">
        <v>0</v>
      </c>
      <c r="X230" s="93">
        <v>0</v>
      </c>
      <c r="Y230" s="93">
        <v>0</v>
      </c>
      <c r="Z230" s="93">
        <v>0</v>
      </c>
      <c r="AA230" s="104">
        <v>0</v>
      </c>
      <c r="AB230" s="250" t="s">
        <v>107</v>
      </c>
      <c r="AC230" s="97">
        <v>0</v>
      </c>
      <c r="AD230" s="252">
        <v>0</v>
      </c>
      <c r="AE230" s="97">
        <v>0</v>
      </c>
      <c r="AF230" s="93">
        <v>0</v>
      </c>
      <c r="AG230" s="93">
        <v>0</v>
      </c>
      <c r="AH230" s="93">
        <v>0</v>
      </c>
      <c r="AI230" s="93">
        <v>0</v>
      </c>
      <c r="AJ230" s="247" t="s">
        <v>142</v>
      </c>
      <c r="AK230" s="246"/>
      <c r="AL230" s="93">
        <v>5.630532249418974</v>
      </c>
      <c r="AM230" s="93">
        <v>7.9330009868254612</v>
      </c>
      <c r="AN230" s="254" t="s">
        <v>0</v>
      </c>
      <c r="AO230" s="246">
        <v>0</v>
      </c>
      <c r="AP230" s="92">
        <v>0</v>
      </c>
      <c r="AQ230" s="282">
        <v>0</v>
      </c>
      <c r="AR230" s="93">
        <v>0</v>
      </c>
      <c r="AS230" s="104">
        <v>0</v>
      </c>
      <c r="AT230" s="245">
        <v>0</v>
      </c>
      <c r="AU230" s="260">
        <v>1</v>
      </c>
      <c r="AV230" s="93">
        <v>5.630532249418974</v>
      </c>
      <c r="AW230" s="104">
        <v>7.9330009868254612</v>
      </c>
      <c r="AX230" s="93">
        <v>5.630532249418974</v>
      </c>
      <c r="AY230" s="243">
        <v>7.9330009868254612</v>
      </c>
    </row>
    <row r="231" spans="1:51" ht="102.75" customHeight="1">
      <c r="A231" s="113" t="s">
        <v>1037</v>
      </c>
      <c r="B231" s="90" t="s">
        <v>965</v>
      </c>
      <c r="C231" s="246" t="s">
        <v>11</v>
      </c>
      <c r="D231" s="246" t="s">
        <v>1415</v>
      </c>
      <c r="E231" s="249" t="s">
        <v>312</v>
      </c>
      <c r="F231" s="253" t="s">
        <v>1448</v>
      </c>
      <c r="G231" s="253" t="s">
        <v>127</v>
      </c>
      <c r="H231" s="246" t="s">
        <v>110</v>
      </c>
      <c r="I231" s="246" t="s">
        <v>49</v>
      </c>
      <c r="J231" s="246" t="s">
        <v>47</v>
      </c>
      <c r="K231" s="256" t="s">
        <v>49</v>
      </c>
      <c r="L231" s="250" t="s">
        <v>107</v>
      </c>
      <c r="M231" s="90">
        <v>0</v>
      </c>
      <c r="N231" s="251">
        <v>0</v>
      </c>
      <c r="O231" s="90">
        <v>0</v>
      </c>
      <c r="P231" s="93">
        <v>0</v>
      </c>
      <c r="Q231" s="93">
        <v>0</v>
      </c>
      <c r="R231" s="93">
        <v>0</v>
      </c>
      <c r="S231" s="104">
        <v>0</v>
      </c>
      <c r="T231" s="250" t="s">
        <v>107</v>
      </c>
      <c r="U231" s="90">
        <v>0</v>
      </c>
      <c r="V231" s="251">
        <v>0</v>
      </c>
      <c r="W231" s="90">
        <v>0</v>
      </c>
      <c r="X231" s="93">
        <v>0</v>
      </c>
      <c r="Y231" s="93">
        <v>0</v>
      </c>
      <c r="Z231" s="93">
        <v>0</v>
      </c>
      <c r="AA231" s="104">
        <v>0</v>
      </c>
      <c r="AB231" s="250" t="s">
        <v>107</v>
      </c>
      <c r="AC231" s="97">
        <v>0</v>
      </c>
      <c r="AD231" s="252">
        <v>0</v>
      </c>
      <c r="AE231" s="97">
        <v>0</v>
      </c>
      <c r="AF231" s="93">
        <v>0</v>
      </c>
      <c r="AG231" s="93">
        <v>0</v>
      </c>
      <c r="AH231" s="93">
        <v>0</v>
      </c>
      <c r="AI231" s="93">
        <v>0</v>
      </c>
      <c r="AJ231" s="247" t="s">
        <v>142</v>
      </c>
      <c r="AK231" s="246"/>
      <c r="AL231" s="93">
        <v>5.630532249418974</v>
      </c>
      <c r="AM231" s="93">
        <v>7.9330009868254612</v>
      </c>
      <c r="AN231" s="254" t="s">
        <v>0</v>
      </c>
      <c r="AO231" s="246">
        <v>0</v>
      </c>
      <c r="AP231" s="92">
        <v>0</v>
      </c>
      <c r="AQ231" s="282">
        <v>0</v>
      </c>
      <c r="AR231" s="93">
        <v>0</v>
      </c>
      <c r="AS231" s="104">
        <v>0</v>
      </c>
      <c r="AT231" s="245">
        <v>0</v>
      </c>
      <c r="AU231" s="260">
        <v>1</v>
      </c>
      <c r="AV231" s="93">
        <v>5.630532249418974</v>
      </c>
      <c r="AW231" s="104">
        <v>7.9330009868254612</v>
      </c>
      <c r="AX231" s="93">
        <v>5.630532249418974</v>
      </c>
      <c r="AY231" s="243">
        <v>7.9330009868254612</v>
      </c>
    </row>
    <row r="232" spans="1:51" ht="91.5" customHeight="1">
      <c r="A232" s="113" t="s">
        <v>1038</v>
      </c>
      <c r="B232" s="90" t="s">
        <v>966</v>
      </c>
      <c r="C232" s="246" t="s">
        <v>11</v>
      </c>
      <c r="D232" s="246" t="s">
        <v>1415</v>
      </c>
      <c r="E232" s="249" t="s">
        <v>312</v>
      </c>
      <c r="F232" s="253" t="s">
        <v>1448</v>
      </c>
      <c r="G232" s="253" t="s">
        <v>122</v>
      </c>
      <c r="H232" s="246" t="s">
        <v>109</v>
      </c>
      <c r="I232" s="246" t="s">
        <v>49</v>
      </c>
      <c r="J232" s="246" t="s">
        <v>113</v>
      </c>
      <c r="K232" s="256" t="s">
        <v>49</v>
      </c>
      <c r="L232" s="250" t="s">
        <v>107</v>
      </c>
      <c r="M232" s="90">
        <v>0</v>
      </c>
      <c r="N232" s="251">
        <v>0</v>
      </c>
      <c r="O232" s="90">
        <v>0</v>
      </c>
      <c r="P232" s="93">
        <v>0</v>
      </c>
      <c r="Q232" s="93">
        <v>0</v>
      </c>
      <c r="R232" s="93">
        <v>0</v>
      </c>
      <c r="S232" s="104">
        <v>0</v>
      </c>
      <c r="T232" s="250" t="s">
        <v>107</v>
      </c>
      <c r="U232" s="90">
        <v>0</v>
      </c>
      <c r="V232" s="251">
        <v>0</v>
      </c>
      <c r="W232" s="90">
        <v>0</v>
      </c>
      <c r="X232" s="93">
        <v>0</v>
      </c>
      <c r="Y232" s="93">
        <v>0</v>
      </c>
      <c r="Z232" s="93">
        <v>0</v>
      </c>
      <c r="AA232" s="104">
        <v>0</v>
      </c>
      <c r="AB232" s="250" t="s">
        <v>107</v>
      </c>
      <c r="AC232" s="97">
        <v>0</v>
      </c>
      <c r="AD232" s="252">
        <v>0</v>
      </c>
      <c r="AE232" s="97">
        <v>0</v>
      </c>
      <c r="AF232" s="93">
        <v>0</v>
      </c>
      <c r="AG232" s="93">
        <v>0</v>
      </c>
      <c r="AH232" s="93">
        <v>0</v>
      </c>
      <c r="AI232" s="93">
        <v>0</v>
      </c>
      <c r="AJ232" s="247" t="s">
        <v>142</v>
      </c>
      <c r="AK232" s="246"/>
      <c r="AL232" s="93">
        <v>7.3196919242446672</v>
      </c>
      <c r="AM232" s="93">
        <v>10.312901282873101</v>
      </c>
      <c r="AN232" s="254" t="s">
        <v>0</v>
      </c>
      <c r="AO232" s="246">
        <v>0</v>
      </c>
      <c r="AP232" s="92">
        <v>0</v>
      </c>
      <c r="AQ232" s="282">
        <v>0</v>
      </c>
      <c r="AR232" s="93">
        <v>0</v>
      </c>
      <c r="AS232" s="104">
        <v>0</v>
      </c>
      <c r="AT232" s="245">
        <v>0</v>
      </c>
      <c r="AU232" s="260">
        <v>1</v>
      </c>
      <c r="AV232" s="93">
        <v>7.3196919242446672</v>
      </c>
      <c r="AW232" s="104">
        <v>10.312901282873101</v>
      </c>
      <c r="AX232" s="93">
        <v>7.3196919242446672</v>
      </c>
      <c r="AY232" s="243">
        <v>10.312901282873101</v>
      </c>
    </row>
    <row r="233" spans="1:51" ht="66.75" customHeight="1">
      <c r="A233" s="113" t="s">
        <v>1039</v>
      </c>
      <c r="B233" s="90" t="s">
        <v>967</v>
      </c>
      <c r="C233" s="246" t="s">
        <v>11</v>
      </c>
      <c r="D233" s="246" t="s">
        <v>1415</v>
      </c>
      <c r="E233" s="249" t="s">
        <v>312</v>
      </c>
      <c r="F233" s="253" t="s">
        <v>1448</v>
      </c>
      <c r="G233" s="253" t="s">
        <v>122</v>
      </c>
      <c r="H233" s="246" t="s">
        <v>110</v>
      </c>
      <c r="I233" s="246" t="s">
        <v>49</v>
      </c>
      <c r="J233" s="246" t="s">
        <v>113</v>
      </c>
      <c r="K233" s="256" t="s">
        <v>49</v>
      </c>
      <c r="L233" s="250" t="s">
        <v>107</v>
      </c>
      <c r="M233" s="90">
        <v>0</v>
      </c>
      <c r="N233" s="251">
        <v>0</v>
      </c>
      <c r="O233" s="90">
        <v>0</v>
      </c>
      <c r="P233" s="93">
        <v>0</v>
      </c>
      <c r="Q233" s="93">
        <v>0</v>
      </c>
      <c r="R233" s="93">
        <v>0</v>
      </c>
      <c r="S233" s="104">
        <v>0</v>
      </c>
      <c r="T233" s="250" t="s">
        <v>107</v>
      </c>
      <c r="U233" s="90">
        <v>0</v>
      </c>
      <c r="V233" s="251">
        <v>0</v>
      </c>
      <c r="W233" s="90">
        <v>0</v>
      </c>
      <c r="X233" s="93">
        <v>0</v>
      </c>
      <c r="Y233" s="93">
        <v>0</v>
      </c>
      <c r="Z233" s="93">
        <v>0</v>
      </c>
      <c r="AA233" s="104">
        <v>0</v>
      </c>
      <c r="AB233" s="250" t="s">
        <v>107</v>
      </c>
      <c r="AC233" s="97">
        <v>0</v>
      </c>
      <c r="AD233" s="252">
        <v>0</v>
      </c>
      <c r="AE233" s="97">
        <v>0</v>
      </c>
      <c r="AF233" s="93">
        <v>0</v>
      </c>
      <c r="AG233" s="93">
        <v>0</v>
      </c>
      <c r="AH233" s="93">
        <v>0</v>
      </c>
      <c r="AI233" s="93">
        <v>0</v>
      </c>
      <c r="AJ233" s="247" t="s">
        <v>142</v>
      </c>
      <c r="AK233" s="246"/>
      <c r="AL233" s="93">
        <v>7.3196919242446672</v>
      </c>
      <c r="AM233" s="93">
        <v>10.312901282873101</v>
      </c>
      <c r="AN233" s="254" t="s">
        <v>0</v>
      </c>
      <c r="AO233" s="246">
        <v>0</v>
      </c>
      <c r="AP233" s="92">
        <v>0</v>
      </c>
      <c r="AQ233" s="282">
        <v>0</v>
      </c>
      <c r="AR233" s="93">
        <v>0</v>
      </c>
      <c r="AS233" s="104">
        <v>0</v>
      </c>
      <c r="AT233" s="245">
        <v>0</v>
      </c>
      <c r="AU233" s="260">
        <v>1</v>
      </c>
      <c r="AV233" s="93">
        <v>7.3196919242446672</v>
      </c>
      <c r="AW233" s="104">
        <v>10.312901282873101</v>
      </c>
      <c r="AX233" s="93">
        <v>7.3196919242446672</v>
      </c>
      <c r="AY233" s="243">
        <v>10.312901282873101</v>
      </c>
    </row>
    <row r="234" spans="1:51" ht="30">
      <c r="A234" s="113" t="s">
        <v>1040</v>
      </c>
      <c r="B234" s="90" t="s">
        <v>968</v>
      </c>
      <c r="C234" s="246" t="s">
        <v>11</v>
      </c>
      <c r="D234" s="246" t="s">
        <v>305</v>
      </c>
      <c r="E234" s="253" t="s">
        <v>156</v>
      </c>
      <c r="F234" s="253" t="s">
        <v>1449</v>
      </c>
      <c r="G234" s="253" t="s">
        <v>127</v>
      </c>
      <c r="H234" s="246" t="s">
        <v>109</v>
      </c>
      <c r="I234" s="246" t="s">
        <v>142</v>
      </c>
      <c r="J234" s="246" t="s">
        <v>47</v>
      </c>
      <c r="K234" s="256" t="s">
        <v>49</v>
      </c>
      <c r="L234" s="250" t="s">
        <v>18</v>
      </c>
      <c r="M234" s="90">
        <v>0.33</v>
      </c>
      <c r="N234" s="251">
        <v>1</v>
      </c>
      <c r="O234" s="90">
        <v>1.33</v>
      </c>
      <c r="P234" s="93">
        <v>19.081969456246018</v>
      </c>
      <c r="Q234" s="93">
        <v>57.824149867412174</v>
      </c>
      <c r="R234" s="93">
        <v>57.75687396434946</v>
      </c>
      <c r="S234" s="104">
        <v>175.02083019499838</v>
      </c>
      <c r="T234" s="254" t="s">
        <v>107</v>
      </c>
      <c r="U234" s="90">
        <v>0</v>
      </c>
      <c r="V234" s="246">
        <v>0</v>
      </c>
      <c r="W234" s="90">
        <v>0</v>
      </c>
      <c r="X234" s="93">
        <v>0</v>
      </c>
      <c r="Y234" s="93">
        <v>0</v>
      </c>
      <c r="Z234" s="93">
        <v>0</v>
      </c>
      <c r="AA234" s="104">
        <v>0</v>
      </c>
      <c r="AB234" s="250" t="s">
        <v>107</v>
      </c>
      <c r="AC234" s="97">
        <v>0</v>
      </c>
      <c r="AD234" s="252">
        <v>0</v>
      </c>
      <c r="AE234" s="97">
        <v>0</v>
      </c>
      <c r="AF234" s="93">
        <v>0</v>
      </c>
      <c r="AG234" s="93">
        <v>0</v>
      </c>
      <c r="AH234" s="93">
        <v>0</v>
      </c>
      <c r="AI234" s="93">
        <v>0</v>
      </c>
      <c r="AJ234" s="247" t="s">
        <v>49</v>
      </c>
      <c r="AK234" s="246"/>
      <c r="AL234" s="93">
        <v>0</v>
      </c>
      <c r="AM234" s="93">
        <v>0</v>
      </c>
      <c r="AN234" s="254" t="s">
        <v>77</v>
      </c>
      <c r="AO234" s="246">
        <v>1</v>
      </c>
      <c r="AP234" s="92">
        <v>103.42951945477255</v>
      </c>
      <c r="AQ234" s="282">
        <v>153.88506883438851</v>
      </c>
      <c r="AR234" s="93">
        <v>0</v>
      </c>
      <c r="AS234" s="104">
        <v>0</v>
      </c>
      <c r="AT234" s="245">
        <v>1</v>
      </c>
      <c r="AU234" s="260">
        <v>0</v>
      </c>
      <c r="AV234" s="93">
        <v>76.906119323658189</v>
      </c>
      <c r="AW234" s="104">
        <v>232.77770415934785</v>
      </c>
      <c r="AX234" s="93">
        <v>180.33563877843073</v>
      </c>
      <c r="AY234" s="243">
        <v>386.66277299373633</v>
      </c>
    </row>
    <row r="235" spans="1:51" ht="30">
      <c r="A235" s="113" t="s">
        <v>1041</v>
      </c>
      <c r="B235" s="90" t="s">
        <v>969</v>
      </c>
      <c r="C235" s="246" t="s">
        <v>11</v>
      </c>
      <c r="D235" s="246" t="s">
        <v>305</v>
      </c>
      <c r="E235" s="253" t="s">
        <v>156</v>
      </c>
      <c r="F235" s="253" t="s">
        <v>1449</v>
      </c>
      <c r="G235" s="253" t="s">
        <v>127</v>
      </c>
      <c r="H235" s="246" t="s">
        <v>110</v>
      </c>
      <c r="I235" s="246" t="s">
        <v>142</v>
      </c>
      <c r="J235" s="246" t="s">
        <v>47</v>
      </c>
      <c r="K235" s="256" t="s">
        <v>49</v>
      </c>
      <c r="L235" s="250" t="s">
        <v>18</v>
      </c>
      <c r="M235" s="90">
        <v>2</v>
      </c>
      <c r="N235" s="251">
        <v>1</v>
      </c>
      <c r="O235" s="90">
        <v>3</v>
      </c>
      <c r="P235" s="93">
        <v>115.64829973482435</v>
      </c>
      <c r="Q235" s="93">
        <v>57.824149867412174</v>
      </c>
      <c r="R235" s="93">
        <v>350.04166038999676</v>
      </c>
      <c r="S235" s="104">
        <v>175.02083019499838</v>
      </c>
      <c r="T235" s="254" t="s">
        <v>107</v>
      </c>
      <c r="U235" s="90">
        <v>0</v>
      </c>
      <c r="V235" s="246">
        <v>0</v>
      </c>
      <c r="W235" s="90">
        <v>0</v>
      </c>
      <c r="X235" s="93">
        <v>0</v>
      </c>
      <c r="Y235" s="93">
        <v>0</v>
      </c>
      <c r="Z235" s="93">
        <v>0</v>
      </c>
      <c r="AA235" s="104">
        <v>0</v>
      </c>
      <c r="AB235" s="250" t="s">
        <v>107</v>
      </c>
      <c r="AC235" s="97">
        <v>0</v>
      </c>
      <c r="AD235" s="252">
        <v>0</v>
      </c>
      <c r="AE235" s="97">
        <v>0</v>
      </c>
      <c r="AF235" s="93">
        <v>0</v>
      </c>
      <c r="AG235" s="93">
        <v>0</v>
      </c>
      <c r="AH235" s="93">
        <v>0</v>
      </c>
      <c r="AI235" s="93">
        <v>0</v>
      </c>
      <c r="AJ235" s="247" t="s">
        <v>49</v>
      </c>
      <c r="AK235" s="246"/>
      <c r="AL235" s="93">
        <v>0</v>
      </c>
      <c r="AM235" s="93">
        <v>0</v>
      </c>
      <c r="AN235" s="254" t="s">
        <v>77</v>
      </c>
      <c r="AO235" s="246">
        <v>1</v>
      </c>
      <c r="AP235" s="92">
        <v>103.42951945477255</v>
      </c>
      <c r="AQ235" s="282">
        <v>153.88506883438851</v>
      </c>
      <c r="AR235" s="93">
        <v>0</v>
      </c>
      <c r="AS235" s="104">
        <v>0</v>
      </c>
      <c r="AT235" s="245">
        <v>1</v>
      </c>
      <c r="AU235" s="260">
        <v>0</v>
      </c>
      <c r="AV235" s="93">
        <v>173.47244960223651</v>
      </c>
      <c r="AW235" s="104">
        <v>525.0624905849952</v>
      </c>
      <c r="AX235" s="93">
        <v>276.90196905700907</v>
      </c>
      <c r="AY235" s="243">
        <v>678.94755941938365</v>
      </c>
    </row>
    <row r="236" spans="1:51" ht="30">
      <c r="A236" s="113" t="s">
        <v>1042</v>
      </c>
      <c r="B236" s="90" t="s">
        <v>970</v>
      </c>
      <c r="C236" s="246" t="s">
        <v>11</v>
      </c>
      <c r="D236" s="246" t="s">
        <v>305</v>
      </c>
      <c r="E236" s="253" t="s">
        <v>156</v>
      </c>
      <c r="F236" s="253" t="s">
        <v>1450</v>
      </c>
      <c r="G236" s="253" t="s">
        <v>127</v>
      </c>
      <c r="H236" s="246" t="s">
        <v>109</v>
      </c>
      <c r="I236" s="246" t="s">
        <v>142</v>
      </c>
      <c r="J236" s="246" t="s">
        <v>47</v>
      </c>
      <c r="K236" s="256" t="s">
        <v>49</v>
      </c>
      <c r="L236" s="250" t="s">
        <v>18</v>
      </c>
      <c r="M236" s="90">
        <v>0.33</v>
      </c>
      <c r="N236" s="251">
        <v>1</v>
      </c>
      <c r="O236" s="90">
        <v>1.33</v>
      </c>
      <c r="P236" s="93">
        <v>19.081969456246018</v>
      </c>
      <c r="Q236" s="93">
        <v>57.824149867412174</v>
      </c>
      <c r="R236" s="93">
        <v>57.75687396434946</v>
      </c>
      <c r="S236" s="104">
        <v>175.02083019499838</v>
      </c>
      <c r="T236" s="254" t="s">
        <v>107</v>
      </c>
      <c r="U236" s="90">
        <v>0</v>
      </c>
      <c r="V236" s="246">
        <v>0</v>
      </c>
      <c r="W236" s="90">
        <v>0</v>
      </c>
      <c r="X236" s="93">
        <v>0</v>
      </c>
      <c r="Y236" s="93">
        <v>0</v>
      </c>
      <c r="Z236" s="93">
        <v>0</v>
      </c>
      <c r="AA236" s="104">
        <v>0</v>
      </c>
      <c r="AB236" s="250" t="s">
        <v>107</v>
      </c>
      <c r="AC236" s="97">
        <v>0</v>
      </c>
      <c r="AD236" s="252">
        <v>0</v>
      </c>
      <c r="AE236" s="97">
        <v>0</v>
      </c>
      <c r="AF236" s="93">
        <v>0</v>
      </c>
      <c r="AG236" s="93">
        <v>0</v>
      </c>
      <c r="AH236" s="93">
        <v>0</v>
      </c>
      <c r="AI236" s="93">
        <v>0</v>
      </c>
      <c r="AJ236" s="247" t="s">
        <v>49</v>
      </c>
      <c r="AK236" s="246"/>
      <c r="AL236" s="93">
        <v>0</v>
      </c>
      <c r="AM236" s="93">
        <v>0</v>
      </c>
      <c r="AN236" s="254" t="s">
        <v>78</v>
      </c>
      <c r="AO236" s="246">
        <v>1</v>
      </c>
      <c r="AP236" s="92">
        <v>143.04082477787694</v>
      </c>
      <c r="AQ236" s="282">
        <v>212.81977604755855</v>
      </c>
      <c r="AR236" s="93">
        <v>0</v>
      </c>
      <c r="AS236" s="104">
        <v>0</v>
      </c>
      <c r="AT236" s="245">
        <v>1</v>
      </c>
      <c r="AU236" s="260">
        <v>0</v>
      </c>
      <c r="AV236" s="93">
        <v>76.906119323658189</v>
      </c>
      <c r="AW236" s="104">
        <v>232.77770415934785</v>
      </c>
      <c r="AX236" s="93">
        <v>219.94694410153511</v>
      </c>
      <c r="AY236" s="243">
        <v>445.59748020690643</v>
      </c>
    </row>
    <row r="237" spans="1:51" ht="30">
      <c r="A237" s="113" t="s">
        <v>1043</v>
      </c>
      <c r="B237" s="90" t="s">
        <v>971</v>
      </c>
      <c r="C237" s="246" t="s">
        <v>11</v>
      </c>
      <c r="D237" s="246" t="s">
        <v>305</v>
      </c>
      <c r="E237" s="253" t="s">
        <v>156</v>
      </c>
      <c r="F237" s="253" t="s">
        <v>1450</v>
      </c>
      <c r="G237" s="253" t="s">
        <v>127</v>
      </c>
      <c r="H237" s="246" t="s">
        <v>110</v>
      </c>
      <c r="I237" s="246" t="s">
        <v>142</v>
      </c>
      <c r="J237" s="246" t="s">
        <v>47</v>
      </c>
      <c r="K237" s="256" t="s">
        <v>49</v>
      </c>
      <c r="L237" s="250" t="s">
        <v>18</v>
      </c>
      <c r="M237" s="90">
        <v>2</v>
      </c>
      <c r="N237" s="251">
        <v>1</v>
      </c>
      <c r="O237" s="90">
        <v>3</v>
      </c>
      <c r="P237" s="93">
        <v>115.64829973482435</v>
      </c>
      <c r="Q237" s="93">
        <v>57.824149867412174</v>
      </c>
      <c r="R237" s="93">
        <v>350.04166038999676</v>
      </c>
      <c r="S237" s="104">
        <v>175.02083019499838</v>
      </c>
      <c r="T237" s="254" t="s">
        <v>107</v>
      </c>
      <c r="U237" s="90">
        <v>0</v>
      </c>
      <c r="V237" s="246">
        <v>0</v>
      </c>
      <c r="W237" s="90">
        <v>0</v>
      </c>
      <c r="X237" s="93">
        <v>0</v>
      </c>
      <c r="Y237" s="93">
        <v>0</v>
      </c>
      <c r="Z237" s="93">
        <v>0</v>
      </c>
      <c r="AA237" s="104">
        <v>0</v>
      </c>
      <c r="AB237" s="250" t="s">
        <v>107</v>
      </c>
      <c r="AC237" s="97">
        <v>0</v>
      </c>
      <c r="AD237" s="252">
        <v>0</v>
      </c>
      <c r="AE237" s="97">
        <v>0</v>
      </c>
      <c r="AF237" s="93">
        <v>0</v>
      </c>
      <c r="AG237" s="93">
        <v>0</v>
      </c>
      <c r="AH237" s="93">
        <v>0</v>
      </c>
      <c r="AI237" s="93">
        <v>0</v>
      </c>
      <c r="AJ237" s="247" t="s">
        <v>49</v>
      </c>
      <c r="AK237" s="246"/>
      <c r="AL237" s="93">
        <v>0</v>
      </c>
      <c r="AM237" s="93">
        <v>0</v>
      </c>
      <c r="AN237" s="254" t="s">
        <v>78</v>
      </c>
      <c r="AO237" s="246">
        <v>1</v>
      </c>
      <c r="AP237" s="92">
        <v>143.04082477787694</v>
      </c>
      <c r="AQ237" s="282">
        <v>212.81977604755855</v>
      </c>
      <c r="AR237" s="93">
        <v>0</v>
      </c>
      <c r="AS237" s="104">
        <v>0</v>
      </c>
      <c r="AT237" s="245">
        <v>1</v>
      </c>
      <c r="AU237" s="260">
        <v>0</v>
      </c>
      <c r="AV237" s="93">
        <v>173.47244960223651</v>
      </c>
      <c r="AW237" s="104">
        <v>525.0624905849952</v>
      </c>
      <c r="AX237" s="93">
        <v>316.51327438011344</v>
      </c>
      <c r="AY237" s="243">
        <v>737.88226663255375</v>
      </c>
    </row>
    <row r="238" spans="1:51" ht="30">
      <c r="A238" s="113" t="s">
        <v>1044</v>
      </c>
      <c r="B238" s="90" t="s">
        <v>972</v>
      </c>
      <c r="C238" s="246" t="s">
        <v>11</v>
      </c>
      <c r="D238" s="246" t="s">
        <v>305</v>
      </c>
      <c r="E238" s="253" t="s">
        <v>156</v>
      </c>
      <c r="F238" s="253" t="s">
        <v>1451</v>
      </c>
      <c r="G238" s="253" t="s">
        <v>127</v>
      </c>
      <c r="H238" s="246" t="s">
        <v>109</v>
      </c>
      <c r="I238" s="246" t="s">
        <v>142</v>
      </c>
      <c r="J238" s="246" t="s">
        <v>47</v>
      </c>
      <c r="K238" s="256" t="s">
        <v>49</v>
      </c>
      <c r="L238" s="250" t="s">
        <v>18</v>
      </c>
      <c r="M238" s="90">
        <v>0.33</v>
      </c>
      <c r="N238" s="251">
        <v>1</v>
      </c>
      <c r="O238" s="90">
        <v>1.33</v>
      </c>
      <c r="P238" s="93">
        <v>19.081969456246018</v>
      </c>
      <c r="Q238" s="93">
        <v>57.824149867412174</v>
      </c>
      <c r="R238" s="93">
        <v>57.75687396434946</v>
      </c>
      <c r="S238" s="104">
        <v>175.02083019499838</v>
      </c>
      <c r="T238" s="254" t="s">
        <v>107</v>
      </c>
      <c r="U238" s="90">
        <v>0</v>
      </c>
      <c r="V238" s="246">
        <v>0</v>
      </c>
      <c r="W238" s="90">
        <v>0</v>
      </c>
      <c r="X238" s="93">
        <v>0</v>
      </c>
      <c r="Y238" s="93">
        <v>0</v>
      </c>
      <c r="Z238" s="93">
        <v>0</v>
      </c>
      <c r="AA238" s="104">
        <v>0</v>
      </c>
      <c r="AB238" s="250" t="s">
        <v>107</v>
      </c>
      <c r="AC238" s="97">
        <v>0</v>
      </c>
      <c r="AD238" s="252">
        <v>0</v>
      </c>
      <c r="AE238" s="97">
        <v>0</v>
      </c>
      <c r="AF238" s="93">
        <v>0</v>
      </c>
      <c r="AG238" s="93">
        <v>0</v>
      </c>
      <c r="AH238" s="93">
        <v>0</v>
      </c>
      <c r="AI238" s="93">
        <v>0</v>
      </c>
      <c r="AJ238" s="247" t="s">
        <v>49</v>
      </c>
      <c r="AK238" s="246"/>
      <c r="AL238" s="93">
        <v>0</v>
      </c>
      <c r="AM238" s="93">
        <v>0</v>
      </c>
      <c r="AN238" s="254" t="s">
        <v>79</v>
      </c>
      <c r="AO238" s="246">
        <v>1</v>
      </c>
      <c r="AP238" s="92">
        <v>247.57065826940237</v>
      </c>
      <c r="AQ238" s="282">
        <v>368.34192008231287</v>
      </c>
      <c r="AR238" s="93">
        <v>0</v>
      </c>
      <c r="AS238" s="104">
        <v>0</v>
      </c>
      <c r="AT238" s="245">
        <v>1</v>
      </c>
      <c r="AU238" s="260">
        <v>0</v>
      </c>
      <c r="AV238" s="93">
        <v>76.906119323658189</v>
      </c>
      <c r="AW238" s="104">
        <v>232.77770415934785</v>
      </c>
      <c r="AX238" s="93">
        <v>324.47677759306055</v>
      </c>
      <c r="AY238" s="243">
        <v>601.11962424166074</v>
      </c>
    </row>
    <row r="239" spans="1:51" ht="30">
      <c r="A239" s="113" t="s">
        <v>1045</v>
      </c>
      <c r="B239" s="90" t="s">
        <v>973</v>
      </c>
      <c r="C239" s="246" t="s">
        <v>11</v>
      </c>
      <c r="D239" s="246" t="s">
        <v>305</v>
      </c>
      <c r="E239" s="253" t="s">
        <v>156</v>
      </c>
      <c r="F239" s="253" t="s">
        <v>1451</v>
      </c>
      <c r="G239" s="253" t="s">
        <v>127</v>
      </c>
      <c r="H239" s="246" t="s">
        <v>110</v>
      </c>
      <c r="I239" s="246" t="s">
        <v>142</v>
      </c>
      <c r="J239" s="246" t="s">
        <v>47</v>
      </c>
      <c r="K239" s="256" t="s">
        <v>49</v>
      </c>
      <c r="L239" s="250" t="s">
        <v>18</v>
      </c>
      <c r="M239" s="90">
        <v>2</v>
      </c>
      <c r="N239" s="251">
        <v>1</v>
      </c>
      <c r="O239" s="90">
        <v>3</v>
      </c>
      <c r="P239" s="93">
        <v>115.64829973482435</v>
      </c>
      <c r="Q239" s="93">
        <v>57.824149867412174</v>
      </c>
      <c r="R239" s="93">
        <v>350.04166038999676</v>
      </c>
      <c r="S239" s="104">
        <v>175.02083019499838</v>
      </c>
      <c r="T239" s="254" t="s">
        <v>107</v>
      </c>
      <c r="U239" s="90">
        <v>0</v>
      </c>
      <c r="V239" s="246">
        <v>0</v>
      </c>
      <c r="W239" s="90">
        <v>0</v>
      </c>
      <c r="X239" s="93">
        <v>0</v>
      </c>
      <c r="Y239" s="93">
        <v>0</v>
      </c>
      <c r="Z239" s="93">
        <v>0</v>
      </c>
      <c r="AA239" s="104">
        <v>0</v>
      </c>
      <c r="AB239" s="250" t="s">
        <v>107</v>
      </c>
      <c r="AC239" s="97">
        <v>0</v>
      </c>
      <c r="AD239" s="252">
        <v>0</v>
      </c>
      <c r="AE239" s="97">
        <v>0</v>
      </c>
      <c r="AF239" s="93">
        <v>0</v>
      </c>
      <c r="AG239" s="93">
        <v>0</v>
      </c>
      <c r="AH239" s="93">
        <v>0</v>
      </c>
      <c r="AI239" s="93">
        <v>0</v>
      </c>
      <c r="AJ239" s="247" t="s">
        <v>49</v>
      </c>
      <c r="AK239" s="246"/>
      <c r="AL239" s="93">
        <v>0</v>
      </c>
      <c r="AM239" s="93">
        <v>0</v>
      </c>
      <c r="AN239" s="254" t="s">
        <v>79</v>
      </c>
      <c r="AO239" s="246">
        <v>1</v>
      </c>
      <c r="AP239" s="92">
        <v>247.57065826940237</v>
      </c>
      <c r="AQ239" s="282">
        <v>368.34192008231287</v>
      </c>
      <c r="AR239" s="93">
        <v>0</v>
      </c>
      <c r="AS239" s="104">
        <v>0</v>
      </c>
      <c r="AT239" s="245">
        <v>1</v>
      </c>
      <c r="AU239" s="260">
        <v>0</v>
      </c>
      <c r="AV239" s="93">
        <v>173.47244960223651</v>
      </c>
      <c r="AW239" s="104">
        <v>525.0624905849952</v>
      </c>
      <c r="AX239" s="93">
        <v>421.04310787163888</v>
      </c>
      <c r="AY239" s="243">
        <v>893.40441066730807</v>
      </c>
    </row>
    <row r="240" spans="1:51" ht="30">
      <c r="A240" s="113" t="s">
        <v>1046</v>
      </c>
      <c r="B240" s="90" t="s">
        <v>974</v>
      </c>
      <c r="C240" s="246" t="s">
        <v>11</v>
      </c>
      <c r="D240" s="246" t="s">
        <v>305</v>
      </c>
      <c r="E240" s="253" t="s">
        <v>156</v>
      </c>
      <c r="F240" s="253" t="s">
        <v>306</v>
      </c>
      <c r="G240" s="253" t="s">
        <v>127</v>
      </c>
      <c r="H240" s="246" t="s">
        <v>109</v>
      </c>
      <c r="I240" s="246" t="s">
        <v>142</v>
      </c>
      <c r="J240" s="246" t="s">
        <v>47</v>
      </c>
      <c r="K240" s="256" t="s">
        <v>49</v>
      </c>
      <c r="L240" s="250" t="s">
        <v>18</v>
      </c>
      <c r="M240" s="90">
        <v>0.33</v>
      </c>
      <c r="N240" s="251">
        <v>4.5</v>
      </c>
      <c r="O240" s="90">
        <v>4.83</v>
      </c>
      <c r="P240" s="93">
        <v>19.081969456246018</v>
      </c>
      <c r="Q240" s="93">
        <v>260.20867440335479</v>
      </c>
      <c r="R240" s="93">
        <v>57.75687396434946</v>
      </c>
      <c r="S240" s="104">
        <v>787.59373587749269</v>
      </c>
      <c r="T240" s="250" t="s">
        <v>18</v>
      </c>
      <c r="U240" s="90">
        <v>0.33</v>
      </c>
      <c r="V240" s="251">
        <v>4.5</v>
      </c>
      <c r="W240" s="90">
        <v>4.83</v>
      </c>
      <c r="X240" s="93">
        <v>19.081969456246018</v>
      </c>
      <c r="Y240" s="93">
        <v>260.20867440335479</v>
      </c>
      <c r="Z240" s="93">
        <v>57.75687396434946</v>
      </c>
      <c r="AA240" s="104">
        <v>787.59373587749269</v>
      </c>
      <c r="AB240" s="250" t="s">
        <v>107</v>
      </c>
      <c r="AC240" s="97">
        <v>0</v>
      </c>
      <c r="AD240" s="252">
        <v>0</v>
      </c>
      <c r="AE240" s="97">
        <v>0</v>
      </c>
      <c r="AF240" s="93">
        <v>0</v>
      </c>
      <c r="AG240" s="93">
        <v>0</v>
      </c>
      <c r="AH240" s="93">
        <v>0</v>
      </c>
      <c r="AI240" s="93">
        <v>0</v>
      </c>
      <c r="AJ240" s="247" t="s">
        <v>49</v>
      </c>
      <c r="AK240" s="246"/>
      <c r="AL240" s="93">
        <v>0</v>
      </c>
      <c r="AM240" s="93">
        <v>0</v>
      </c>
      <c r="AN240" s="254" t="s">
        <v>80</v>
      </c>
      <c r="AO240" s="246">
        <v>1</v>
      </c>
      <c r="AP240" s="92">
        <v>335.59578120963431</v>
      </c>
      <c r="AQ240" s="282">
        <v>499.30793611157964</v>
      </c>
      <c r="AR240" s="93">
        <v>0</v>
      </c>
      <c r="AS240" s="104">
        <v>0</v>
      </c>
      <c r="AT240" s="245">
        <v>1</v>
      </c>
      <c r="AU240" s="260">
        <v>0</v>
      </c>
      <c r="AV240" s="93">
        <v>558.58128771920167</v>
      </c>
      <c r="AW240" s="104">
        <v>1690.7012196836843</v>
      </c>
      <c r="AX240" s="93">
        <v>894.17706892883598</v>
      </c>
      <c r="AY240" s="243">
        <v>2190.0091557952637</v>
      </c>
    </row>
    <row r="241" spans="1:51" ht="30">
      <c r="A241" s="113" t="s">
        <v>1047</v>
      </c>
      <c r="B241" s="90" t="s">
        <v>975</v>
      </c>
      <c r="C241" s="246" t="s">
        <v>11</v>
      </c>
      <c r="D241" s="246" t="s">
        <v>305</v>
      </c>
      <c r="E241" s="253" t="s">
        <v>156</v>
      </c>
      <c r="F241" s="253" t="s">
        <v>306</v>
      </c>
      <c r="G241" s="253" t="s">
        <v>127</v>
      </c>
      <c r="H241" s="246" t="s">
        <v>110</v>
      </c>
      <c r="I241" s="246" t="s">
        <v>142</v>
      </c>
      <c r="J241" s="246" t="s">
        <v>47</v>
      </c>
      <c r="K241" s="256" t="s">
        <v>49</v>
      </c>
      <c r="L241" s="250" t="s">
        <v>18</v>
      </c>
      <c r="M241" s="90">
        <v>2</v>
      </c>
      <c r="N241" s="251">
        <v>4.5</v>
      </c>
      <c r="O241" s="90">
        <v>6.5</v>
      </c>
      <c r="P241" s="93">
        <v>115.64829973482435</v>
      </c>
      <c r="Q241" s="93">
        <v>260.20867440335479</v>
      </c>
      <c r="R241" s="93">
        <v>350.04166038999676</v>
      </c>
      <c r="S241" s="104">
        <v>787.59373587749269</v>
      </c>
      <c r="T241" s="250" t="s">
        <v>18</v>
      </c>
      <c r="U241" s="90">
        <v>2</v>
      </c>
      <c r="V241" s="251">
        <v>4.5</v>
      </c>
      <c r="W241" s="90">
        <v>6.5</v>
      </c>
      <c r="X241" s="93">
        <v>115.64829973482435</v>
      </c>
      <c r="Y241" s="93">
        <v>260.20867440335479</v>
      </c>
      <c r="Z241" s="93">
        <v>350.04166038999676</v>
      </c>
      <c r="AA241" s="104">
        <v>787.59373587749269</v>
      </c>
      <c r="AB241" s="250" t="s">
        <v>107</v>
      </c>
      <c r="AC241" s="97">
        <v>0</v>
      </c>
      <c r="AD241" s="252">
        <v>0</v>
      </c>
      <c r="AE241" s="97">
        <v>0</v>
      </c>
      <c r="AF241" s="93">
        <v>0</v>
      </c>
      <c r="AG241" s="93">
        <v>0</v>
      </c>
      <c r="AH241" s="93">
        <v>0</v>
      </c>
      <c r="AI241" s="93">
        <v>0</v>
      </c>
      <c r="AJ241" s="247" t="s">
        <v>49</v>
      </c>
      <c r="AK241" s="246"/>
      <c r="AL241" s="93">
        <v>0</v>
      </c>
      <c r="AM241" s="93">
        <v>0</v>
      </c>
      <c r="AN241" s="254" t="s">
        <v>80</v>
      </c>
      <c r="AO241" s="246">
        <v>1</v>
      </c>
      <c r="AP241" s="92">
        <v>335.59578120963431</v>
      </c>
      <c r="AQ241" s="282">
        <v>499.30793611157964</v>
      </c>
      <c r="AR241" s="93">
        <v>0</v>
      </c>
      <c r="AS241" s="104">
        <v>0</v>
      </c>
      <c r="AT241" s="245">
        <v>1</v>
      </c>
      <c r="AU241" s="260">
        <v>0</v>
      </c>
      <c r="AV241" s="93">
        <v>751.71394827635822</v>
      </c>
      <c r="AW241" s="104">
        <v>2275.2707925349787</v>
      </c>
      <c r="AX241" s="93">
        <v>1087.3097294859926</v>
      </c>
      <c r="AY241" s="243">
        <v>2774.5787286465584</v>
      </c>
    </row>
    <row r="242" spans="1:51" ht="30">
      <c r="A242" s="113" t="s">
        <v>1048</v>
      </c>
      <c r="B242" s="90" t="s">
        <v>1258</v>
      </c>
      <c r="C242" s="246" t="s">
        <v>11</v>
      </c>
      <c r="D242" s="246" t="s">
        <v>305</v>
      </c>
      <c r="E242" s="253" t="s">
        <v>156</v>
      </c>
      <c r="F242" s="268" t="s">
        <v>307</v>
      </c>
      <c r="G242" s="253" t="s">
        <v>127</v>
      </c>
      <c r="H242" s="246" t="s">
        <v>109</v>
      </c>
      <c r="I242" s="246" t="s">
        <v>142</v>
      </c>
      <c r="J242" s="246" t="s">
        <v>47</v>
      </c>
      <c r="K242" s="256" t="s">
        <v>49</v>
      </c>
      <c r="L242" s="250" t="s">
        <v>18</v>
      </c>
      <c r="M242" s="90">
        <v>0.33</v>
      </c>
      <c r="N242" s="251">
        <v>1</v>
      </c>
      <c r="O242" s="90">
        <v>1.33</v>
      </c>
      <c r="P242" s="93">
        <v>19.081969456246018</v>
      </c>
      <c r="Q242" s="93">
        <v>57.824149867412174</v>
      </c>
      <c r="R242" s="93">
        <v>57.75687396434946</v>
      </c>
      <c r="S242" s="104">
        <v>175.02083019499838</v>
      </c>
      <c r="T242" s="254" t="s">
        <v>107</v>
      </c>
      <c r="U242" s="90">
        <v>0</v>
      </c>
      <c r="V242" s="246">
        <v>0</v>
      </c>
      <c r="W242" s="90">
        <v>0</v>
      </c>
      <c r="X242" s="93">
        <v>0</v>
      </c>
      <c r="Y242" s="93">
        <v>0</v>
      </c>
      <c r="Z242" s="93">
        <v>0</v>
      </c>
      <c r="AA242" s="104">
        <v>0</v>
      </c>
      <c r="AB242" s="250" t="s">
        <v>107</v>
      </c>
      <c r="AC242" s="97">
        <v>0</v>
      </c>
      <c r="AD242" s="252">
        <v>0</v>
      </c>
      <c r="AE242" s="97">
        <v>0</v>
      </c>
      <c r="AF242" s="93">
        <v>0</v>
      </c>
      <c r="AG242" s="93">
        <v>0</v>
      </c>
      <c r="AH242" s="93">
        <v>0</v>
      </c>
      <c r="AI242" s="93">
        <v>0</v>
      </c>
      <c r="AJ242" s="247" t="s">
        <v>49</v>
      </c>
      <c r="AK242" s="246"/>
      <c r="AL242" s="93">
        <v>0</v>
      </c>
      <c r="AM242" s="93">
        <v>0</v>
      </c>
      <c r="AN242" s="254" t="s">
        <v>77</v>
      </c>
      <c r="AO242" s="246">
        <v>1</v>
      </c>
      <c r="AP242" s="92">
        <v>103.42951945477255</v>
      </c>
      <c r="AQ242" s="282">
        <v>153.88506883438851</v>
      </c>
      <c r="AR242" s="93">
        <v>0</v>
      </c>
      <c r="AS242" s="104">
        <v>0</v>
      </c>
      <c r="AT242" s="245">
        <v>1</v>
      </c>
      <c r="AU242" s="260">
        <v>0</v>
      </c>
      <c r="AV242" s="93">
        <v>76.906119323658189</v>
      </c>
      <c r="AW242" s="104">
        <v>232.77770415934785</v>
      </c>
      <c r="AX242" s="93">
        <v>180.33563877843073</v>
      </c>
      <c r="AY242" s="243">
        <v>386.66277299373633</v>
      </c>
    </row>
    <row r="243" spans="1:51" ht="30">
      <c r="A243" s="113" t="s">
        <v>1049</v>
      </c>
      <c r="B243" s="90" t="s">
        <v>1259</v>
      </c>
      <c r="C243" s="246" t="s">
        <v>11</v>
      </c>
      <c r="D243" s="246" t="s">
        <v>305</v>
      </c>
      <c r="E243" s="253" t="s">
        <v>156</v>
      </c>
      <c r="F243" s="268" t="s">
        <v>307</v>
      </c>
      <c r="G243" s="253" t="s">
        <v>127</v>
      </c>
      <c r="H243" s="246" t="s">
        <v>110</v>
      </c>
      <c r="I243" s="246" t="s">
        <v>142</v>
      </c>
      <c r="J243" s="246" t="s">
        <v>47</v>
      </c>
      <c r="K243" s="256" t="s">
        <v>49</v>
      </c>
      <c r="L243" s="250" t="s">
        <v>18</v>
      </c>
      <c r="M243" s="90">
        <v>2</v>
      </c>
      <c r="N243" s="251">
        <v>1</v>
      </c>
      <c r="O243" s="90">
        <v>3</v>
      </c>
      <c r="P243" s="93">
        <v>115.64829973482435</v>
      </c>
      <c r="Q243" s="93">
        <v>57.824149867412174</v>
      </c>
      <c r="R243" s="93">
        <v>350.04166038999676</v>
      </c>
      <c r="S243" s="104">
        <v>175.02083019499838</v>
      </c>
      <c r="T243" s="254" t="s">
        <v>107</v>
      </c>
      <c r="U243" s="90">
        <v>0</v>
      </c>
      <c r="V243" s="246">
        <v>0</v>
      </c>
      <c r="W243" s="90">
        <v>0</v>
      </c>
      <c r="X243" s="93">
        <v>0</v>
      </c>
      <c r="Y243" s="93">
        <v>0</v>
      </c>
      <c r="Z243" s="93">
        <v>0</v>
      </c>
      <c r="AA243" s="104">
        <v>0</v>
      </c>
      <c r="AB243" s="250" t="s">
        <v>107</v>
      </c>
      <c r="AC243" s="97">
        <v>0</v>
      </c>
      <c r="AD243" s="252">
        <v>0</v>
      </c>
      <c r="AE243" s="97">
        <v>0</v>
      </c>
      <c r="AF243" s="93">
        <v>0</v>
      </c>
      <c r="AG243" s="93">
        <v>0</v>
      </c>
      <c r="AH243" s="93">
        <v>0</v>
      </c>
      <c r="AI243" s="93">
        <v>0</v>
      </c>
      <c r="AJ243" s="247" t="s">
        <v>49</v>
      </c>
      <c r="AK243" s="246"/>
      <c r="AL243" s="93">
        <v>0</v>
      </c>
      <c r="AM243" s="93">
        <v>0</v>
      </c>
      <c r="AN243" s="254" t="s">
        <v>77</v>
      </c>
      <c r="AO243" s="246">
        <v>1</v>
      </c>
      <c r="AP243" s="92">
        <v>103.42951945477255</v>
      </c>
      <c r="AQ243" s="282">
        <v>153.88506883438851</v>
      </c>
      <c r="AR243" s="93">
        <v>0</v>
      </c>
      <c r="AS243" s="104">
        <v>0</v>
      </c>
      <c r="AT243" s="245">
        <v>1</v>
      </c>
      <c r="AU243" s="260">
        <v>0</v>
      </c>
      <c r="AV243" s="93">
        <v>173.47244960223651</v>
      </c>
      <c r="AW243" s="104">
        <v>525.0624905849952</v>
      </c>
      <c r="AX243" s="93">
        <v>276.90196905700907</v>
      </c>
      <c r="AY243" s="243">
        <v>678.94755941938365</v>
      </c>
    </row>
    <row r="244" spans="1:51" ht="30">
      <c r="A244" s="113" t="s">
        <v>1050</v>
      </c>
      <c r="B244" s="90" t="s">
        <v>1260</v>
      </c>
      <c r="C244" s="246" t="s">
        <v>11</v>
      </c>
      <c r="D244" s="246" t="s">
        <v>305</v>
      </c>
      <c r="E244" s="253" t="s">
        <v>156</v>
      </c>
      <c r="F244" s="268" t="s">
        <v>308</v>
      </c>
      <c r="G244" s="253" t="s">
        <v>127</v>
      </c>
      <c r="H244" s="246" t="s">
        <v>109</v>
      </c>
      <c r="I244" s="246" t="s">
        <v>142</v>
      </c>
      <c r="J244" s="246" t="s">
        <v>47</v>
      </c>
      <c r="K244" s="256" t="s">
        <v>49</v>
      </c>
      <c r="L244" s="250" t="s">
        <v>18</v>
      </c>
      <c r="M244" s="90">
        <v>0.33</v>
      </c>
      <c r="N244" s="251">
        <v>1</v>
      </c>
      <c r="O244" s="90">
        <v>1.33</v>
      </c>
      <c r="P244" s="93">
        <v>19.081969456246018</v>
      </c>
      <c r="Q244" s="93">
        <v>57.824149867412174</v>
      </c>
      <c r="R244" s="93">
        <v>57.75687396434946</v>
      </c>
      <c r="S244" s="104">
        <v>175.02083019499838</v>
      </c>
      <c r="T244" s="254" t="s">
        <v>107</v>
      </c>
      <c r="U244" s="90">
        <v>0</v>
      </c>
      <c r="V244" s="246">
        <v>0</v>
      </c>
      <c r="W244" s="90">
        <v>0</v>
      </c>
      <c r="X244" s="93">
        <v>0</v>
      </c>
      <c r="Y244" s="93">
        <v>0</v>
      </c>
      <c r="Z244" s="93">
        <v>0</v>
      </c>
      <c r="AA244" s="104">
        <v>0</v>
      </c>
      <c r="AB244" s="250" t="s">
        <v>107</v>
      </c>
      <c r="AC244" s="97">
        <v>0</v>
      </c>
      <c r="AD244" s="252">
        <v>0</v>
      </c>
      <c r="AE244" s="97">
        <v>0</v>
      </c>
      <c r="AF244" s="93">
        <v>0</v>
      </c>
      <c r="AG244" s="93">
        <v>0</v>
      </c>
      <c r="AH244" s="93">
        <v>0</v>
      </c>
      <c r="AI244" s="93">
        <v>0</v>
      </c>
      <c r="AJ244" s="247" t="s">
        <v>49</v>
      </c>
      <c r="AK244" s="246"/>
      <c r="AL244" s="93">
        <v>0</v>
      </c>
      <c r="AM244" s="93">
        <v>0</v>
      </c>
      <c r="AN244" s="254" t="s">
        <v>78</v>
      </c>
      <c r="AO244" s="246">
        <v>1</v>
      </c>
      <c r="AP244" s="92">
        <v>143.04082477787694</v>
      </c>
      <c r="AQ244" s="282">
        <v>212.81977604755855</v>
      </c>
      <c r="AR244" s="93">
        <v>0</v>
      </c>
      <c r="AS244" s="104">
        <v>0</v>
      </c>
      <c r="AT244" s="245">
        <v>1</v>
      </c>
      <c r="AU244" s="260">
        <v>0</v>
      </c>
      <c r="AV244" s="93">
        <v>76.906119323658189</v>
      </c>
      <c r="AW244" s="104">
        <v>232.77770415934785</v>
      </c>
      <c r="AX244" s="93">
        <v>219.94694410153511</v>
      </c>
      <c r="AY244" s="243">
        <v>445.59748020690643</v>
      </c>
    </row>
    <row r="245" spans="1:51" ht="30">
      <c r="A245" s="113" t="s">
        <v>1051</v>
      </c>
      <c r="B245" s="90" t="s">
        <v>1261</v>
      </c>
      <c r="C245" s="246" t="s">
        <v>11</v>
      </c>
      <c r="D245" s="246" t="s">
        <v>305</v>
      </c>
      <c r="E245" s="253" t="s">
        <v>156</v>
      </c>
      <c r="F245" s="268" t="s">
        <v>309</v>
      </c>
      <c r="G245" s="253" t="s">
        <v>127</v>
      </c>
      <c r="H245" s="246" t="s">
        <v>110</v>
      </c>
      <c r="I245" s="246" t="s">
        <v>142</v>
      </c>
      <c r="J245" s="246" t="s">
        <v>47</v>
      </c>
      <c r="K245" s="256" t="s">
        <v>49</v>
      </c>
      <c r="L245" s="250" t="s">
        <v>18</v>
      </c>
      <c r="M245" s="90">
        <v>2</v>
      </c>
      <c r="N245" s="251">
        <v>1</v>
      </c>
      <c r="O245" s="90">
        <v>3</v>
      </c>
      <c r="P245" s="93">
        <v>115.64829973482435</v>
      </c>
      <c r="Q245" s="93">
        <v>57.824149867412174</v>
      </c>
      <c r="R245" s="93">
        <v>350.04166038999676</v>
      </c>
      <c r="S245" s="104">
        <v>175.02083019499838</v>
      </c>
      <c r="T245" s="254" t="s">
        <v>107</v>
      </c>
      <c r="U245" s="90">
        <v>0</v>
      </c>
      <c r="V245" s="246">
        <v>0</v>
      </c>
      <c r="W245" s="90">
        <v>0</v>
      </c>
      <c r="X245" s="93">
        <v>0</v>
      </c>
      <c r="Y245" s="93">
        <v>0</v>
      </c>
      <c r="Z245" s="93">
        <v>0</v>
      </c>
      <c r="AA245" s="104">
        <v>0</v>
      </c>
      <c r="AB245" s="250" t="s">
        <v>107</v>
      </c>
      <c r="AC245" s="97">
        <v>0</v>
      </c>
      <c r="AD245" s="252">
        <v>0</v>
      </c>
      <c r="AE245" s="97">
        <v>0</v>
      </c>
      <c r="AF245" s="93">
        <v>0</v>
      </c>
      <c r="AG245" s="93">
        <v>0</v>
      </c>
      <c r="AH245" s="93">
        <v>0</v>
      </c>
      <c r="AI245" s="93">
        <v>0</v>
      </c>
      <c r="AJ245" s="247" t="s">
        <v>49</v>
      </c>
      <c r="AK245" s="246"/>
      <c r="AL245" s="93">
        <v>0</v>
      </c>
      <c r="AM245" s="93">
        <v>0</v>
      </c>
      <c r="AN245" s="254" t="s">
        <v>78</v>
      </c>
      <c r="AO245" s="246">
        <v>1</v>
      </c>
      <c r="AP245" s="92">
        <v>143.04082477787694</v>
      </c>
      <c r="AQ245" s="282">
        <v>212.81977604755855</v>
      </c>
      <c r="AR245" s="93">
        <v>0</v>
      </c>
      <c r="AS245" s="104">
        <v>0</v>
      </c>
      <c r="AT245" s="245">
        <v>1</v>
      </c>
      <c r="AU245" s="260">
        <v>0</v>
      </c>
      <c r="AV245" s="93">
        <v>173.47244960223651</v>
      </c>
      <c r="AW245" s="104">
        <v>525.0624905849952</v>
      </c>
      <c r="AX245" s="93">
        <v>316.51327438011344</v>
      </c>
      <c r="AY245" s="243">
        <v>737.88226663255375</v>
      </c>
    </row>
    <row r="246" spans="1:51" ht="30">
      <c r="A246" s="113" t="s">
        <v>1052</v>
      </c>
      <c r="B246" s="90" t="s">
        <v>1262</v>
      </c>
      <c r="C246" s="246" t="s">
        <v>11</v>
      </c>
      <c r="D246" s="246" t="s">
        <v>305</v>
      </c>
      <c r="E246" s="253" t="s">
        <v>156</v>
      </c>
      <c r="F246" s="268" t="s">
        <v>310</v>
      </c>
      <c r="G246" s="253" t="s">
        <v>127</v>
      </c>
      <c r="H246" s="246" t="s">
        <v>109</v>
      </c>
      <c r="I246" s="246" t="s">
        <v>142</v>
      </c>
      <c r="J246" s="246" t="s">
        <v>47</v>
      </c>
      <c r="K246" s="256" t="s">
        <v>49</v>
      </c>
      <c r="L246" s="250" t="s">
        <v>18</v>
      </c>
      <c r="M246" s="90">
        <v>0.33</v>
      </c>
      <c r="N246" s="251">
        <v>1</v>
      </c>
      <c r="O246" s="90">
        <v>1.33</v>
      </c>
      <c r="P246" s="93">
        <v>19.081969456246018</v>
      </c>
      <c r="Q246" s="93">
        <v>57.824149867412174</v>
      </c>
      <c r="R246" s="93">
        <v>57.75687396434946</v>
      </c>
      <c r="S246" s="104">
        <v>175.02083019499838</v>
      </c>
      <c r="T246" s="254" t="s">
        <v>107</v>
      </c>
      <c r="U246" s="90">
        <v>0</v>
      </c>
      <c r="V246" s="246">
        <v>0</v>
      </c>
      <c r="W246" s="90">
        <v>0</v>
      </c>
      <c r="X246" s="93">
        <v>0</v>
      </c>
      <c r="Y246" s="93">
        <v>0</v>
      </c>
      <c r="Z246" s="93">
        <v>0</v>
      </c>
      <c r="AA246" s="104">
        <v>0</v>
      </c>
      <c r="AB246" s="250" t="s">
        <v>107</v>
      </c>
      <c r="AC246" s="97">
        <v>0</v>
      </c>
      <c r="AD246" s="252">
        <v>0</v>
      </c>
      <c r="AE246" s="97">
        <v>0</v>
      </c>
      <c r="AF246" s="93">
        <v>0</v>
      </c>
      <c r="AG246" s="93">
        <v>0</v>
      </c>
      <c r="AH246" s="93">
        <v>0</v>
      </c>
      <c r="AI246" s="93">
        <v>0</v>
      </c>
      <c r="AJ246" s="247" t="s">
        <v>49</v>
      </c>
      <c r="AK246" s="246"/>
      <c r="AL246" s="93">
        <v>0</v>
      </c>
      <c r="AM246" s="93">
        <v>0</v>
      </c>
      <c r="AN246" s="254" t="s">
        <v>79</v>
      </c>
      <c r="AO246" s="246">
        <v>1</v>
      </c>
      <c r="AP246" s="92">
        <v>247.57065826940237</v>
      </c>
      <c r="AQ246" s="282">
        <v>368.34192008231287</v>
      </c>
      <c r="AR246" s="93">
        <v>0</v>
      </c>
      <c r="AS246" s="104">
        <v>0</v>
      </c>
      <c r="AT246" s="245">
        <v>1</v>
      </c>
      <c r="AU246" s="260">
        <v>0</v>
      </c>
      <c r="AV246" s="93">
        <v>76.906119323658189</v>
      </c>
      <c r="AW246" s="104">
        <v>232.77770415934785</v>
      </c>
      <c r="AX246" s="93">
        <v>324.47677759306055</v>
      </c>
      <c r="AY246" s="243">
        <v>601.11962424166074</v>
      </c>
    </row>
    <row r="247" spans="1:51" ht="30">
      <c r="A247" s="113" t="s">
        <v>1053</v>
      </c>
      <c r="B247" s="90" t="s">
        <v>1263</v>
      </c>
      <c r="C247" s="246" t="s">
        <v>11</v>
      </c>
      <c r="D247" s="246" t="s">
        <v>305</v>
      </c>
      <c r="E247" s="253" t="s">
        <v>156</v>
      </c>
      <c r="F247" s="268" t="s">
        <v>310</v>
      </c>
      <c r="G247" s="253" t="s">
        <v>127</v>
      </c>
      <c r="H247" s="246" t="s">
        <v>110</v>
      </c>
      <c r="I247" s="246" t="s">
        <v>142</v>
      </c>
      <c r="J247" s="246" t="s">
        <v>47</v>
      </c>
      <c r="K247" s="256" t="s">
        <v>49</v>
      </c>
      <c r="L247" s="250" t="s">
        <v>18</v>
      </c>
      <c r="M247" s="90">
        <v>2</v>
      </c>
      <c r="N247" s="251">
        <v>1</v>
      </c>
      <c r="O247" s="90">
        <v>3</v>
      </c>
      <c r="P247" s="93">
        <v>115.64829973482435</v>
      </c>
      <c r="Q247" s="93">
        <v>57.824149867412174</v>
      </c>
      <c r="R247" s="93">
        <v>350.04166038999676</v>
      </c>
      <c r="S247" s="104">
        <v>175.02083019499838</v>
      </c>
      <c r="T247" s="254" t="s">
        <v>107</v>
      </c>
      <c r="U247" s="90">
        <v>0</v>
      </c>
      <c r="V247" s="246">
        <v>0</v>
      </c>
      <c r="W247" s="90">
        <v>0</v>
      </c>
      <c r="X247" s="93">
        <v>0</v>
      </c>
      <c r="Y247" s="93">
        <v>0</v>
      </c>
      <c r="Z247" s="93">
        <v>0</v>
      </c>
      <c r="AA247" s="104">
        <v>0</v>
      </c>
      <c r="AB247" s="250" t="s">
        <v>107</v>
      </c>
      <c r="AC247" s="97">
        <v>0</v>
      </c>
      <c r="AD247" s="252">
        <v>0</v>
      </c>
      <c r="AE247" s="97">
        <v>0</v>
      </c>
      <c r="AF247" s="93">
        <v>0</v>
      </c>
      <c r="AG247" s="93">
        <v>0</v>
      </c>
      <c r="AH247" s="93">
        <v>0</v>
      </c>
      <c r="AI247" s="93">
        <v>0</v>
      </c>
      <c r="AJ247" s="247" t="s">
        <v>49</v>
      </c>
      <c r="AK247" s="246"/>
      <c r="AL247" s="93">
        <v>0</v>
      </c>
      <c r="AM247" s="93">
        <v>0</v>
      </c>
      <c r="AN247" s="254" t="s">
        <v>79</v>
      </c>
      <c r="AO247" s="246">
        <v>1</v>
      </c>
      <c r="AP247" s="92">
        <v>247.57065826940237</v>
      </c>
      <c r="AQ247" s="282">
        <v>368.34192008231287</v>
      </c>
      <c r="AR247" s="93">
        <v>0</v>
      </c>
      <c r="AS247" s="104">
        <v>0</v>
      </c>
      <c r="AT247" s="245">
        <v>1</v>
      </c>
      <c r="AU247" s="260">
        <v>0</v>
      </c>
      <c r="AV247" s="93">
        <v>173.47244960223651</v>
      </c>
      <c r="AW247" s="104">
        <v>525.0624905849952</v>
      </c>
      <c r="AX247" s="93">
        <v>421.04310787163888</v>
      </c>
      <c r="AY247" s="243">
        <v>893.40441066730807</v>
      </c>
    </row>
    <row r="248" spans="1:51" ht="30">
      <c r="A248" s="113" t="s">
        <v>1054</v>
      </c>
      <c r="B248" s="90" t="s">
        <v>1264</v>
      </c>
      <c r="C248" s="246" t="s">
        <v>11</v>
      </c>
      <c r="D248" s="246" t="s">
        <v>305</v>
      </c>
      <c r="E248" s="253" t="s">
        <v>156</v>
      </c>
      <c r="F248" s="268" t="s">
        <v>311</v>
      </c>
      <c r="G248" s="253" t="s">
        <v>127</v>
      </c>
      <c r="H248" s="246" t="s">
        <v>109</v>
      </c>
      <c r="I248" s="246" t="s">
        <v>142</v>
      </c>
      <c r="J248" s="246" t="s">
        <v>47</v>
      </c>
      <c r="K248" s="256" t="s">
        <v>49</v>
      </c>
      <c r="L248" s="250" t="s">
        <v>18</v>
      </c>
      <c r="M248" s="90">
        <v>0.33</v>
      </c>
      <c r="N248" s="251">
        <v>4.5</v>
      </c>
      <c r="O248" s="90">
        <v>4.83</v>
      </c>
      <c r="P248" s="93">
        <v>19.081969456246018</v>
      </c>
      <c r="Q248" s="93">
        <v>260.20867440335479</v>
      </c>
      <c r="R248" s="93">
        <v>57.75687396434946</v>
      </c>
      <c r="S248" s="104">
        <v>787.59373587749269</v>
      </c>
      <c r="T248" s="250" t="s">
        <v>18</v>
      </c>
      <c r="U248" s="90">
        <v>0.33</v>
      </c>
      <c r="V248" s="251">
        <v>4.5</v>
      </c>
      <c r="W248" s="90">
        <v>4.83</v>
      </c>
      <c r="X248" s="93">
        <v>19.081969456246018</v>
      </c>
      <c r="Y248" s="93">
        <v>260.20867440335479</v>
      </c>
      <c r="Z248" s="93">
        <v>57.75687396434946</v>
      </c>
      <c r="AA248" s="104">
        <v>787.59373587749269</v>
      </c>
      <c r="AB248" s="250" t="s">
        <v>107</v>
      </c>
      <c r="AC248" s="97">
        <v>0</v>
      </c>
      <c r="AD248" s="252">
        <v>0</v>
      </c>
      <c r="AE248" s="97">
        <v>0</v>
      </c>
      <c r="AF248" s="93">
        <v>0</v>
      </c>
      <c r="AG248" s="93">
        <v>0</v>
      </c>
      <c r="AH248" s="93">
        <v>0</v>
      </c>
      <c r="AI248" s="93">
        <v>0</v>
      </c>
      <c r="AJ248" s="247" t="s">
        <v>49</v>
      </c>
      <c r="AK248" s="246"/>
      <c r="AL248" s="93">
        <v>0</v>
      </c>
      <c r="AM248" s="93">
        <v>0</v>
      </c>
      <c r="AN248" s="254" t="s">
        <v>80</v>
      </c>
      <c r="AO248" s="246">
        <v>1</v>
      </c>
      <c r="AP248" s="92">
        <v>335.59578120963431</v>
      </c>
      <c r="AQ248" s="282">
        <v>499.30793611157964</v>
      </c>
      <c r="AR248" s="93">
        <v>0</v>
      </c>
      <c r="AS248" s="104">
        <v>0</v>
      </c>
      <c r="AT248" s="245">
        <v>1</v>
      </c>
      <c r="AU248" s="260">
        <v>0</v>
      </c>
      <c r="AV248" s="93">
        <v>558.58128771920167</v>
      </c>
      <c r="AW248" s="104">
        <v>1690.7012196836843</v>
      </c>
      <c r="AX248" s="93">
        <v>894.17706892883598</v>
      </c>
      <c r="AY248" s="243">
        <v>2190.0091557952637</v>
      </c>
    </row>
    <row r="249" spans="1:51" ht="30">
      <c r="A249" s="113" t="s">
        <v>1055</v>
      </c>
      <c r="B249" s="90" t="s">
        <v>1265</v>
      </c>
      <c r="C249" s="246" t="s">
        <v>11</v>
      </c>
      <c r="D249" s="246" t="s">
        <v>305</v>
      </c>
      <c r="E249" s="253" t="s">
        <v>156</v>
      </c>
      <c r="F249" s="268" t="s">
        <v>311</v>
      </c>
      <c r="G249" s="253" t="s">
        <v>127</v>
      </c>
      <c r="H249" s="246" t="s">
        <v>110</v>
      </c>
      <c r="I249" s="246" t="s">
        <v>142</v>
      </c>
      <c r="J249" s="246" t="s">
        <v>47</v>
      </c>
      <c r="K249" s="256" t="s">
        <v>49</v>
      </c>
      <c r="L249" s="250" t="s">
        <v>18</v>
      </c>
      <c r="M249" s="90">
        <v>2</v>
      </c>
      <c r="N249" s="251">
        <v>4.5</v>
      </c>
      <c r="O249" s="90">
        <v>6.5</v>
      </c>
      <c r="P249" s="93">
        <v>115.64829973482435</v>
      </c>
      <c r="Q249" s="93">
        <v>260.20867440335479</v>
      </c>
      <c r="R249" s="93">
        <v>350.04166038999676</v>
      </c>
      <c r="S249" s="104">
        <v>787.59373587749269</v>
      </c>
      <c r="T249" s="250" t="s">
        <v>18</v>
      </c>
      <c r="U249" s="90">
        <v>2</v>
      </c>
      <c r="V249" s="251">
        <v>4.5</v>
      </c>
      <c r="W249" s="90">
        <v>6.5</v>
      </c>
      <c r="X249" s="93">
        <v>115.64829973482435</v>
      </c>
      <c r="Y249" s="93">
        <v>260.20867440335479</v>
      </c>
      <c r="Z249" s="93">
        <v>350.04166038999676</v>
      </c>
      <c r="AA249" s="104">
        <v>787.59373587749269</v>
      </c>
      <c r="AB249" s="250" t="s">
        <v>107</v>
      </c>
      <c r="AC249" s="97">
        <v>0</v>
      </c>
      <c r="AD249" s="252">
        <v>0</v>
      </c>
      <c r="AE249" s="97">
        <v>0</v>
      </c>
      <c r="AF249" s="93">
        <v>0</v>
      </c>
      <c r="AG249" s="93">
        <v>0</v>
      </c>
      <c r="AH249" s="93">
        <v>0</v>
      </c>
      <c r="AI249" s="93">
        <v>0</v>
      </c>
      <c r="AJ249" s="247" t="s">
        <v>49</v>
      </c>
      <c r="AK249" s="246"/>
      <c r="AL249" s="93">
        <v>0</v>
      </c>
      <c r="AM249" s="93">
        <v>0</v>
      </c>
      <c r="AN249" s="254" t="s">
        <v>80</v>
      </c>
      <c r="AO249" s="246">
        <v>1</v>
      </c>
      <c r="AP249" s="92">
        <v>335.59578120963431</v>
      </c>
      <c r="AQ249" s="282">
        <v>499.30793611157964</v>
      </c>
      <c r="AR249" s="93">
        <v>0</v>
      </c>
      <c r="AS249" s="104">
        <v>0</v>
      </c>
      <c r="AT249" s="245">
        <v>1</v>
      </c>
      <c r="AU249" s="260">
        <v>0</v>
      </c>
      <c r="AV249" s="93">
        <v>751.71394827635822</v>
      </c>
      <c r="AW249" s="104">
        <v>2275.2707925349787</v>
      </c>
      <c r="AX249" s="93">
        <v>1087.3097294859926</v>
      </c>
      <c r="AY249" s="243">
        <v>2774.5787286465584</v>
      </c>
    </row>
    <row r="250" spans="1:51" ht="60">
      <c r="A250" s="113" t="s">
        <v>1056</v>
      </c>
      <c r="B250" s="90" t="s">
        <v>1283</v>
      </c>
      <c r="C250" s="246" t="s">
        <v>11</v>
      </c>
      <c r="D250" s="246" t="s">
        <v>305</v>
      </c>
      <c r="E250" s="253" t="s">
        <v>157</v>
      </c>
      <c r="F250" s="253" t="s">
        <v>1282</v>
      </c>
      <c r="G250" s="253" t="s">
        <v>105</v>
      </c>
      <c r="H250" s="246" t="s">
        <v>109</v>
      </c>
      <c r="I250" s="246" t="s">
        <v>142</v>
      </c>
      <c r="J250" s="246" t="s">
        <v>47</v>
      </c>
      <c r="K250" s="256" t="s">
        <v>49</v>
      </c>
      <c r="L250" s="250" t="s">
        <v>18</v>
      </c>
      <c r="M250" s="90">
        <v>0.33</v>
      </c>
      <c r="N250" s="251">
        <v>0.4</v>
      </c>
      <c r="O250" s="90">
        <v>0.73</v>
      </c>
      <c r="P250" s="93">
        <v>19.081969456246018</v>
      </c>
      <c r="Q250" s="93">
        <v>23.129659946964871</v>
      </c>
      <c r="R250" s="93">
        <v>57.75687396434946</v>
      </c>
      <c r="S250" s="104">
        <v>70.008332077999356</v>
      </c>
      <c r="T250" s="254" t="s">
        <v>107</v>
      </c>
      <c r="U250" s="90">
        <v>0</v>
      </c>
      <c r="V250" s="246">
        <v>0</v>
      </c>
      <c r="W250" s="90">
        <v>0</v>
      </c>
      <c r="X250" s="93">
        <v>0</v>
      </c>
      <c r="Y250" s="93">
        <v>0</v>
      </c>
      <c r="Z250" s="93">
        <v>0</v>
      </c>
      <c r="AA250" s="104">
        <v>0</v>
      </c>
      <c r="AB250" s="250" t="s">
        <v>107</v>
      </c>
      <c r="AC250" s="97">
        <v>0</v>
      </c>
      <c r="AD250" s="252">
        <v>0</v>
      </c>
      <c r="AE250" s="97">
        <v>0</v>
      </c>
      <c r="AF250" s="93">
        <v>0</v>
      </c>
      <c r="AG250" s="93">
        <v>0</v>
      </c>
      <c r="AH250" s="93">
        <v>0</v>
      </c>
      <c r="AI250" s="93">
        <v>0</v>
      </c>
      <c r="AJ250" s="247" t="s">
        <v>49</v>
      </c>
      <c r="AK250" s="246"/>
      <c r="AL250" s="93">
        <v>0</v>
      </c>
      <c r="AM250" s="93">
        <v>0</v>
      </c>
      <c r="AN250" s="254" t="s">
        <v>198</v>
      </c>
      <c r="AO250" s="246">
        <v>1</v>
      </c>
      <c r="AP250" s="92">
        <v>5.501570183764497</v>
      </c>
      <c r="AQ250" s="282">
        <v>8.1853760018291748</v>
      </c>
      <c r="AR250" s="93">
        <v>0</v>
      </c>
      <c r="AS250" s="104">
        <v>0</v>
      </c>
      <c r="AT250" s="245">
        <v>1</v>
      </c>
      <c r="AU250" s="260">
        <v>0</v>
      </c>
      <c r="AV250" s="93">
        <v>42.211629403210893</v>
      </c>
      <c r="AW250" s="104">
        <v>127.76520604234881</v>
      </c>
      <c r="AX250" s="93">
        <v>47.713199586975392</v>
      </c>
      <c r="AY250" s="243">
        <v>135.95058204417799</v>
      </c>
    </row>
    <row r="251" spans="1:51" ht="60">
      <c r="A251" s="113" t="s">
        <v>1057</v>
      </c>
      <c r="B251" s="90" t="s">
        <v>1284</v>
      </c>
      <c r="C251" s="246" t="s">
        <v>11</v>
      </c>
      <c r="D251" s="246" t="s">
        <v>305</v>
      </c>
      <c r="E251" s="253" t="s">
        <v>157</v>
      </c>
      <c r="F251" s="253" t="s">
        <v>1282</v>
      </c>
      <c r="G251" s="253" t="s">
        <v>105</v>
      </c>
      <c r="H251" s="246" t="s">
        <v>110</v>
      </c>
      <c r="I251" s="246" t="s">
        <v>142</v>
      </c>
      <c r="J251" s="246" t="s">
        <v>47</v>
      </c>
      <c r="K251" s="256" t="s">
        <v>49</v>
      </c>
      <c r="L251" s="250" t="s">
        <v>18</v>
      </c>
      <c r="M251" s="90">
        <v>2</v>
      </c>
      <c r="N251" s="251">
        <v>0.4</v>
      </c>
      <c r="O251" s="90">
        <v>2.4</v>
      </c>
      <c r="P251" s="93">
        <v>115.64829973482435</v>
      </c>
      <c r="Q251" s="93">
        <v>23.129659946964871</v>
      </c>
      <c r="R251" s="93">
        <v>350.04166038999676</v>
      </c>
      <c r="S251" s="104">
        <v>70.008332077999356</v>
      </c>
      <c r="T251" s="254" t="s">
        <v>107</v>
      </c>
      <c r="U251" s="90">
        <v>0</v>
      </c>
      <c r="V251" s="246">
        <v>0</v>
      </c>
      <c r="W251" s="90">
        <v>0</v>
      </c>
      <c r="X251" s="93">
        <v>0</v>
      </c>
      <c r="Y251" s="93">
        <v>0</v>
      </c>
      <c r="Z251" s="93">
        <v>0</v>
      </c>
      <c r="AA251" s="104">
        <v>0</v>
      </c>
      <c r="AB251" s="250" t="s">
        <v>107</v>
      </c>
      <c r="AC251" s="97">
        <v>0</v>
      </c>
      <c r="AD251" s="252">
        <v>0</v>
      </c>
      <c r="AE251" s="97">
        <v>0</v>
      </c>
      <c r="AF251" s="93">
        <v>0</v>
      </c>
      <c r="AG251" s="93">
        <v>0</v>
      </c>
      <c r="AH251" s="93">
        <v>0</v>
      </c>
      <c r="AI251" s="93">
        <v>0</v>
      </c>
      <c r="AJ251" s="247" t="s">
        <v>49</v>
      </c>
      <c r="AK251" s="246"/>
      <c r="AL251" s="93">
        <v>0</v>
      </c>
      <c r="AM251" s="93">
        <v>0</v>
      </c>
      <c r="AN251" s="254" t="s">
        <v>198</v>
      </c>
      <c r="AO251" s="246">
        <v>1</v>
      </c>
      <c r="AP251" s="92">
        <v>5.501570183764497</v>
      </c>
      <c r="AQ251" s="282">
        <v>8.1853760018291748</v>
      </c>
      <c r="AR251" s="93">
        <v>0</v>
      </c>
      <c r="AS251" s="104">
        <v>0</v>
      </c>
      <c r="AT251" s="245">
        <v>1</v>
      </c>
      <c r="AU251" s="260">
        <v>0</v>
      </c>
      <c r="AV251" s="93">
        <v>138.77795968178921</v>
      </c>
      <c r="AW251" s="104">
        <v>420.04999246799611</v>
      </c>
      <c r="AX251" s="93">
        <v>144.27952986555371</v>
      </c>
      <c r="AY251" s="243">
        <v>428.23536846982529</v>
      </c>
    </row>
    <row r="252" spans="1:51" ht="60">
      <c r="A252" s="113" t="s">
        <v>1058</v>
      </c>
      <c r="B252" s="90" t="s">
        <v>1285</v>
      </c>
      <c r="C252" s="246" t="s">
        <v>11</v>
      </c>
      <c r="D252" s="246" t="s">
        <v>305</v>
      </c>
      <c r="E252" s="253" t="s">
        <v>157</v>
      </c>
      <c r="F252" s="253" t="s">
        <v>1282</v>
      </c>
      <c r="G252" s="253" t="s">
        <v>111</v>
      </c>
      <c r="H252" s="246" t="s">
        <v>109</v>
      </c>
      <c r="I252" s="246" t="s">
        <v>142</v>
      </c>
      <c r="J252" s="246" t="s">
        <v>47</v>
      </c>
      <c r="K252" s="256" t="s">
        <v>49</v>
      </c>
      <c r="L252" s="250" t="s">
        <v>18</v>
      </c>
      <c r="M252" s="90">
        <v>0.33</v>
      </c>
      <c r="N252" s="251">
        <v>0.88</v>
      </c>
      <c r="O252" s="92">
        <v>1.21</v>
      </c>
      <c r="P252" s="93">
        <v>19.081969456246018</v>
      </c>
      <c r="Q252" s="93">
        <v>50.885251883322717</v>
      </c>
      <c r="R252" s="93">
        <v>57.75687396434946</v>
      </c>
      <c r="S252" s="104">
        <v>154.0183305715986</v>
      </c>
      <c r="T252" s="254" t="s">
        <v>107</v>
      </c>
      <c r="U252" s="90">
        <v>0</v>
      </c>
      <c r="V252" s="246">
        <v>0</v>
      </c>
      <c r="W252" s="92">
        <v>0</v>
      </c>
      <c r="X252" s="93">
        <v>0</v>
      </c>
      <c r="Y252" s="93">
        <v>0</v>
      </c>
      <c r="Z252" s="93">
        <v>0</v>
      </c>
      <c r="AA252" s="104">
        <v>0</v>
      </c>
      <c r="AB252" s="250" t="s">
        <v>107</v>
      </c>
      <c r="AC252" s="97">
        <v>0</v>
      </c>
      <c r="AD252" s="252">
        <v>0</v>
      </c>
      <c r="AE252" s="97">
        <v>0</v>
      </c>
      <c r="AF252" s="93">
        <v>0</v>
      </c>
      <c r="AG252" s="93">
        <v>0</v>
      </c>
      <c r="AH252" s="93">
        <v>0</v>
      </c>
      <c r="AI252" s="93">
        <v>0</v>
      </c>
      <c r="AJ252" s="247" t="s">
        <v>49</v>
      </c>
      <c r="AK252" s="246"/>
      <c r="AL252" s="93">
        <v>0</v>
      </c>
      <c r="AM252" s="93">
        <v>0</v>
      </c>
      <c r="AN252" s="254" t="s">
        <v>198</v>
      </c>
      <c r="AO252" s="246">
        <v>1</v>
      </c>
      <c r="AP252" s="92">
        <v>5.501570183764497</v>
      </c>
      <c r="AQ252" s="282">
        <v>8.1853760018291748</v>
      </c>
      <c r="AR252" s="93">
        <v>0</v>
      </c>
      <c r="AS252" s="104">
        <v>0</v>
      </c>
      <c r="AT252" s="245">
        <v>1</v>
      </c>
      <c r="AU252" s="260">
        <v>0</v>
      </c>
      <c r="AV252" s="93">
        <v>69.967221339568738</v>
      </c>
      <c r="AW252" s="104">
        <v>211.77520453594806</v>
      </c>
      <c r="AX252" s="93">
        <v>75.468791523333238</v>
      </c>
      <c r="AY252" s="243">
        <v>219.96058053777725</v>
      </c>
    </row>
    <row r="253" spans="1:51" ht="60">
      <c r="A253" s="113" t="s">
        <v>1059</v>
      </c>
      <c r="B253" s="90" t="s">
        <v>1286</v>
      </c>
      <c r="C253" s="246" t="s">
        <v>11</v>
      </c>
      <c r="D253" s="246" t="s">
        <v>305</v>
      </c>
      <c r="E253" s="253" t="s">
        <v>157</v>
      </c>
      <c r="F253" s="253" t="s">
        <v>1282</v>
      </c>
      <c r="G253" s="253" t="s">
        <v>111</v>
      </c>
      <c r="H253" s="246" t="s">
        <v>110</v>
      </c>
      <c r="I253" s="246" t="s">
        <v>142</v>
      </c>
      <c r="J253" s="246" t="s">
        <v>47</v>
      </c>
      <c r="K253" s="256" t="s">
        <v>49</v>
      </c>
      <c r="L253" s="250" t="s">
        <v>18</v>
      </c>
      <c r="M253" s="90">
        <v>2</v>
      </c>
      <c r="N253" s="251">
        <v>0.88</v>
      </c>
      <c r="O253" s="92">
        <v>2.88</v>
      </c>
      <c r="P253" s="93">
        <v>115.64829973482435</v>
      </c>
      <c r="Q253" s="93">
        <v>50.885251883322717</v>
      </c>
      <c r="R253" s="93">
        <v>350.04166038999676</v>
      </c>
      <c r="S253" s="104">
        <v>154.0183305715986</v>
      </c>
      <c r="T253" s="254" t="s">
        <v>107</v>
      </c>
      <c r="U253" s="90">
        <v>0</v>
      </c>
      <c r="V253" s="246">
        <v>0</v>
      </c>
      <c r="W253" s="92">
        <v>0</v>
      </c>
      <c r="X253" s="93">
        <v>0</v>
      </c>
      <c r="Y253" s="93">
        <v>0</v>
      </c>
      <c r="Z253" s="93">
        <v>0</v>
      </c>
      <c r="AA253" s="104">
        <v>0</v>
      </c>
      <c r="AB253" s="250" t="s">
        <v>107</v>
      </c>
      <c r="AC253" s="97">
        <v>0</v>
      </c>
      <c r="AD253" s="252">
        <v>0</v>
      </c>
      <c r="AE253" s="97">
        <v>0</v>
      </c>
      <c r="AF253" s="93">
        <v>0</v>
      </c>
      <c r="AG253" s="93">
        <v>0</v>
      </c>
      <c r="AH253" s="93">
        <v>0</v>
      </c>
      <c r="AI253" s="93">
        <v>0</v>
      </c>
      <c r="AJ253" s="247" t="s">
        <v>49</v>
      </c>
      <c r="AK253" s="246"/>
      <c r="AL253" s="93">
        <v>0</v>
      </c>
      <c r="AM253" s="93">
        <v>0</v>
      </c>
      <c r="AN253" s="254" t="s">
        <v>198</v>
      </c>
      <c r="AO253" s="246">
        <v>1</v>
      </c>
      <c r="AP253" s="92">
        <v>5.501570183764497</v>
      </c>
      <c r="AQ253" s="282">
        <v>8.1853760018291748</v>
      </c>
      <c r="AR253" s="93">
        <v>0</v>
      </c>
      <c r="AS253" s="104">
        <v>0</v>
      </c>
      <c r="AT253" s="245">
        <v>1</v>
      </c>
      <c r="AU253" s="260">
        <v>0</v>
      </c>
      <c r="AV253" s="93">
        <v>166.53355161814707</v>
      </c>
      <c r="AW253" s="104">
        <v>504.05999096159536</v>
      </c>
      <c r="AX253" s="93">
        <v>172.03512180191157</v>
      </c>
      <c r="AY253" s="243">
        <v>512.24536696342454</v>
      </c>
    </row>
    <row r="254" spans="1:51" ht="60">
      <c r="A254" s="113" t="s">
        <v>1056</v>
      </c>
      <c r="B254" s="90" t="s">
        <v>976</v>
      </c>
      <c r="C254" s="246" t="s">
        <v>11</v>
      </c>
      <c r="D254" s="246" t="s">
        <v>305</v>
      </c>
      <c r="E254" s="253" t="s">
        <v>157</v>
      </c>
      <c r="F254" s="253" t="s">
        <v>1282</v>
      </c>
      <c r="G254" s="253" t="s">
        <v>112</v>
      </c>
      <c r="H254" s="246" t="s">
        <v>109</v>
      </c>
      <c r="I254" s="246" t="s">
        <v>142</v>
      </c>
      <c r="J254" s="246" t="s">
        <v>113</v>
      </c>
      <c r="K254" s="256" t="s">
        <v>49</v>
      </c>
      <c r="L254" s="250" t="s">
        <v>18</v>
      </c>
      <c r="M254" s="90">
        <v>0.33</v>
      </c>
      <c r="N254" s="251">
        <v>0.4</v>
      </c>
      <c r="O254" s="90">
        <v>0.73</v>
      </c>
      <c r="P254" s="93">
        <v>25.084366852241615</v>
      </c>
      <c r="Q254" s="93">
        <v>30.405293154232261</v>
      </c>
      <c r="R254" s="93">
        <v>75.924794769346875</v>
      </c>
      <c r="S254" s="104">
        <v>92.030054265874995</v>
      </c>
      <c r="T254" s="254" t="s">
        <v>107</v>
      </c>
      <c r="U254" s="90">
        <v>0</v>
      </c>
      <c r="V254" s="246">
        <v>0</v>
      </c>
      <c r="W254" s="92">
        <v>0</v>
      </c>
      <c r="X254" s="93">
        <v>0</v>
      </c>
      <c r="Y254" s="93">
        <v>0</v>
      </c>
      <c r="Z254" s="93">
        <v>0</v>
      </c>
      <c r="AA254" s="104">
        <v>0</v>
      </c>
      <c r="AB254" s="250" t="s">
        <v>107</v>
      </c>
      <c r="AC254" s="97">
        <v>0</v>
      </c>
      <c r="AD254" s="252">
        <v>0</v>
      </c>
      <c r="AE254" s="97">
        <v>0</v>
      </c>
      <c r="AF254" s="93">
        <v>0</v>
      </c>
      <c r="AG254" s="93">
        <v>0</v>
      </c>
      <c r="AH254" s="93">
        <v>0</v>
      </c>
      <c r="AI254" s="93">
        <v>0</v>
      </c>
      <c r="AJ254" s="247" t="s">
        <v>49</v>
      </c>
      <c r="AK254" s="246"/>
      <c r="AL254" s="93">
        <v>0</v>
      </c>
      <c r="AM254" s="93">
        <v>0</v>
      </c>
      <c r="AN254" s="254" t="s">
        <v>198</v>
      </c>
      <c r="AO254" s="246">
        <v>1</v>
      </c>
      <c r="AP254" s="92">
        <v>5.501570183764497</v>
      </c>
      <c r="AQ254" s="282">
        <v>8.1853760018291748</v>
      </c>
      <c r="AR254" s="93">
        <v>0</v>
      </c>
      <c r="AS254" s="104">
        <v>0</v>
      </c>
      <c r="AT254" s="245">
        <v>1</v>
      </c>
      <c r="AU254" s="260">
        <v>0</v>
      </c>
      <c r="AV254" s="93">
        <v>55.489660006473876</v>
      </c>
      <c r="AW254" s="104">
        <v>167.95484903522186</v>
      </c>
      <c r="AX254" s="93">
        <v>60.991230190238376</v>
      </c>
      <c r="AY254" s="243">
        <v>176.14022503705104</v>
      </c>
    </row>
    <row r="255" spans="1:51" ht="60">
      <c r="A255" s="113" t="s">
        <v>1057</v>
      </c>
      <c r="B255" s="90" t="s">
        <v>977</v>
      </c>
      <c r="C255" s="246" t="s">
        <v>11</v>
      </c>
      <c r="D255" s="246" t="s">
        <v>305</v>
      </c>
      <c r="E255" s="253" t="s">
        <v>157</v>
      </c>
      <c r="F255" s="253" t="s">
        <v>1282</v>
      </c>
      <c r="G255" s="253" t="s">
        <v>112</v>
      </c>
      <c r="H255" s="246" t="s">
        <v>110</v>
      </c>
      <c r="I255" s="246" t="s">
        <v>142</v>
      </c>
      <c r="J255" s="246" t="s">
        <v>113</v>
      </c>
      <c r="K255" s="256" t="s">
        <v>49</v>
      </c>
      <c r="L255" s="250" t="s">
        <v>18</v>
      </c>
      <c r="M255" s="90">
        <v>2</v>
      </c>
      <c r="N255" s="251">
        <v>0.4</v>
      </c>
      <c r="O255" s="90">
        <v>2.4</v>
      </c>
      <c r="P255" s="93">
        <v>152.0264657711613</v>
      </c>
      <c r="Q255" s="93">
        <v>30.405293154232261</v>
      </c>
      <c r="R255" s="93">
        <v>460.15027132937496</v>
      </c>
      <c r="S255" s="104">
        <v>92.030054265874995</v>
      </c>
      <c r="T255" s="254" t="s">
        <v>107</v>
      </c>
      <c r="U255" s="90">
        <v>0</v>
      </c>
      <c r="V255" s="246">
        <v>0</v>
      </c>
      <c r="W255" s="92">
        <v>0</v>
      </c>
      <c r="X255" s="93">
        <v>0</v>
      </c>
      <c r="Y255" s="93">
        <v>0</v>
      </c>
      <c r="Z255" s="93">
        <v>0</v>
      </c>
      <c r="AA255" s="104">
        <v>0</v>
      </c>
      <c r="AB255" s="250" t="s">
        <v>107</v>
      </c>
      <c r="AC255" s="97">
        <v>0</v>
      </c>
      <c r="AD255" s="252">
        <v>0</v>
      </c>
      <c r="AE255" s="97">
        <v>0</v>
      </c>
      <c r="AF255" s="93">
        <v>0</v>
      </c>
      <c r="AG255" s="93">
        <v>0</v>
      </c>
      <c r="AH255" s="93">
        <v>0</v>
      </c>
      <c r="AI255" s="93">
        <v>0</v>
      </c>
      <c r="AJ255" s="247" t="s">
        <v>49</v>
      </c>
      <c r="AK255" s="246"/>
      <c r="AL255" s="93">
        <v>0</v>
      </c>
      <c r="AM255" s="93">
        <v>0</v>
      </c>
      <c r="AN255" s="254" t="s">
        <v>198</v>
      </c>
      <c r="AO255" s="246">
        <v>1</v>
      </c>
      <c r="AP255" s="92">
        <v>5.501570183764497</v>
      </c>
      <c r="AQ255" s="282">
        <v>8.1853760018291748</v>
      </c>
      <c r="AR255" s="93">
        <v>0</v>
      </c>
      <c r="AS255" s="104">
        <v>0</v>
      </c>
      <c r="AT255" s="245">
        <v>1</v>
      </c>
      <c r="AU255" s="260">
        <v>0</v>
      </c>
      <c r="AV255" s="93">
        <v>182.43175892539355</v>
      </c>
      <c r="AW255" s="104">
        <v>552.18032559525</v>
      </c>
      <c r="AX255" s="93">
        <v>187.93332910915805</v>
      </c>
      <c r="AY255" s="243">
        <v>560.36570159707912</v>
      </c>
    </row>
    <row r="256" spans="1:51" ht="60">
      <c r="A256" s="113" t="s">
        <v>1058</v>
      </c>
      <c r="B256" s="90" t="s">
        <v>978</v>
      </c>
      <c r="C256" s="246" t="s">
        <v>11</v>
      </c>
      <c r="D256" s="246" t="s">
        <v>305</v>
      </c>
      <c r="E256" s="253" t="s">
        <v>157</v>
      </c>
      <c r="F256" s="253" t="s">
        <v>1282</v>
      </c>
      <c r="G256" s="253" t="s">
        <v>121</v>
      </c>
      <c r="H256" s="246" t="s">
        <v>109</v>
      </c>
      <c r="I256" s="246" t="s">
        <v>142</v>
      </c>
      <c r="J256" s="246" t="s">
        <v>113</v>
      </c>
      <c r="K256" s="256" t="s">
        <v>49</v>
      </c>
      <c r="L256" s="250" t="s">
        <v>18</v>
      </c>
      <c r="M256" s="90">
        <v>0.33</v>
      </c>
      <c r="N256" s="251">
        <v>0.8833333333333333</v>
      </c>
      <c r="O256" s="92">
        <v>1.2133333333333334</v>
      </c>
      <c r="P256" s="93">
        <v>25.084366852241615</v>
      </c>
      <c r="Q256" s="93">
        <v>67.145022382262908</v>
      </c>
      <c r="R256" s="93">
        <v>75.924794769346875</v>
      </c>
      <c r="S256" s="104">
        <v>203.23303650380728</v>
      </c>
      <c r="T256" s="250" t="s">
        <v>107</v>
      </c>
      <c r="U256" s="90">
        <v>0</v>
      </c>
      <c r="V256" s="251">
        <v>0</v>
      </c>
      <c r="W256" s="92">
        <v>0</v>
      </c>
      <c r="X256" s="93">
        <v>0</v>
      </c>
      <c r="Y256" s="93">
        <v>0</v>
      </c>
      <c r="Z256" s="93">
        <v>0</v>
      </c>
      <c r="AA256" s="104">
        <v>0</v>
      </c>
      <c r="AB256" s="250" t="s">
        <v>107</v>
      </c>
      <c r="AC256" s="97">
        <v>0</v>
      </c>
      <c r="AD256" s="252">
        <v>0</v>
      </c>
      <c r="AE256" s="97">
        <v>0</v>
      </c>
      <c r="AF256" s="93">
        <v>0</v>
      </c>
      <c r="AG256" s="93">
        <v>0</v>
      </c>
      <c r="AH256" s="93">
        <v>0</v>
      </c>
      <c r="AI256" s="93">
        <v>0</v>
      </c>
      <c r="AJ256" s="247" t="s">
        <v>49</v>
      </c>
      <c r="AK256" s="246"/>
      <c r="AL256" s="93">
        <v>0</v>
      </c>
      <c r="AM256" s="93">
        <v>0</v>
      </c>
      <c r="AN256" s="254" t="s">
        <v>198</v>
      </c>
      <c r="AO256" s="246">
        <v>1</v>
      </c>
      <c r="AP256" s="92">
        <v>5.501570183764497</v>
      </c>
      <c r="AQ256" s="282">
        <v>8.1853760018291748</v>
      </c>
      <c r="AR256" s="93">
        <v>0</v>
      </c>
      <c r="AS256" s="104">
        <v>0</v>
      </c>
      <c r="AT256" s="245">
        <v>1</v>
      </c>
      <c r="AU256" s="260">
        <v>0</v>
      </c>
      <c r="AV256" s="93">
        <v>92.229389234504524</v>
      </c>
      <c r="AW256" s="104">
        <v>279.15783127315416</v>
      </c>
      <c r="AX256" s="93">
        <v>97.730959418269023</v>
      </c>
      <c r="AY256" s="243">
        <v>287.34320727498334</v>
      </c>
    </row>
    <row r="257" spans="1:51" ht="60">
      <c r="A257" s="113" t="s">
        <v>1059</v>
      </c>
      <c r="B257" s="90" t="s">
        <v>979</v>
      </c>
      <c r="C257" s="246" t="s">
        <v>11</v>
      </c>
      <c r="D257" s="246" t="s">
        <v>305</v>
      </c>
      <c r="E257" s="253" t="s">
        <v>157</v>
      </c>
      <c r="F257" s="253" t="s">
        <v>1282</v>
      </c>
      <c r="G257" s="253" t="s">
        <v>121</v>
      </c>
      <c r="H257" s="246" t="s">
        <v>110</v>
      </c>
      <c r="I257" s="246" t="s">
        <v>142</v>
      </c>
      <c r="J257" s="246" t="s">
        <v>113</v>
      </c>
      <c r="K257" s="256" t="s">
        <v>49</v>
      </c>
      <c r="L257" s="250" t="s">
        <v>18</v>
      </c>
      <c r="M257" s="90">
        <v>2</v>
      </c>
      <c r="N257" s="251">
        <v>0.8833333333333333</v>
      </c>
      <c r="O257" s="92">
        <v>2.8833333333333333</v>
      </c>
      <c r="P257" s="93">
        <v>152.0264657711613</v>
      </c>
      <c r="Q257" s="93">
        <v>67.145022382262908</v>
      </c>
      <c r="R257" s="93">
        <v>460.15027132937496</v>
      </c>
      <c r="S257" s="104">
        <v>203.23303650380728</v>
      </c>
      <c r="T257" s="250" t="s">
        <v>107</v>
      </c>
      <c r="U257" s="90">
        <v>0</v>
      </c>
      <c r="V257" s="251">
        <v>0</v>
      </c>
      <c r="W257" s="92">
        <v>0</v>
      </c>
      <c r="X257" s="93">
        <v>0</v>
      </c>
      <c r="Y257" s="93">
        <v>0</v>
      </c>
      <c r="Z257" s="93">
        <v>0</v>
      </c>
      <c r="AA257" s="104">
        <v>0</v>
      </c>
      <c r="AB257" s="250" t="s">
        <v>107</v>
      </c>
      <c r="AC257" s="97">
        <v>0</v>
      </c>
      <c r="AD257" s="252">
        <v>0</v>
      </c>
      <c r="AE257" s="97">
        <v>0</v>
      </c>
      <c r="AF257" s="93">
        <v>0</v>
      </c>
      <c r="AG257" s="93">
        <v>0</v>
      </c>
      <c r="AH257" s="93">
        <v>0</v>
      </c>
      <c r="AI257" s="93">
        <v>0</v>
      </c>
      <c r="AJ257" s="247" t="s">
        <v>49</v>
      </c>
      <c r="AK257" s="246"/>
      <c r="AL257" s="93">
        <v>0</v>
      </c>
      <c r="AM257" s="93">
        <v>0</v>
      </c>
      <c r="AN257" s="254" t="s">
        <v>198</v>
      </c>
      <c r="AO257" s="246">
        <v>1</v>
      </c>
      <c r="AP257" s="92">
        <v>5.501570183764497</v>
      </c>
      <c r="AQ257" s="282">
        <v>8.1853760018291748</v>
      </c>
      <c r="AR257" s="93">
        <v>0</v>
      </c>
      <c r="AS257" s="104">
        <v>0</v>
      </c>
      <c r="AT257" s="245">
        <v>1</v>
      </c>
      <c r="AU257" s="260">
        <v>0</v>
      </c>
      <c r="AV257" s="93">
        <v>219.17148815342421</v>
      </c>
      <c r="AW257" s="104">
        <v>663.38330783318224</v>
      </c>
      <c r="AX257" s="93">
        <v>224.67305833718871</v>
      </c>
      <c r="AY257" s="243">
        <v>671.56868383501137</v>
      </c>
    </row>
    <row r="258" spans="1:51" ht="30">
      <c r="A258" s="113" t="s">
        <v>1060</v>
      </c>
      <c r="B258" s="90" t="s">
        <v>980</v>
      </c>
      <c r="C258" s="246" t="s">
        <v>11</v>
      </c>
      <c r="D258" s="246" t="s">
        <v>305</v>
      </c>
      <c r="E258" s="253" t="s">
        <v>158</v>
      </c>
      <c r="F258" s="253" t="s">
        <v>246</v>
      </c>
      <c r="G258" s="253" t="s">
        <v>105</v>
      </c>
      <c r="H258" s="246" t="s">
        <v>109</v>
      </c>
      <c r="I258" s="246" t="s">
        <v>142</v>
      </c>
      <c r="J258" s="246" t="s">
        <v>47</v>
      </c>
      <c r="K258" s="256" t="s">
        <v>49</v>
      </c>
      <c r="L258" s="250" t="s">
        <v>18</v>
      </c>
      <c r="M258" s="90">
        <v>0.33</v>
      </c>
      <c r="N258" s="251">
        <v>2.0499999999999998</v>
      </c>
      <c r="O258" s="90">
        <v>2.38</v>
      </c>
      <c r="P258" s="93">
        <v>19.081969456246018</v>
      </c>
      <c r="Q258" s="93">
        <v>118.53950722819495</v>
      </c>
      <c r="R258" s="93">
        <v>57.75687396434946</v>
      </c>
      <c r="S258" s="104">
        <v>358.79270189974665</v>
      </c>
      <c r="T258" s="254" t="s">
        <v>107</v>
      </c>
      <c r="U258" s="90">
        <v>0</v>
      </c>
      <c r="V258" s="246">
        <v>2.0499999999999998</v>
      </c>
      <c r="W258" s="92">
        <v>2.0499999999999998</v>
      </c>
      <c r="X258" s="93">
        <v>0</v>
      </c>
      <c r="Y258" s="93">
        <v>0</v>
      </c>
      <c r="Z258" s="93">
        <v>0</v>
      </c>
      <c r="AA258" s="104">
        <v>0</v>
      </c>
      <c r="AB258" s="250" t="s">
        <v>107</v>
      </c>
      <c r="AC258" s="97">
        <v>0</v>
      </c>
      <c r="AD258" s="252">
        <v>0</v>
      </c>
      <c r="AE258" s="97">
        <v>0</v>
      </c>
      <c r="AF258" s="93">
        <v>0</v>
      </c>
      <c r="AG258" s="93">
        <v>0</v>
      </c>
      <c r="AH258" s="93">
        <v>0</v>
      </c>
      <c r="AI258" s="93">
        <v>0</v>
      </c>
      <c r="AJ258" s="247" t="s">
        <v>49</v>
      </c>
      <c r="AK258" s="246"/>
      <c r="AL258" s="93">
        <v>0</v>
      </c>
      <c r="AM258" s="93">
        <v>0</v>
      </c>
      <c r="AN258" s="254" t="s">
        <v>198</v>
      </c>
      <c r="AO258" s="246">
        <v>1</v>
      </c>
      <c r="AP258" s="92">
        <v>5.501570183764497</v>
      </c>
      <c r="AQ258" s="282">
        <v>8.1853760018291748</v>
      </c>
      <c r="AR258" s="93">
        <v>0</v>
      </c>
      <c r="AS258" s="104">
        <v>0</v>
      </c>
      <c r="AT258" s="245">
        <v>1</v>
      </c>
      <c r="AU258" s="260">
        <v>0</v>
      </c>
      <c r="AV258" s="93">
        <v>137.62147668444098</v>
      </c>
      <c r="AW258" s="104">
        <v>416.54957586409608</v>
      </c>
      <c r="AX258" s="93">
        <v>143.12304686820548</v>
      </c>
      <c r="AY258" s="243">
        <v>424.73495186592527</v>
      </c>
    </row>
    <row r="259" spans="1:51" ht="30">
      <c r="A259" s="113" t="s">
        <v>1061</v>
      </c>
      <c r="B259" s="90" t="s">
        <v>981</v>
      </c>
      <c r="C259" s="246" t="s">
        <v>11</v>
      </c>
      <c r="D259" s="246" t="s">
        <v>305</v>
      </c>
      <c r="E259" s="253" t="s">
        <v>158</v>
      </c>
      <c r="F259" s="253" t="s">
        <v>246</v>
      </c>
      <c r="G259" s="253" t="s">
        <v>105</v>
      </c>
      <c r="H259" s="246" t="s">
        <v>110</v>
      </c>
      <c r="I259" s="246" t="s">
        <v>142</v>
      </c>
      <c r="J259" s="246" t="s">
        <v>47</v>
      </c>
      <c r="K259" s="256" t="s">
        <v>49</v>
      </c>
      <c r="L259" s="250" t="s">
        <v>18</v>
      </c>
      <c r="M259" s="90">
        <v>2</v>
      </c>
      <c r="N259" s="251">
        <v>2.0499999999999998</v>
      </c>
      <c r="O259" s="90">
        <v>4.05</v>
      </c>
      <c r="P259" s="93">
        <v>115.64829973482435</v>
      </c>
      <c r="Q259" s="93">
        <v>118.53950722819495</v>
      </c>
      <c r="R259" s="93">
        <v>350.04166038999676</v>
      </c>
      <c r="S259" s="104">
        <v>358.79270189974665</v>
      </c>
      <c r="T259" s="254" t="s">
        <v>107</v>
      </c>
      <c r="U259" s="90">
        <v>0</v>
      </c>
      <c r="V259" s="246">
        <v>2.0499999999999998</v>
      </c>
      <c r="W259" s="92">
        <v>2.0499999999999998</v>
      </c>
      <c r="X259" s="93">
        <v>0</v>
      </c>
      <c r="Y259" s="93">
        <v>0</v>
      </c>
      <c r="Z259" s="93">
        <v>0</v>
      </c>
      <c r="AA259" s="104">
        <v>0</v>
      </c>
      <c r="AB259" s="250" t="s">
        <v>107</v>
      </c>
      <c r="AC259" s="97">
        <v>0</v>
      </c>
      <c r="AD259" s="252">
        <v>0</v>
      </c>
      <c r="AE259" s="97">
        <v>0</v>
      </c>
      <c r="AF259" s="93">
        <v>0</v>
      </c>
      <c r="AG259" s="93">
        <v>0</v>
      </c>
      <c r="AH259" s="93">
        <v>0</v>
      </c>
      <c r="AI259" s="93">
        <v>0</v>
      </c>
      <c r="AJ259" s="247" t="s">
        <v>49</v>
      </c>
      <c r="AK259" s="246"/>
      <c r="AL259" s="93">
        <v>0</v>
      </c>
      <c r="AM259" s="93">
        <v>0</v>
      </c>
      <c r="AN259" s="254" t="s">
        <v>198</v>
      </c>
      <c r="AO259" s="246">
        <v>1</v>
      </c>
      <c r="AP259" s="92">
        <v>5.501570183764497</v>
      </c>
      <c r="AQ259" s="282">
        <v>8.1853760018291748</v>
      </c>
      <c r="AR259" s="93">
        <v>0</v>
      </c>
      <c r="AS259" s="104">
        <v>0</v>
      </c>
      <c r="AT259" s="245">
        <v>1</v>
      </c>
      <c r="AU259" s="260">
        <v>0</v>
      </c>
      <c r="AV259" s="93">
        <v>234.18780696301928</v>
      </c>
      <c r="AW259" s="104">
        <v>708.83436228974347</v>
      </c>
      <c r="AX259" s="93">
        <v>239.68937714678378</v>
      </c>
      <c r="AY259" s="243">
        <v>717.01973829157259</v>
      </c>
    </row>
    <row r="260" spans="1:51" ht="30">
      <c r="A260" s="113" t="s">
        <v>1062</v>
      </c>
      <c r="B260" s="90" t="s">
        <v>982</v>
      </c>
      <c r="C260" s="246" t="s">
        <v>11</v>
      </c>
      <c r="D260" s="246" t="s">
        <v>305</v>
      </c>
      <c r="E260" s="253" t="s">
        <v>158</v>
      </c>
      <c r="F260" s="253" t="s">
        <v>246</v>
      </c>
      <c r="G260" s="253" t="s">
        <v>111</v>
      </c>
      <c r="H260" s="246" t="s">
        <v>109</v>
      </c>
      <c r="I260" s="246" t="s">
        <v>142</v>
      </c>
      <c r="J260" s="246" t="s">
        <v>47</v>
      </c>
      <c r="K260" s="256" t="s">
        <v>49</v>
      </c>
      <c r="L260" s="250" t="s">
        <v>18</v>
      </c>
      <c r="M260" s="90">
        <v>0.33</v>
      </c>
      <c r="N260" s="251">
        <v>2.1666666666666665</v>
      </c>
      <c r="O260" s="92">
        <v>2.4966666666666666</v>
      </c>
      <c r="P260" s="93">
        <v>19.081969456246018</v>
      </c>
      <c r="Q260" s="93">
        <v>125.28565804605971</v>
      </c>
      <c r="R260" s="93">
        <v>57.75687396434946</v>
      </c>
      <c r="S260" s="104">
        <v>379.21179875582982</v>
      </c>
      <c r="T260" s="250" t="s">
        <v>18</v>
      </c>
      <c r="U260" s="90">
        <v>0.33</v>
      </c>
      <c r="V260" s="251">
        <v>2.1666666666666665</v>
      </c>
      <c r="W260" s="92">
        <v>2.4966666666666666</v>
      </c>
      <c r="X260" s="93">
        <v>19.081969456246018</v>
      </c>
      <c r="Y260" s="93">
        <v>125.28565804605971</v>
      </c>
      <c r="Z260" s="93">
        <v>57.75687396434946</v>
      </c>
      <c r="AA260" s="104">
        <v>379.21179875582982</v>
      </c>
      <c r="AB260" s="250" t="s">
        <v>107</v>
      </c>
      <c r="AC260" s="97">
        <v>0</v>
      </c>
      <c r="AD260" s="252">
        <v>0</v>
      </c>
      <c r="AE260" s="97">
        <v>0</v>
      </c>
      <c r="AF260" s="93">
        <v>0</v>
      </c>
      <c r="AG260" s="93">
        <v>0</v>
      </c>
      <c r="AH260" s="93">
        <v>0</v>
      </c>
      <c r="AI260" s="93">
        <v>0</v>
      </c>
      <c r="AJ260" s="247" t="s">
        <v>49</v>
      </c>
      <c r="AK260" s="246"/>
      <c r="AL260" s="93">
        <v>0</v>
      </c>
      <c r="AM260" s="93">
        <v>0</v>
      </c>
      <c r="AN260" s="254" t="s">
        <v>198</v>
      </c>
      <c r="AO260" s="246">
        <v>1</v>
      </c>
      <c r="AP260" s="92">
        <v>5.501570183764497</v>
      </c>
      <c r="AQ260" s="282">
        <v>8.1853760018291748</v>
      </c>
      <c r="AR260" s="93">
        <v>0</v>
      </c>
      <c r="AS260" s="104">
        <v>0</v>
      </c>
      <c r="AT260" s="245">
        <v>1</v>
      </c>
      <c r="AU260" s="260">
        <v>0</v>
      </c>
      <c r="AV260" s="93">
        <v>288.73525500461147</v>
      </c>
      <c r="AW260" s="104">
        <v>873.93734544035851</v>
      </c>
      <c r="AX260" s="93">
        <v>294.23682518837597</v>
      </c>
      <c r="AY260" s="243">
        <v>882.12272144218764</v>
      </c>
    </row>
    <row r="261" spans="1:51" ht="30">
      <c r="A261" s="113" t="s">
        <v>1063</v>
      </c>
      <c r="B261" s="90" t="s">
        <v>983</v>
      </c>
      <c r="C261" s="246" t="s">
        <v>11</v>
      </c>
      <c r="D261" s="246" t="s">
        <v>305</v>
      </c>
      <c r="E261" s="253" t="s">
        <v>158</v>
      </c>
      <c r="F261" s="253" t="s">
        <v>246</v>
      </c>
      <c r="G261" s="253" t="s">
        <v>111</v>
      </c>
      <c r="H261" s="246" t="s">
        <v>110</v>
      </c>
      <c r="I261" s="246" t="s">
        <v>142</v>
      </c>
      <c r="J261" s="246" t="s">
        <v>47</v>
      </c>
      <c r="K261" s="256" t="s">
        <v>49</v>
      </c>
      <c r="L261" s="250" t="s">
        <v>18</v>
      </c>
      <c r="M261" s="90">
        <v>2</v>
      </c>
      <c r="N261" s="251">
        <v>2.1666666666666665</v>
      </c>
      <c r="O261" s="92">
        <v>4.1666666666666661</v>
      </c>
      <c r="P261" s="93">
        <v>115.64829973482435</v>
      </c>
      <c r="Q261" s="93">
        <v>125.28565804605971</v>
      </c>
      <c r="R261" s="93">
        <v>350.04166038999676</v>
      </c>
      <c r="S261" s="104">
        <v>379.21179875582982</v>
      </c>
      <c r="T261" s="250" t="s">
        <v>18</v>
      </c>
      <c r="U261" s="90">
        <v>2</v>
      </c>
      <c r="V261" s="251">
        <v>2.1666666666666665</v>
      </c>
      <c r="W261" s="92">
        <v>4.1666666666666661</v>
      </c>
      <c r="X261" s="93">
        <v>115.64829973482435</v>
      </c>
      <c r="Y261" s="93">
        <v>125.28565804605971</v>
      </c>
      <c r="Z261" s="93">
        <v>350.04166038999676</v>
      </c>
      <c r="AA261" s="104">
        <v>379.21179875582982</v>
      </c>
      <c r="AB261" s="250" t="s">
        <v>107</v>
      </c>
      <c r="AC261" s="97">
        <v>0</v>
      </c>
      <c r="AD261" s="252">
        <v>0</v>
      </c>
      <c r="AE261" s="97">
        <v>0</v>
      </c>
      <c r="AF261" s="93">
        <v>0</v>
      </c>
      <c r="AG261" s="93">
        <v>0</v>
      </c>
      <c r="AH261" s="93">
        <v>0</v>
      </c>
      <c r="AI261" s="93">
        <v>0</v>
      </c>
      <c r="AJ261" s="247" t="s">
        <v>49</v>
      </c>
      <c r="AK261" s="246"/>
      <c r="AL261" s="93">
        <v>0</v>
      </c>
      <c r="AM261" s="93">
        <v>0</v>
      </c>
      <c r="AN261" s="254" t="s">
        <v>198</v>
      </c>
      <c r="AO261" s="246">
        <v>1</v>
      </c>
      <c r="AP261" s="92">
        <v>5.501570183764497</v>
      </c>
      <c r="AQ261" s="282">
        <v>8.1853760018291748</v>
      </c>
      <c r="AR261" s="93">
        <v>0</v>
      </c>
      <c r="AS261" s="104">
        <v>0</v>
      </c>
      <c r="AT261" s="245">
        <v>1</v>
      </c>
      <c r="AU261" s="260">
        <v>0</v>
      </c>
      <c r="AV261" s="93">
        <v>481.86791556176814</v>
      </c>
      <c r="AW261" s="104">
        <v>1458.5069182916532</v>
      </c>
      <c r="AX261" s="93">
        <v>487.36948574553264</v>
      </c>
      <c r="AY261" s="243">
        <v>1466.6922942934823</v>
      </c>
    </row>
    <row r="262" spans="1:51" ht="45">
      <c r="A262" s="113" t="s">
        <v>1064</v>
      </c>
      <c r="B262" s="90" t="s">
        <v>1266</v>
      </c>
      <c r="C262" s="246" t="s">
        <v>11</v>
      </c>
      <c r="D262" s="246" t="s">
        <v>305</v>
      </c>
      <c r="E262" s="253" t="s">
        <v>159</v>
      </c>
      <c r="F262" s="253" t="s">
        <v>247</v>
      </c>
      <c r="G262" s="253" t="s">
        <v>105</v>
      </c>
      <c r="H262" s="246" t="s">
        <v>109</v>
      </c>
      <c r="I262" s="246" t="s">
        <v>142</v>
      </c>
      <c r="J262" s="246" t="s">
        <v>47</v>
      </c>
      <c r="K262" s="256" t="s">
        <v>49</v>
      </c>
      <c r="L262" s="250" t="s">
        <v>18</v>
      </c>
      <c r="M262" s="90">
        <v>0.33</v>
      </c>
      <c r="N262" s="251">
        <v>0</v>
      </c>
      <c r="O262" s="92">
        <v>0.33</v>
      </c>
      <c r="P262" s="93">
        <v>19.081969456246018</v>
      </c>
      <c r="Q262" s="93">
        <v>0</v>
      </c>
      <c r="R262" s="93">
        <v>57.75687396434946</v>
      </c>
      <c r="S262" s="104">
        <v>0</v>
      </c>
      <c r="T262" s="254" t="s">
        <v>107</v>
      </c>
      <c r="U262" s="90">
        <v>0</v>
      </c>
      <c r="V262" s="246">
        <v>0</v>
      </c>
      <c r="W262" s="92">
        <v>0</v>
      </c>
      <c r="X262" s="93">
        <v>0</v>
      </c>
      <c r="Y262" s="93">
        <v>0</v>
      </c>
      <c r="Z262" s="93">
        <v>0</v>
      </c>
      <c r="AA262" s="104">
        <v>0</v>
      </c>
      <c r="AB262" s="250" t="s">
        <v>107</v>
      </c>
      <c r="AC262" s="97">
        <v>0</v>
      </c>
      <c r="AD262" s="252">
        <v>0</v>
      </c>
      <c r="AE262" s="97">
        <v>0</v>
      </c>
      <c r="AF262" s="93">
        <v>0</v>
      </c>
      <c r="AG262" s="93">
        <v>0</v>
      </c>
      <c r="AH262" s="93">
        <v>0</v>
      </c>
      <c r="AI262" s="93">
        <v>0</v>
      </c>
      <c r="AJ262" s="247" t="s">
        <v>142</v>
      </c>
      <c r="AK262" s="246"/>
      <c r="AL262" s="93">
        <v>50.490518280244338</v>
      </c>
      <c r="AM262" s="93">
        <v>71.137383394587602</v>
      </c>
      <c r="AN262" s="254" t="s">
        <v>198</v>
      </c>
      <c r="AO262" s="246">
        <v>1</v>
      </c>
      <c r="AP262" s="92">
        <v>5.501570183764497</v>
      </c>
      <c r="AQ262" s="282">
        <v>8.1853760018291748</v>
      </c>
      <c r="AR262" s="93">
        <v>0</v>
      </c>
      <c r="AS262" s="104">
        <v>0</v>
      </c>
      <c r="AT262" s="245">
        <v>0.26194145000000002</v>
      </c>
      <c r="AU262" s="260">
        <v>0.73805854999999998</v>
      </c>
      <c r="AV262" s="93">
        <v>42.263317458890427</v>
      </c>
      <c r="AW262" s="104">
        <v>67.632473352692358</v>
      </c>
      <c r="AX262" s="93">
        <v>47.764887642654926</v>
      </c>
      <c r="AY262" s="243">
        <v>75.817849354521528</v>
      </c>
    </row>
    <row r="263" spans="1:51" ht="45">
      <c r="A263" s="113" t="s">
        <v>1065</v>
      </c>
      <c r="B263" s="90" t="s">
        <v>1267</v>
      </c>
      <c r="C263" s="246" t="s">
        <v>11</v>
      </c>
      <c r="D263" s="246" t="s">
        <v>305</v>
      </c>
      <c r="E263" s="253" t="s">
        <v>159</v>
      </c>
      <c r="F263" s="253" t="s">
        <v>247</v>
      </c>
      <c r="G263" s="253" t="s">
        <v>105</v>
      </c>
      <c r="H263" s="246" t="s">
        <v>110</v>
      </c>
      <c r="I263" s="246" t="s">
        <v>142</v>
      </c>
      <c r="J263" s="246" t="s">
        <v>47</v>
      </c>
      <c r="K263" s="256" t="s">
        <v>49</v>
      </c>
      <c r="L263" s="250" t="s">
        <v>18</v>
      </c>
      <c r="M263" s="90">
        <v>2</v>
      </c>
      <c r="N263" s="251">
        <v>0</v>
      </c>
      <c r="O263" s="92">
        <v>2</v>
      </c>
      <c r="P263" s="93">
        <v>115.64829973482435</v>
      </c>
      <c r="Q263" s="93">
        <v>0</v>
      </c>
      <c r="R263" s="93">
        <v>350.04166038999676</v>
      </c>
      <c r="S263" s="104">
        <v>0</v>
      </c>
      <c r="T263" s="254" t="s">
        <v>107</v>
      </c>
      <c r="U263" s="90">
        <v>0</v>
      </c>
      <c r="V263" s="246">
        <v>0</v>
      </c>
      <c r="W263" s="92">
        <v>0</v>
      </c>
      <c r="X263" s="93">
        <v>0</v>
      </c>
      <c r="Y263" s="93">
        <v>0</v>
      </c>
      <c r="Z263" s="93">
        <v>0</v>
      </c>
      <c r="AA263" s="104">
        <v>0</v>
      </c>
      <c r="AB263" s="250" t="s">
        <v>107</v>
      </c>
      <c r="AC263" s="97">
        <v>0</v>
      </c>
      <c r="AD263" s="252">
        <v>0</v>
      </c>
      <c r="AE263" s="97">
        <v>0</v>
      </c>
      <c r="AF263" s="93">
        <v>0</v>
      </c>
      <c r="AG263" s="93">
        <v>0</v>
      </c>
      <c r="AH263" s="93">
        <v>0</v>
      </c>
      <c r="AI263" s="93">
        <v>0</v>
      </c>
      <c r="AJ263" s="247" t="s">
        <v>142</v>
      </c>
      <c r="AK263" s="246"/>
      <c r="AL263" s="93">
        <v>50.490518280244338</v>
      </c>
      <c r="AM263" s="93">
        <v>71.137383394587602</v>
      </c>
      <c r="AN263" s="254" t="s">
        <v>198</v>
      </c>
      <c r="AO263" s="246">
        <v>1</v>
      </c>
      <c r="AP263" s="92">
        <v>5.501570183764497</v>
      </c>
      <c r="AQ263" s="282">
        <v>8.1853760018291748</v>
      </c>
      <c r="AR263" s="93">
        <v>0</v>
      </c>
      <c r="AS263" s="104">
        <v>0</v>
      </c>
      <c r="AT263" s="245">
        <v>0.26194145000000002</v>
      </c>
      <c r="AU263" s="260">
        <v>0.73805854999999998</v>
      </c>
      <c r="AV263" s="93">
        <v>67.558042033240142</v>
      </c>
      <c r="AW263" s="104">
        <v>144.19397412196673</v>
      </c>
      <c r="AX263" s="93">
        <v>73.059612217004641</v>
      </c>
      <c r="AY263" s="243">
        <v>152.37935012379592</v>
      </c>
    </row>
    <row r="264" spans="1:51" ht="45">
      <c r="A264" s="113" t="s">
        <v>1066</v>
      </c>
      <c r="B264" s="90" t="s">
        <v>1268</v>
      </c>
      <c r="C264" s="246" t="s">
        <v>11</v>
      </c>
      <c r="D264" s="246" t="s">
        <v>305</v>
      </c>
      <c r="E264" s="253" t="s">
        <v>159</v>
      </c>
      <c r="F264" s="253" t="s">
        <v>247</v>
      </c>
      <c r="G264" s="253" t="s">
        <v>112</v>
      </c>
      <c r="H264" s="246" t="s">
        <v>109</v>
      </c>
      <c r="I264" s="246" t="s">
        <v>142</v>
      </c>
      <c r="J264" s="246" t="s">
        <v>113</v>
      </c>
      <c r="K264" s="256" t="s">
        <v>49</v>
      </c>
      <c r="L264" s="250" t="s">
        <v>18</v>
      </c>
      <c r="M264" s="90">
        <v>0.33</v>
      </c>
      <c r="N264" s="251">
        <v>0</v>
      </c>
      <c r="O264" s="92">
        <v>0.33</v>
      </c>
      <c r="P264" s="93">
        <v>25.084366852241615</v>
      </c>
      <c r="Q264" s="93">
        <v>0</v>
      </c>
      <c r="R264" s="93">
        <v>75.924794769346875</v>
      </c>
      <c r="S264" s="104">
        <v>0</v>
      </c>
      <c r="T264" s="254" t="s">
        <v>107</v>
      </c>
      <c r="U264" s="90">
        <v>0</v>
      </c>
      <c r="V264" s="246">
        <v>0</v>
      </c>
      <c r="W264" s="92">
        <v>0</v>
      </c>
      <c r="X264" s="93">
        <v>0</v>
      </c>
      <c r="Y264" s="93">
        <v>0</v>
      </c>
      <c r="Z264" s="93">
        <v>0</v>
      </c>
      <c r="AA264" s="104">
        <v>0</v>
      </c>
      <c r="AB264" s="250" t="s">
        <v>107</v>
      </c>
      <c r="AC264" s="97">
        <v>0</v>
      </c>
      <c r="AD264" s="252">
        <v>0</v>
      </c>
      <c r="AE264" s="97">
        <v>0</v>
      </c>
      <c r="AF264" s="93">
        <v>0</v>
      </c>
      <c r="AG264" s="93">
        <v>0</v>
      </c>
      <c r="AH264" s="93">
        <v>0</v>
      </c>
      <c r="AI264" s="93">
        <v>0</v>
      </c>
      <c r="AJ264" s="247" t="s">
        <v>142</v>
      </c>
      <c r="AK264" s="246"/>
      <c r="AL264" s="93">
        <v>103.17182547208077</v>
      </c>
      <c r="AM264" s="93">
        <v>145.36142535495819</v>
      </c>
      <c r="AN264" s="254" t="s">
        <v>198</v>
      </c>
      <c r="AO264" s="246">
        <v>1</v>
      </c>
      <c r="AP264" s="92">
        <v>5.501570183764497</v>
      </c>
      <c r="AQ264" s="282">
        <v>8.1853760018291748</v>
      </c>
      <c r="AR264" s="93">
        <v>0</v>
      </c>
      <c r="AS264" s="104">
        <v>0</v>
      </c>
      <c r="AT264" s="245">
        <v>0.26194145000000002</v>
      </c>
      <c r="AU264" s="260">
        <v>0.73805854999999998</v>
      </c>
      <c r="AV264" s="93">
        <v>82.717483334385093</v>
      </c>
      <c r="AW264" s="104">
        <v>127.17309365624881</v>
      </c>
      <c r="AX264" s="93">
        <v>88.219053518149593</v>
      </c>
      <c r="AY264" s="243">
        <v>135.35846965807798</v>
      </c>
    </row>
    <row r="265" spans="1:51" ht="45">
      <c r="A265" s="113" t="s">
        <v>1067</v>
      </c>
      <c r="B265" s="90" t="s">
        <v>1269</v>
      </c>
      <c r="C265" s="246" t="s">
        <v>11</v>
      </c>
      <c r="D265" s="246" t="s">
        <v>305</v>
      </c>
      <c r="E265" s="253" t="s">
        <v>159</v>
      </c>
      <c r="F265" s="253" t="s">
        <v>247</v>
      </c>
      <c r="G265" s="253" t="s">
        <v>112</v>
      </c>
      <c r="H265" s="246" t="s">
        <v>110</v>
      </c>
      <c r="I265" s="246" t="s">
        <v>142</v>
      </c>
      <c r="J265" s="246" t="s">
        <v>113</v>
      </c>
      <c r="K265" s="256" t="s">
        <v>49</v>
      </c>
      <c r="L265" s="250" t="s">
        <v>18</v>
      </c>
      <c r="M265" s="90">
        <v>2</v>
      </c>
      <c r="N265" s="251">
        <v>0</v>
      </c>
      <c r="O265" s="92">
        <v>2</v>
      </c>
      <c r="P265" s="93">
        <v>152.0264657711613</v>
      </c>
      <c r="Q265" s="93">
        <v>0</v>
      </c>
      <c r="R265" s="93">
        <v>460.15027132937496</v>
      </c>
      <c r="S265" s="104">
        <v>0</v>
      </c>
      <c r="T265" s="254" t="s">
        <v>107</v>
      </c>
      <c r="U265" s="90">
        <v>0</v>
      </c>
      <c r="V265" s="246">
        <v>0</v>
      </c>
      <c r="W265" s="92">
        <v>0</v>
      </c>
      <c r="X265" s="93">
        <v>0</v>
      </c>
      <c r="Y265" s="93">
        <v>0</v>
      </c>
      <c r="Z265" s="93">
        <v>0</v>
      </c>
      <c r="AA265" s="104">
        <v>0</v>
      </c>
      <c r="AB265" s="250" t="s">
        <v>107</v>
      </c>
      <c r="AC265" s="97">
        <v>0</v>
      </c>
      <c r="AD265" s="252">
        <v>0</v>
      </c>
      <c r="AE265" s="97">
        <v>0</v>
      </c>
      <c r="AF265" s="93">
        <v>0</v>
      </c>
      <c r="AG265" s="93">
        <v>0</v>
      </c>
      <c r="AH265" s="93">
        <v>0</v>
      </c>
      <c r="AI265" s="93">
        <v>0</v>
      </c>
      <c r="AJ265" s="247" t="s">
        <v>142</v>
      </c>
      <c r="AK265" s="246"/>
      <c r="AL265" s="93">
        <v>103.17182547208077</v>
      </c>
      <c r="AM265" s="93">
        <v>145.36142535495819</v>
      </c>
      <c r="AN265" s="254" t="s">
        <v>198</v>
      </c>
      <c r="AO265" s="246">
        <v>1</v>
      </c>
      <c r="AP265" s="92">
        <v>5.501570183764497</v>
      </c>
      <c r="AQ265" s="282">
        <v>8.1853760018291748</v>
      </c>
      <c r="AR265" s="93">
        <v>0</v>
      </c>
      <c r="AS265" s="104">
        <v>0</v>
      </c>
      <c r="AT265" s="245">
        <v>0.26194145000000002</v>
      </c>
      <c r="AU265" s="260">
        <v>0.73805854999999998</v>
      </c>
      <c r="AV265" s="93">
        <v>115.96888079125034</v>
      </c>
      <c r="AW265" s="104">
        <v>227.81767211332357</v>
      </c>
      <c r="AX265" s="93">
        <v>121.47045097501484</v>
      </c>
      <c r="AY265" s="243">
        <v>236.00304811515275</v>
      </c>
    </row>
    <row r="266" spans="1:51" ht="45">
      <c r="A266" s="113" t="s">
        <v>1068</v>
      </c>
      <c r="B266" s="90" t="s">
        <v>984</v>
      </c>
      <c r="C266" s="246" t="s">
        <v>11</v>
      </c>
      <c r="D266" s="246" t="s">
        <v>305</v>
      </c>
      <c r="E266" s="253" t="s">
        <v>159</v>
      </c>
      <c r="F266" s="253" t="s">
        <v>247</v>
      </c>
      <c r="G266" s="253" t="s">
        <v>111</v>
      </c>
      <c r="H266" s="246" t="s">
        <v>109</v>
      </c>
      <c r="I266" s="246" t="s">
        <v>142</v>
      </c>
      <c r="J266" s="246" t="s">
        <v>47</v>
      </c>
      <c r="K266" s="256" t="s">
        <v>49</v>
      </c>
      <c r="L266" s="250" t="s">
        <v>18</v>
      </c>
      <c r="M266" s="90">
        <v>0.33</v>
      </c>
      <c r="N266" s="251">
        <v>0.7</v>
      </c>
      <c r="O266" s="90">
        <v>1.03</v>
      </c>
      <c r="P266" s="93">
        <v>19.081969456246018</v>
      </c>
      <c r="Q266" s="93">
        <v>40.476904907188519</v>
      </c>
      <c r="R266" s="93">
        <v>57.75687396434946</v>
      </c>
      <c r="S266" s="104">
        <v>122.51458113649886</v>
      </c>
      <c r="T266" s="250" t="s">
        <v>18</v>
      </c>
      <c r="U266" s="90">
        <v>0.33</v>
      </c>
      <c r="V266" s="251">
        <v>0.7</v>
      </c>
      <c r="W266" s="92">
        <v>1.03</v>
      </c>
      <c r="X266" s="93">
        <v>19.081969456246018</v>
      </c>
      <c r="Y266" s="93">
        <v>40.476904907188519</v>
      </c>
      <c r="Z266" s="93">
        <v>57.75687396434946</v>
      </c>
      <c r="AA266" s="104">
        <v>122.51458113649886</v>
      </c>
      <c r="AB266" s="250" t="s">
        <v>107</v>
      </c>
      <c r="AC266" s="97">
        <v>0</v>
      </c>
      <c r="AD266" s="252">
        <v>0</v>
      </c>
      <c r="AE266" s="97">
        <v>0</v>
      </c>
      <c r="AF266" s="93">
        <v>0</v>
      </c>
      <c r="AG266" s="93">
        <v>0</v>
      </c>
      <c r="AH266" s="93">
        <v>0</v>
      </c>
      <c r="AI266" s="93">
        <v>0</v>
      </c>
      <c r="AJ266" s="247" t="s">
        <v>49</v>
      </c>
      <c r="AK266" s="246"/>
      <c r="AL266" s="93">
        <v>0</v>
      </c>
      <c r="AM266" s="93">
        <v>0</v>
      </c>
      <c r="AN266" s="254" t="s">
        <v>198</v>
      </c>
      <c r="AO266" s="246">
        <v>1</v>
      </c>
      <c r="AP266" s="92">
        <v>5.501570183764497</v>
      </c>
      <c r="AQ266" s="282">
        <v>8.1853760018291748</v>
      </c>
      <c r="AR266" s="93">
        <v>0</v>
      </c>
      <c r="AS266" s="104">
        <v>0</v>
      </c>
      <c r="AT266" s="245">
        <v>1</v>
      </c>
      <c r="AU266" s="260">
        <v>0</v>
      </c>
      <c r="AV266" s="93">
        <v>119.11774872686908</v>
      </c>
      <c r="AW266" s="104">
        <v>360.54291020169666</v>
      </c>
      <c r="AX266" s="93">
        <v>124.61931891063358</v>
      </c>
      <c r="AY266" s="243">
        <v>368.72828620352584</v>
      </c>
    </row>
    <row r="267" spans="1:51" ht="45">
      <c r="A267" s="113" t="s">
        <v>1069</v>
      </c>
      <c r="B267" s="90" t="s">
        <v>985</v>
      </c>
      <c r="C267" s="246" t="s">
        <v>11</v>
      </c>
      <c r="D267" s="246" t="s">
        <v>305</v>
      </c>
      <c r="E267" s="253" t="s">
        <v>159</v>
      </c>
      <c r="F267" s="253" t="s">
        <v>247</v>
      </c>
      <c r="G267" s="253" t="s">
        <v>111</v>
      </c>
      <c r="H267" s="246" t="s">
        <v>110</v>
      </c>
      <c r="I267" s="246" t="s">
        <v>142</v>
      </c>
      <c r="J267" s="246" t="s">
        <v>47</v>
      </c>
      <c r="K267" s="256" t="s">
        <v>49</v>
      </c>
      <c r="L267" s="250" t="s">
        <v>18</v>
      </c>
      <c r="M267" s="90">
        <v>2</v>
      </c>
      <c r="N267" s="251">
        <v>0.7</v>
      </c>
      <c r="O267" s="90">
        <v>2.7</v>
      </c>
      <c r="P267" s="93">
        <v>115.64829973482435</v>
      </c>
      <c r="Q267" s="93">
        <v>40.476904907188519</v>
      </c>
      <c r="R267" s="93">
        <v>350.04166038999676</v>
      </c>
      <c r="S267" s="104">
        <v>122.51458113649886</v>
      </c>
      <c r="T267" s="250" t="s">
        <v>18</v>
      </c>
      <c r="U267" s="90">
        <v>2</v>
      </c>
      <c r="V267" s="251">
        <v>0.7</v>
      </c>
      <c r="W267" s="92">
        <v>2.7</v>
      </c>
      <c r="X267" s="93">
        <v>115.64829973482435</v>
      </c>
      <c r="Y267" s="93">
        <v>40.476904907188519</v>
      </c>
      <c r="Z267" s="93">
        <v>350.04166038999676</v>
      </c>
      <c r="AA267" s="104">
        <v>122.51458113649886</v>
      </c>
      <c r="AB267" s="250" t="s">
        <v>107</v>
      </c>
      <c r="AC267" s="97">
        <v>0</v>
      </c>
      <c r="AD267" s="252">
        <v>0</v>
      </c>
      <c r="AE267" s="97">
        <v>0</v>
      </c>
      <c r="AF267" s="93">
        <v>0</v>
      </c>
      <c r="AG267" s="93">
        <v>0</v>
      </c>
      <c r="AH267" s="93">
        <v>0</v>
      </c>
      <c r="AI267" s="93">
        <v>0</v>
      </c>
      <c r="AJ267" s="247" t="s">
        <v>49</v>
      </c>
      <c r="AK267" s="246"/>
      <c r="AL267" s="93">
        <v>0</v>
      </c>
      <c r="AM267" s="93">
        <v>0</v>
      </c>
      <c r="AN267" s="254" t="s">
        <v>198</v>
      </c>
      <c r="AO267" s="246">
        <v>1</v>
      </c>
      <c r="AP267" s="92">
        <v>5.501570183764497</v>
      </c>
      <c r="AQ267" s="282">
        <v>8.1853760018291748</v>
      </c>
      <c r="AR267" s="93">
        <v>0</v>
      </c>
      <c r="AS267" s="104">
        <v>0</v>
      </c>
      <c r="AT267" s="245">
        <v>1</v>
      </c>
      <c r="AU267" s="260">
        <v>0</v>
      </c>
      <c r="AV267" s="93">
        <v>312.25040928402569</v>
      </c>
      <c r="AW267" s="104">
        <v>945.11248305299137</v>
      </c>
      <c r="AX267" s="93">
        <v>317.75197946779019</v>
      </c>
      <c r="AY267" s="243">
        <v>953.29785905482049</v>
      </c>
    </row>
    <row r="268" spans="1:51" ht="45">
      <c r="A268" s="113" t="s">
        <v>1070</v>
      </c>
      <c r="B268" s="90" t="s">
        <v>986</v>
      </c>
      <c r="C268" s="246" t="s">
        <v>11</v>
      </c>
      <c r="D268" s="246" t="s">
        <v>305</v>
      </c>
      <c r="E268" s="253" t="s">
        <v>159</v>
      </c>
      <c r="F268" s="253" t="s">
        <v>247</v>
      </c>
      <c r="G268" s="253" t="s">
        <v>121</v>
      </c>
      <c r="H268" s="246" t="s">
        <v>109</v>
      </c>
      <c r="I268" s="246" t="s">
        <v>142</v>
      </c>
      <c r="J268" s="246" t="s">
        <v>113</v>
      </c>
      <c r="K268" s="256" t="s">
        <v>49</v>
      </c>
      <c r="L268" s="250" t="s">
        <v>18</v>
      </c>
      <c r="M268" s="90">
        <v>0.33</v>
      </c>
      <c r="N268" s="251">
        <v>0.7</v>
      </c>
      <c r="O268" s="90">
        <v>1.03</v>
      </c>
      <c r="P268" s="93">
        <v>25.084366852241615</v>
      </c>
      <c r="Q268" s="93">
        <v>53.209263019906452</v>
      </c>
      <c r="R268" s="93">
        <v>75.924794769346875</v>
      </c>
      <c r="S268" s="104">
        <v>161.05259496528126</v>
      </c>
      <c r="T268" s="250" t="s">
        <v>18</v>
      </c>
      <c r="U268" s="90">
        <v>0.33</v>
      </c>
      <c r="V268" s="251">
        <v>0.7</v>
      </c>
      <c r="W268" s="92">
        <v>1.03</v>
      </c>
      <c r="X268" s="93">
        <v>25.084366852241615</v>
      </c>
      <c r="Y268" s="93">
        <v>53.209263019906452</v>
      </c>
      <c r="Z268" s="93">
        <v>75.924794769346875</v>
      </c>
      <c r="AA268" s="104">
        <v>161.05259496528126</v>
      </c>
      <c r="AB268" s="250" t="s">
        <v>107</v>
      </c>
      <c r="AC268" s="97">
        <v>0</v>
      </c>
      <c r="AD268" s="252">
        <v>0</v>
      </c>
      <c r="AE268" s="97">
        <v>0</v>
      </c>
      <c r="AF268" s="93">
        <v>0</v>
      </c>
      <c r="AG268" s="93">
        <v>0</v>
      </c>
      <c r="AH268" s="93">
        <v>0</v>
      </c>
      <c r="AI268" s="93">
        <v>0</v>
      </c>
      <c r="AJ268" s="247" t="s">
        <v>49</v>
      </c>
      <c r="AK268" s="246"/>
      <c r="AL268" s="93">
        <v>0</v>
      </c>
      <c r="AM268" s="93">
        <v>0</v>
      </c>
      <c r="AN268" s="254" t="s">
        <v>198</v>
      </c>
      <c r="AO268" s="246">
        <v>1</v>
      </c>
      <c r="AP268" s="92">
        <v>5.501570183764497</v>
      </c>
      <c r="AQ268" s="282">
        <v>8.1853760018291748</v>
      </c>
      <c r="AR268" s="93">
        <v>0</v>
      </c>
      <c r="AS268" s="104">
        <v>0</v>
      </c>
      <c r="AT268" s="245">
        <v>1</v>
      </c>
      <c r="AU268" s="260">
        <v>0</v>
      </c>
      <c r="AV268" s="93">
        <v>156.58725974429615</v>
      </c>
      <c r="AW268" s="104">
        <v>473.95477946925632</v>
      </c>
      <c r="AX268" s="93">
        <v>162.08882992806065</v>
      </c>
      <c r="AY268" s="243">
        <v>482.14015547108551</v>
      </c>
    </row>
    <row r="269" spans="1:51" ht="45">
      <c r="A269" s="113" t="s">
        <v>1071</v>
      </c>
      <c r="B269" s="90" t="s">
        <v>987</v>
      </c>
      <c r="C269" s="246" t="s">
        <v>11</v>
      </c>
      <c r="D269" s="246" t="s">
        <v>305</v>
      </c>
      <c r="E269" s="253" t="s">
        <v>159</v>
      </c>
      <c r="F269" s="253" t="s">
        <v>247</v>
      </c>
      <c r="G269" s="253" t="s">
        <v>121</v>
      </c>
      <c r="H269" s="246" t="s">
        <v>110</v>
      </c>
      <c r="I269" s="246" t="s">
        <v>142</v>
      </c>
      <c r="J269" s="246" t="s">
        <v>113</v>
      </c>
      <c r="K269" s="256" t="s">
        <v>49</v>
      </c>
      <c r="L269" s="250" t="s">
        <v>18</v>
      </c>
      <c r="M269" s="90">
        <v>2</v>
      </c>
      <c r="N269" s="251">
        <v>0.7</v>
      </c>
      <c r="O269" s="90">
        <v>2.7</v>
      </c>
      <c r="P269" s="93">
        <v>152.0264657711613</v>
      </c>
      <c r="Q269" s="93">
        <v>53.209263019906452</v>
      </c>
      <c r="R269" s="93">
        <v>460.15027132937496</v>
      </c>
      <c r="S269" s="104">
        <v>161.05259496528126</v>
      </c>
      <c r="T269" s="250" t="s">
        <v>18</v>
      </c>
      <c r="U269" s="90">
        <v>2</v>
      </c>
      <c r="V269" s="251">
        <v>0.7</v>
      </c>
      <c r="W269" s="92">
        <v>2.7</v>
      </c>
      <c r="X269" s="93">
        <v>152.0264657711613</v>
      </c>
      <c r="Y269" s="93">
        <v>53.209263019906452</v>
      </c>
      <c r="Z269" s="93">
        <v>460.15027132937496</v>
      </c>
      <c r="AA269" s="104">
        <v>161.05259496528126</v>
      </c>
      <c r="AB269" s="250" t="s">
        <v>107</v>
      </c>
      <c r="AC269" s="97">
        <v>0</v>
      </c>
      <c r="AD269" s="252">
        <v>0</v>
      </c>
      <c r="AE269" s="97">
        <v>0</v>
      </c>
      <c r="AF269" s="93">
        <v>0</v>
      </c>
      <c r="AG269" s="93">
        <v>0</v>
      </c>
      <c r="AH269" s="93">
        <v>0</v>
      </c>
      <c r="AI269" s="93">
        <v>0</v>
      </c>
      <c r="AJ269" s="247" t="s">
        <v>49</v>
      </c>
      <c r="AK269" s="246"/>
      <c r="AL269" s="93">
        <v>0</v>
      </c>
      <c r="AM269" s="93">
        <v>0</v>
      </c>
      <c r="AN269" s="254" t="s">
        <v>198</v>
      </c>
      <c r="AO269" s="246">
        <v>1</v>
      </c>
      <c r="AP269" s="92">
        <v>5.501570183764497</v>
      </c>
      <c r="AQ269" s="282">
        <v>8.1853760018291748</v>
      </c>
      <c r="AR269" s="93">
        <v>0</v>
      </c>
      <c r="AS269" s="104">
        <v>0</v>
      </c>
      <c r="AT269" s="245">
        <v>1</v>
      </c>
      <c r="AU269" s="260">
        <v>0</v>
      </c>
      <c r="AV269" s="93">
        <v>410.47145758213554</v>
      </c>
      <c r="AW269" s="104">
        <v>1242.4057325893125</v>
      </c>
      <c r="AX269" s="93">
        <v>415.97302776590004</v>
      </c>
      <c r="AY269" s="243">
        <v>1250.5911085911416</v>
      </c>
    </row>
    <row r="270" spans="1:51" ht="105">
      <c r="A270" s="113" t="s">
        <v>1072</v>
      </c>
      <c r="B270" s="90" t="s">
        <v>988</v>
      </c>
      <c r="C270" s="246" t="s">
        <v>11</v>
      </c>
      <c r="D270" s="246" t="s">
        <v>305</v>
      </c>
      <c r="E270" s="253" t="s">
        <v>159</v>
      </c>
      <c r="F270" s="253" t="s">
        <v>1436</v>
      </c>
      <c r="G270" s="253" t="s">
        <v>127</v>
      </c>
      <c r="H270" s="246" t="s">
        <v>109</v>
      </c>
      <c r="I270" s="246" t="s">
        <v>142</v>
      </c>
      <c r="J270" s="246" t="s">
        <v>47</v>
      </c>
      <c r="K270" s="256" t="s">
        <v>49</v>
      </c>
      <c r="L270" s="250" t="s">
        <v>18</v>
      </c>
      <c r="M270" s="90">
        <v>0.33</v>
      </c>
      <c r="N270" s="251">
        <v>0.43333333333333335</v>
      </c>
      <c r="O270" s="92">
        <v>0.76333333333333342</v>
      </c>
      <c r="P270" s="93">
        <v>19.081969456246018</v>
      </c>
      <c r="Q270" s="93">
        <v>25.057131609211943</v>
      </c>
      <c r="R270" s="93">
        <v>57.75687396434946</v>
      </c>
      <c r="S270" s="104">
        <v>75.842359751165986</v>
      </c>
      <c r="T270" s="254" t="s">
        <v>107</v>
      </c>
      <c r="U270" s="90">
        <v>0</v>
      </c>
      <c r="V270" s="246">
        <v>0</v>
      </c>
      <c r="W270" s="90">
        <v>0</v>
      </c>
      <c r="X270" s="93">
        <v>0</v>
      </c>
      <c r="Y270" s="93">
        <v>0</v>
      </c>
      <c r="Z270" s="93">
        <v>0</v>
      </c>
      <c r="AA270" s="104">
        <v>0</v>
      </c>
      <c r="AB270" s="250" t="s">
        <v>107</v>
      </c>
      <c r="AC270" s="97">
        <v>0</v>
      </c>
      <c r="AD270" s="252">
        <v>0</v>
      </c>
      <c r="AE270" s="97">
        <v>0</v>
      </c>
      <c r="AF270" s="93">
        <v>0</v>
      </c>
      <c r="AG270" s="93">
        <v>0</v>
      </c>
      <c r="AH270" s="93">
        <v>0</v>
      </c>
      <c r="AI270" s="93">
        <v>0</v>
      </c>
      <c r="AJ270" s="247" t="s">
        <v>49</v>
      </c>
      <c r="AK270" s="246"/>
      <c r="AL270" s="93">
        <v>0</v>
      </c>
      <c r="AM270" s="93">
        <v>0</v>
      </c>
      <c r="AN270" s="254" t="s">
        <v>198</v>
      </c>
      <c r="AO270" s="246">
        <v>1</v>
      </c>
      <c r="AP270" s="92">
        <v>5.501570183764497</v>
      </c>
      <c r="AQ270" s="282">
        <v>8.1853760018291748</v>
      </c>
      <c r="AR270" s="93">
        <v>0</v>
      </c>
      <c r="AS270" s="104">
        <v>0</v>
      </c>
      <c r="AT270" s="245">
        <v>1</v>
      </c>
      <c r="AU270" s="260">
        <v>0</v>
      </c>
      <c r="AV270" s="93">
        <v>44.139101065457965</v>
      </c>
      <c r="AW270" s="104">
        <v>133.59923371551545</v>
      </c>
      <c r="AX270" s="93">
        <v>49.640671249222464</v>
      </c>
      <c r="AY270" s="243">
        <v>141.78460971734464</v>
      </c>
    </row>
    <row r="271" spans="1:51" ht="105">
      <c r="A271" s="113" t="s">
        <v>1073</v>
      </c>
      <c r="B271" s="90" t="s">
        <v>989</v>
      </c>
      <c r="C271" s="246" t="s">
        <v>11</v>
      </c>
      <c r="D271" s="246" t="s">
        <v>305</v>
      </c>
      <c r="E271" s="253" t="s">
        <v>159</v>
      </c>
      <c r="F271" s="253" t="s">
        <v>1436</v>
      </c>
      <c r="G271" s="253" t="s">
        <v>127</v>
      </c>
      <c r="H271" s="246" t="s">
        <v>110</v>
      </c>
      <c r="I271" s="246" t="s">
        <v>142</v>
      </c>
      <c r="J271" s="246" t="s">
        <v>47</v>
      </c>
      <c r="K271" s="256" t="s">
        <v>49</v>
      </c>
      <c r="L271" s="250" t="s">
        <v>18</v>
      </c>
      <c r="M271" s="90">
        <v>2</v>
      </c>
      <c r="N271" s="251">
        <v>0.43333333333333335</v>
      </c>
      <c r="O271" s="92">
        <v>2.4333333333333336</v>
      </c>
      <c r="P271" s="93">
        <v>115.64829973482435</v>
      </c>
      <c r="Q271" s="93">
        <v>25.057131609211943</v>
      </c>
      <c r="R271" s="93">
        <v>350.04166038999676</v>
      </c>
      <c r="S271" s="104">
        <v>75.842359751165986</v>
      </c>
      <c r="T271" s="254" t="s">
        <v>107</v>
      </c>
      <c r="U271" s="90">
        <v>0</v>
      </c>
      <c r="V271" s="246">
        <v>0</v>
      </c>
      <c r="W271" s="90">
        <v>0</v>
      </c>
      <c r="X271" s="93">
        <v>0</v>
      </c>
      <c r="Y271" s="93">
        <v>0</v>
      </c>
      <c r="Z271" s="93">
        <v>0</v>
      </c>
      <c r="AA271" s="104">
        <v>0</v>
      </c>
      <c r="AB271" s="250" t="s">
        <v>107</v>
      </c>
      <c r="AC271" s="97">
        <v>0</v>
      </c>
      <c r="AD271" s="252">
        <v>0</v>
      </c>
      <c r="AE271" s="97">
        <v>0</v>
      </c>
      <c r="AF271" s="93">
        <v>0</v>
      </c>
      <c r="AG271" s="93">
        <v>0</v>
      </c>
      <c r="AH271" s="93">
        <v>0</v>
      </c>
      <c r="AI271" s="93">
        <v>0</v>
      </c>
      <c r="AJ271" s="247" t="s">
        <v>49</v>
      </c>
      <c r="AK271" s="246"/>
      <c r="AL271" s="93">
        <v>0</v>
      </c>
      <c r="AM271" s="93">
        <v>0</v>
      </c>
      <c r="AN271" s="254" t="s">
        <v>198</v>
      </c>
      <c r="AO271" s="246">
        <v>1</v>
      </c>
      <c r="AP271" s="92">
        <v>5.501570183764497</v>
      </c>
      <c r="AQ271" s="282">
        <v>8.1853760018291748</v>
      </c>
      <c r="AR271" s="93">
        <v>0</v>
      </c>
      <c r="AS271" s="104">
        <v>0</v>
      </c>
      <c r="AT271" s="245">
        <v>1</v>
      </c>
      <c r="AU271" s="260">
        <v>0</v>
      </c>
      <c r="AV271" s="93">
        <v>140.7054313440363</v>
      </c>
      <c r="AW271" s="104">
        <v>425.88402014116275</v>
      </c>
      <c r="AX271" s="93">
        <v>146.2070015278008</v>
      </c>
      <c r="AY271" s="243">
        <v>434.06939614299193</v>
      </c>
    </row>
    <row r="272" spans="1:51" ht="105">
      <c r="A272" s="113" t="s">
        <v>1074</v>
      </c>
      <c r="B272" s="90" t="s">
        <v>990</v>
      </c>
      <c r="C272" s="246" t="s">
        <v>11</v>
      </c>
      <c r="D272" s="246" t="s">
        <v>305</v>
      </c>
      <c r="E272" s="253" t="s">
        <v>159</v>
      </c>
      <c r="F272" s="253" t="s">
        <v>1436</v>
      </c>
      <c r="G272" s="253" t="s">
        <v>122</v>
      </c>
      <c r="H272" s="246" t="s">
        <v>109</v>
      </c>
      <c r="I272" s="246" t="s">
        <v>142</v>
      </c>
      <c r="J272" s="246" t="s">
        <v>113</v>
      </c>
      <c r="K272" s="256" t="s">
        <v>49</v>
      </c>
      <c r="L272" s="250" t="s">
        <v>18</v>
      </c>
      <c r="M272" s="90">
        <v>0.33</v>
      </c>
      <c r="N272" s="251">
        <v>0.43333333333333335</v>
      </c>
      <c r="O272" s="92">
        <v>0.76333333333333342</v>
      </c>
      <c r="P272" s="93">
        <v>25.084366852241615</v>
      </c>
      <c r="Q272" s="93">
        <v>32.939067583751616</v>
      </c>
      <c r="R272" s="93">
        <v>75.924794769346875</v>
      </c>
      <c r="S272" s="104">
        <v>99.69922545469791</v>
      </c>
      <c r="T272" s="254" t="s">
        <v>107</v>
      </c>
      <c r="U272" s="90">
        <v>0</v>
      </c>
      <c r="V272" s="246">
        <v>0</v>
      </c>
      <c r="W272" s="90">
        <v>0</v>
      </c>
      <c r="X272" s="93">
        <v>0</v>
      </c>
      <c r="Y272" s="93">
        <v>0</v>
      </c>
      <c r="Z272" s="93">
        <v>0</v>
      </c>
      <c r="AA272" s="104">
        <v>0</v>
      </c>
      <c r="AB272" s="250" t="s">
        <v>107</v>
      </c>
      <c r="AC272" s="97">
        <v>0</v>
      </c>
      <c r="AD272" s="252">
        <v>0</v>
      </c>
      <c r="AE272" s="97">
        <v>0</v>
      </c>
      <c r="AF272" s="93">
        <v>0</v>
      </c>
      <c r="AG272" s="93">
        <v>0</v>
      </c>
      <c r="AH272" s="93">
        <v>0</v>
      </c>
      <c r="AI272" s="93">
        <v>0</v>
      </c>
      <c r="AJ272" s="247" t="s">
        <v>49</v>
      </c>
      <c r="AK272" s="246"/>
      <c r="AL272" s="93">
        <v>0</v>
      </c>
      <c r="AM272" s="93">
        <v>0</v>
      </c>
      <c r="AN272" s="254" t="s">
        <v>198</v>
      </c>
      <c r="AO272" s="246">
        <v>1</v>
      </c>
      <c r="AP272" s="92">
        <v>5.501570183764497</v>
      </c>
      <c r="AQ272" s="282">
        <v>8.1853760018291748</v>
      </c>
      <c r="AR272" s="93">
        <v>0</v>
      </c>
      <c r="AS272" s="104">
        <v>0</v>
      </c>
      <c r="AT272" s="245">
        <v>1</v>
      </c>
      <c r="AU272" s="260">
        <v>0</v>
      </c>
      <c r="AV272" s="93">
        <v>58.023434435993231</v>
      </c>
      <c r="AW272" s="104">
        <v>175.62402022404478</v>
      </c>
      <c r="AX272" s="93">
        <v>63.52500461975773</v>
      </c>
      <c r="AY272" s="243">
        <v>183.80939622587397</v>
      </c>
    </row>
    <row r="273" spans="1:51" ht="105">
      <c r="A273" s="113" t="s">
        <v>1075</v>
      </c>
      <c r="B273" s="90" t="s">
        <v>991</v>
      </c>
      <c r="C273" s="246" t="s">
        <v>11</v>
      </c>
      <c r="D273" s="246" t="s">
        <v>305</v>
      </c>
      <c r="E273" s="253" t="s">
        <v>159</v>
      </c>
      <c r="F273" s="253" t="s">
        <v>1436</v>
      </c>
      <c r="G273" s="253" t="s">
        <v>122</v>
      </c>
      <c r="H273" s="246" t="s">
        <v>110</v>
      </c>
      <c r="I273" s="246" t="s">
        <v>142</v>
      </c>
      <c r="J273" s="246" t="s">
        <v>113</v>
      </c>
      <c r="K273" s="256" t="s">
        <v>49</v>
      </c>
      <c r="L273" s="250" t="s">
        <v>18</v>
      </c>
      <c r="M273" s="90">
        <v>2</v>
      </c>
      <c r="N273" s="251">
        <v>0.43333333333333335</v>
      </c>
      <c r="O273" s="92">
        <v>2.4333333333333336</v>
      </c>
      <c r="P273" s="93">
        <v>152.0264657711613</v>
      </c>
      <c r="Q273" s="93">
        <v>32.939067583751616</v>
      </c>
      <c r="R273" s="93">
        <v>460.15027132937496</v>
      </c>
      <c r="S273" s="104">
        <v>99.69922545469791</v>
      </c>
      <c r="T273" s="254" t="s">
        <v>107</v>
      </c>
      <c r="U273" s="90">
        <v>0</v>
      </c>
      <c r="V273" s="246">
        <v>0</v>
      </c>
      <c r="W273" s="90">
        <v>0</v>
      </c>
      <c r="X273" s="93">
        <v>0</v>
      </c>
      <c r="Y273" s="93">
        <v>0</v>
      </c>
      <c r="Z273" s="93">
        <v>0</v>
      </c>
      <c r="AA273" s="104">
        <v>0</v>
      </c>
      <c r="AB273" s="250" t="s">
        <v>107</v>
      </c>
      <c r="AC273" s="97">
        <v>0</v>
      </c>
      <c r="AD273" s="252">
        <v>0</v>
      </c>
      <c r="AE273" s="97">
        <v>0</v>
      </c>
      <c r="AF273" s="93">
        <v>0</v>
      </c>
      <c r="AG273" s="93">
        <v>0</v>
      </c>
      <c r="AH273" s="93">
        <v>0</v>
      </c>
      <c r="AI273" s="93">
        <v>0</v>
      </c>
      <c r="AJ273" s="247" t="s">
        <v>49</v>
      </c>
      <c r="AK273" s="246"/>
      <c r="AL273" s="93">
        <v>0</v>
      </c>
      <c r="AM273" s="93">
        <v>0</v>
      </c>
      <c r="AN273" s="254" t="s">
        <v>198</v>
      </c>
      <c r="AO273" s="246">
        <v>1</v>
      </c>
      <c r="AP273" s="92">
        <v>5.501570183764497</v>
      </c>
      <c r="AQ273" s="282">
        <v>8.1853760018291748</v>
      </c>
      <c r="AR273" s="93">
        <v>0</v>
      </c>
      <c r="AS273" s="104">
        <v>0</v>
      </c>
      <c r="AT273" s="245">
        <v>1</v>
      </c>
      <c r="AU273" s="260">
        <v>0</v>
      </c>
      <c r="AV273" s="93">
        <v>184.96553335491291</v>
      </c>
      <c r="AW273" s="104">
        <v>559.84949678407293</v>
      </c>
      <c r="AX273" s="93">
        <v>190.46710353867741</v>
      </c>
      <c r="AY273" s="243">
        <v>568.03487278590205</v>
      </c>
    </row>
    <row r="274" spans="1:51" ht="105">
      <c r="A274" s="113" t="s">
        <v>1076</v>
      </c>
      <c r="B274" s="90" t="s">
        <v>1270</v>
      </c>
      <c r="C274" s="246" t="s">
        <v>11</v>
      </c>
      <c r="D274" s="246" t="s">
        <v>305</v>
      </c>
      <c r="E274" s="253" t="s">
        <v>159</v>
      </c>
      <c r="F274" s="253" t="s">
        <v>1438</v>
      </c>
      <c r="G274" s="253" t="s">
        <v>127</v>
      </c>
      <c r="H274" s="246" t="s">
        <v>109</v>
      </c>
      <c r="I274" s="246" t="s">
        <v>49</v>
      </c>
      <c r="J274" s="246" t="s">
        <v>47</v>
      </c>
      <c r="K274" s="256" t="s">
        <v>49</v>
      </c>
      <c r="L274" s="250" t="s">
        <v>18</v>
      </c>
      <c r="M274" s="90">
        <v>0</v>
      </c>
      <c r="N274" s="251">
        <v>0.43333333333333335</v>
      </c>
      <c r="O274" s="92">
        <v>0.43333333333333335</v>
      </c>
      <c r="P274" s="93">
        <v>0</v>
      </c>
      <c r="Q274" s="93">
        <v>25.057131609211943</v>
      </c>
      <c r="R274" s="93">
        <v>0</v>
      </c>
      <c r="S274" s="104">
        <v>75.842359751165986</v>
      </c>
      <c r="T274" s="254" t="s">
        <v>107</v>
      </c>
      <c r="U274" s="90">
        <v>0</v>
      </c>
      <c r="V274" s="246">
        <v>0</v>
      </c>
      <c r="W274" s="90">
        <v>0</v>
      </c>
      <c r="X274" s="93">
        <v>0</v>
      </c>
      <c r="Y274" s="93">
        <v>0</v>
      </c>
      <c r="Z274" s="93">
        <v>0</v>
      </c>
      <c r="AA274" s="104">
        <v>0</v>
      </c>
      <c r="AB274" s="250" t="s">
        <v>107</v>
      </c>
      <c r="AC274" s="97">
        <v>0</v>
      </c>
      <c r="AD274" s="252">
        <v>0</v>
      </c>
      <c r="AE274" s="97">
        <v>0</v>
      </c>
      <c r="AF274" s="93">
        <v>0</v>
      </c>
      <c r="AG274" s="93">
        <v>0</v>
      </c>
      <c r="AH274" s="93">
        <v>0</v>
      </c>
      <c r="AI274" s="93">
        <v>0</v>
      </c>
      <c r="AJ274" s="247" t="s">
        <v>49</v>
      </c>
      <c r="AK274" s="246"/>
      <c r="AL274" s="93">
        <v>0</v>
      </c>
      <c r="AM274" s="93">
        <v>0</v>
      </c>
      <c r="AN274" s="254" t="s">
        <v>198</v>
      </c>
      <c r="AO274" s="246">
        <v>1</v>
      </c>
      <c r="AP274" s="92">
        <v>5.501570183764497</v>
      </c>
      <c r="AQ274" s="282">
        <v>8.1853760018291748</v>
      </c>
      <c r="AR274" s="93">
        <v>0</v>
      </c>
      <c r="AS274" s="104">
        <v>0</v>
      </c>
      <c r="AT274" s="245">
        <v>1</v>
      </c>
      <c r="AU274" s="260">
        <v>0</v>
      </c>
      <c r="AV274" s="93">
        <v>25.057131609211943</v>
      </c>
      <c r="AW274" s="104">
        <v>75.842359751165986</v>
      </c>
      <c r="AX274" s="93">
        <v>30.558701792976439</v>
      </c>
      <c r="AY274" s="243">
        <v>84.027735752995156</v>
      </c>
    </row>
    <row r="275" spans="1:51" ht="105">
      <c r="A275" s="113" t="s">
        <v>1077</v>
      </c>
      <c r="B275" s="90" t="s">
        <v>1271</v>
      </c>
      <c r="C275" s="246" t="s">
        <v>11</v>
      </c>
      <c r="D275" s="246" t="s">
        <v>305</v>
      </c>
      <c r="E275" s="253" t="s">
        <v>159</v>
      </c>
      <c r="F275" s="253" t="s">
        <v>1438</v>
      </c>
      <c r="G275" s="253" t="s">
        <v>127</v>
      </c>
      <c r="H275" s="246" t="s">
        <v>110</v>
      </c>
      <c r="I275" s="246" t="s">
        <v>49</v>
      </c>
      <c r="J275" s="246" t="s">
        <v>47</v>
      </c>
      <c r="K275" s="256" t="s">
        <v>49</v>
      </c>
      <c r="L275" s="250" t="s">
        <v>18</v>
      </c>
      <c r="M275" s="90">
        <v>0</v>
      </c>
      <c r="N275" s="251">
        <v>0.43333333333333335</v>
      </c>
      <c r="O275" s="92">
        <v>0.43333333333333335</v>
      </c>
      <c r="P275" s="93">
        <v>0</v>
      </c>
      <c r="Q275" s="93">
        <v>25.057131609211943</v>
      </c>
      <c r="R275" s="93">
        <v>0</v>
      </c>
      <c r="S275" s="104">
        <v>75.842359751165986</v>
      </c>
      <c r="T275" s="254" t="s">
        <v>107</v>
      </c>
      <c r="U275" s="90">
        <v>0</v>
      </c>
      <c r="V275" s="246">
        <v>0</v>
      </c>
      <c r="W275" s="90">
        <v>0</v>
      </c>
      <c r="X275" s="93">
        <v>0</v>
      </c>
      <c r="Y275" s="93">
        <v>0</v>
      </c>
      <c r="Z275" s="93">
        <v>0</v>
      </c>
      <c r="AA275" s="104">
        <v>0</v>
      </c>
      <c r="AB275" s="250" t="s">
        <v>107</v>
      </c>
      <c r="AC275" s="97">
        <v>0</v>
      </c>
      <c r="AD275" s="252">
        <v>0</v>
      </c>
      <c r="AE275" s="97">
        <v>0</v>
      </c>
      <c r="AF275" s="93">
        <v>0</v>
      </c>
      <c r="AG275" s="93">
        <v>0</v>
      </c>
      <c r="AH275" s="93">
        <v>0</v>
      </c>
      <c r="AI275" s="93">
        <v>0</v>
      </c>
      <c r="AJ275" s="247" t="s">
        <v>49</v>
      </c>
      <c r="AK275" s="246"/>
      <c r="AL275" s="93">
        <v>0</v>
      </c>
      <c r="AM275" s="93">
        <v>0</v>
      </c>
      <c r="AN275" s="254" t="s">
        <v>198</v>
      </c>
      <c r="AO275" s="246">
        <v>1</v>
      </c>
      <c r="AP275" s="92">
        <v>5.501570183764497</v>
      </c>
      <c r="AQ275" s="282">
        <v>8.1853760018291748</v>
      </c>
      <c r="AR275" s="93">
        <v>0</v>
      </c>
      <c r="AS275" s="104">
        <v>0</v>
      </c>
      <c r="AT275" s="245">
        <v>1</v>
      </c>
      <c r="AU275" s="260">
        <v>0</v>
      </c>
      <c r="AV275" s="93">
        <v>25.057131609211943</v>
      </c>
      <c r="AW275" s="104">
        <v>75.842359751165986</v>
      </c>
      <c r="AX275" s="93">
        <v>30.558701792976439</v>
      </c>
      <c r="AY275" s="243">
        <v>84.027735752995156</v>
      </c>
    </row>
    <row r="276" spans="1:51" ht="105">
      <c r="A276" s="113" t="s">
        <v>1078</v>
      </c>
      <c r="B276" s="90" t="s">
        <v>1272</v>
      </c>
      <c r="C276" s="246" t="s">
        <v>11</v>
      </c>
      <c r="D276" s="246" t="s">
        <v>305</v>
      </c>
      <c r="E276" s="253" t="s">
        <v>159</v>
      </c>
      <c r="F276" s="253" t="s">
        <v>1438</v>
      </c>
      <c r="G276" s="253" t="s">
        <v>122</v>
      </c>
      <c r="H276" s="246" t="s">
        <v>109</v>
      </c>
      <c r="I276" s="246" t="s">
        <v>49</v>
      </c>
      <c r="J276" s="246" t="s">
        <v>113</v>
      </c>
      <c r="K276" s="256" t="s">
        <v>49</v>
      </c>
      <c r="L276" s="250" t="s">
        <v>18</v>
      </c>
      <c r="M276" s="90">
        <v>0</v>
      </c>
      <c r="N276" s="251">
        <v>0.43333333333333335</v>
      </c>
      <c r="O276" s="92">
        <v>0.43333333333333335</v>
      </c>
      <c r="P276" s="93">
        <v>0</v>
      </c>
      <c r="Q276" s="93">
        <v>32.939067583751616</v>
      </c>
      <c r="R276" s="93">
        <v>0</v>
      </c>
      <c r="S276" s="104">
        <v>99.69922545469791</v>
      </c>
      <c r="T276" s="250" t="s">
        <v>107</v>
      </c>
      <c r="U276" s="90">
        <v>0</v>
      </c>
      <c r="V276" s="251">
        <v>0</v>
      </c>
      <c r="W276" s="92">
        <v>0</v>
      </c>
      <c r="X276" s="93">
        <v>0</v>
      </c>
      <c r="Y276" s="93">
        <v>0</v>
      </c>
      <c r="Z276" s="93">
        <v>0</v>
      </c>
      <c r="AA276" s="104">
        <v>0</v>
      </c>
      <c r="AB276" s="250" t="s">
        <v>107</v>
      </c>
      <c r="AC276" s="97">
        <v>0</v>
      </c>
      <c r="AD276" s="252">
        <v>0</v>
      </c>
      <c r="AE276" s="97">
        <v>0</v>
      </c>
      <c r="AF276" s="93">
        <v>0</v>
      </c>
      <c r="AG276" s="93">
        <v>0</v>
      </c>
      <c r="AH276" s="93">
        <v>0</v>
      </c>
      <c r="AI276" s="93">
        <v>0</v>
      </c>
      <c r="AJ276" s="247" t="s">
        <v>49</v>
      </c>
      <c r="AK276" s="246"/>
      <c r="AL276" s="93">
        <v>0</v>
      </c>
      <c r="AM276" s="93">
        <v>0</v>
      </c>
      <c r="AN276" s="254" t="s">
        <v>198</v>
      </c>
      <c r="AO276" s="246">
        <v>1</v>
      </c>
      <c r="AP276" s="92">
        <v>5.501570183764497</v>
      </c>
      <c r="AQ276" s="282">
        <v>8.1853760018291748</v>
      </c>
      <c r="AR276" s="93">
        <v>0</v>
      </c>
      <c r="AS276" s="104">
        <v>0</v>
      </c>
      <c r="AT276" s="245">
        <v>1</v>
      </c>
      <c r="AU276" s="260">
        <v>0</v>
      </c>
      <c r="AV276" s="93">
        <v>32.939067583751616</v>
      </c>
      <c r="AW276" s="104">
        <v>99.69922545469791</v>
      </c>
      <c r="AX276" s="93">
        <v>38.440637767516115</v>
      </c>
      <c r="AY276" s="243">
        <v>107.88460145652708</v>
      </c>
    </row>
    <row r="277" spans="1:51" ht="105">
      <c r="A277" s="113" t="s">
        <v>1079</v>
      </c>
      <c r="B277" s="90" t="s">
        <v>1273</v>
      </c>
      <c r="C277" s="246" t="s">
        <v>11</v>
      </c>
      <c r="D277" s="246" t="s">
        <v>305</v>
      </c>
      <c r="E277" s="253" t="s">
        <v>159</v>
      </c>
      <c r="F277" s="253" t="s">
        <v>1438</v>
      </c>
      <c r="G277" s="253" t="s">
        <v>122</v>
      </c>
      <c r="H277" s="246" t="s">
        <v>110</v>
      </c>
      <c r="I277" s="246" t="s">
        <v>49</v>
      </c>
      <c r="J277" s="246" t="s">
        <v>113</v>
      </c>
      <c r="K277" s="256" t="s">
        <v>49</v>
      </c>
      <c r="L277" s="250" t="s">
        <v>18</v>
      </c>
      <c r="M277" s="90">
        <v>0</v>
      </c>
      <c r="N277" s="251">
        <v>0.43333333333333335</v>
      </c>
      <c r="O277" s="92">
        <v>0.43333333333333335</v>
      </c>
      <c r="P277" s="93">
        <v>0</v>
      </c>
      <c r="Q277" s="93">
        <v>32.939067583751616</v>
      </c>
      <c r="R277" s="93">
        <v>0</v>
      </c>
      <c r="S277" s="104">
        <v>99.69922545469791</v>
      </c>
      <c r="T277" s="250" t="s">
        <v>107</v>
      </c>
      <c r="U277" s="90">
        <v>0</v>
      </c>
      <c r="V277" s="251">
        <v>0</v>
      </c>
      <c r="W277" s="92">
        <v>0</v>
      </c>
      <c r="X277" s="93">
        <v>0</v>
      </c>
      <c r="Y277" s="93">
        <v>0</v>
      </c>
      <c r="Z277" s="93">
        <v>0</v>
      </c>
      <c r="AA277" s="104">
        <v>0</v>
      </c>
      <c r="AB277" s="250" t="s">
        <v>107</v>
      </c>
      <c r="AC277" s="97">
        <v>0</v>
      </c>
      <c r="AD277" s="252">
        <v>0</v>
      </c>
      <c r="AE277" s="97">
        <v>0</v>
      </c>
      <c r="AF277" s="93">
        <v>0</v>
      </c>
      <c r="AG277" s="93">
        <v>0</v>
      </c>
      <c r="AH277" s="93">
        <v>0</v>
      </c>
      <c r="AI277" s="93">
        <v>0</v>
      </c>
      <c r="AJ277" s="247" t="s">
        <v>49</v>
      </c>
      <c r="AK277" s="246"/>
      <c r="AL277" s="93">
        <v>0</v>
      </c>
      <c r="AM277" s="93">
        <v>0</v>
      </c>
      <c r="AN277" s="254" t="s">
        <v>198</v>
      </c>
      <c r="AO277" s="246">
        <v>1</v>
      </c>
      <c r="AP277" s="92">
        <v>5.501570183764497</v>
      </c>
      <c r="AQ277" s="282">
        <v>8.1853760018291748</v>
      </c>
      <c r="AR277" s="93">
        <v>0</v>
      </c>
      <c r="AS277" s="104">
        <v>0</v>
      </c>
      <c r="AT277" s="245">
        <v>1</v>
      </c>
      <c r="AU277" s="260">
        <v>0</v>
      </c>
      <c r="AV277" s="93">
        <v>32.939067583751616</v>
      </c>
      <c r="AW277" s="104">
        <v>99.69922545469791</v>
      </c>
      <c r="AX277" s="93">
        <v>38.440637767516115</v>
      </c>
      <c r="AY277" s="243">
        <v>107.88460145652708</v>
      </c>
    </row>
    <row r="278" spans="1:51" ht="30">
      <c r="A278" s="113" t="s">
        <v>1080</v>
      </c>
      <c r="B278" s="90" t="s">
        <v>992</v>
      </c>
      <c r="C278" s="246" t="s">
        <v>11</v>
      </c>
      <c r="D278" s="246" t="s">
        <v>305</v>
      </c>
      <c r="E278" s="253" t="s">
        <v>160</v>
      </c>
      <c r="F278" s="253" t="s">
        <v>248</v>
      </c>
      <c r="G278" s="253" t="s">
        <v>105</v>
      </c>
      <c r="H278" s="246" t="s">
        <v>109</v>
      </c>
      <c r="I278" s="246" t="s">
        <v>142</v>
      </c>
      <c r="J278" s="246" t="s">
        <v>47</v>
      </c>
      <c r="K278" s="256" t="s">
        <v>49</v>
      </c>
      <c r="L278" s="250" t="s">
        <v>18</v>
      </c>
      <c r="M278" s="90">
        <v>0.33</v>
      </c>
      <c r="N278" s="251">
        <v>0.45</v>
      </c>
      <c r="O278" s="90">
        <v>0.78</v>
      </c>
      <c r="P278" s="93">
        <v>19.081969456246018</v>
      </c>
      <c r="Q278" s="93">
        <v>26.020867440335479</v>
      </c>
      <c r="R278" s="93">
        <v>57.75687396434946</v>
      </c>
      <c r="S278" s="104">
        <v>78.75937358774928</v>
      </c>
      <c r="T278" s="254" t="s">
        <v>107</v>
      </c>
      <c r="U278" s="90">
        <v>0</v>
      </c>
      <c r="V278" s="246">
        <v>0</v>
      </c>
      <c r="W278" s="90">
        <v>0</v>
      </c>
      <c r="X278" s="93">
        <v>0</v>
      </c>
      <c r="Y278" s="93">
        <v>0</v>
      </c>
      <c r="Z278" s="93">
        <v>0</v>
      </c>
      <c r="AA278" s="104">
        <v>0</v>
      </c>
      <c r="AB278" s="250" t="s">
        <v>107</v>
      </c>
      <c r="AC278" s="97">
        <v>0</v>
      </c>
      <c r="AD278" s="252">
        <v>0</v>
      </c>
      <c r="AE278" s="97">
        <v>0</v>
      </c>
      <c r="AF278" s="93">
        <v>0</v>
      </c>
      <c r="AG278" s="93">
        <v>0</v>
      </c>
      <c r="AH278" s="93">
        <v>0</v>
      </c>
      <c r="AI278" s="93">
        <v>0</v>
      </c>
      <c r="AJ278" s="247" t="s">
        <v>142</v>
      </c>
      <c r="AK278" s="246"/>
      <c r="AL278" s="93">
        <v>50.490518280244338</v>
      </c>
      <c r="AM278" s="93">
        <v>71.137383394587602</v>
      </c>
      <c r="AN278" s="254" t="s">
        <v>198</v>
      </c>
      <c r="AO278" s="246">
        <v>1</v>
      </c>
      <c r="AP278" s="92">
        <v>5.501570183764497</v>
      </c>
      <c r="AQ278" s="282">
        <v>8.1853760018291748</v>
      </c>
      <c r="AR278" s="93">
        <v>0</v>
      </c>
      <c r="AS278" s="104">
        <v>0</v>
      </c>
      <c r="AT278" s="245">
        <v>0.30027756750000001</v>
      </c>
      <c r="AU278" s="260">
        <v>0.69972243249999999</v>
      </c>
      <c r="AV278" s="93">
        <v>48.872718419893019</v>
      </c>
      <c r="AW278" s="104">
        <v>90.76918968971799</v>
      </c>
      <c r="AX278" s="93">
        <v>54.374288603657519</v>
      </c>
      <c r="AY278" s="243">
        <v>98.95456569154716</v>
      </c>
    </row>
    <row r="279" spans="1:51" ht="30">
      <c r="A279" s="113" t="s">
        <v>1081</v>
      </c>
      <c r="B279" s="90" t="s">
        <v>993</v>
      </c>
      <c r="C279" s="246" t="s">
        <v>11</v>
      </c>
      <c r="D279" s="246" t="s">
        <v>305</v>
      </c>
      <c r="E279" s="253" t="s">
        <v>160</v>
      </c>
      <c r="F279" s="253" t="s">
        <v>248</v>
      </c>
      <c r="G279" s="253" t="s">
        <v>105</v>
      </c>
      <c r="H279" s="246" t="s">
        <v>110</v>
      </c>
      <c r="I279" s="246" t="s">
        <v>142</v>
      </c>
      <c r="J279" s="246" t="s">
        <v>47</v>
      </c>
      <c r="K279" s="256" t="s">
        <v>49</v>
      </c>
      <c r="L279" s="250" t="s">
        <v>18</v>
      </c>
      <c r="M279" s="90">
        <v>2</v>
      </c>
      <c r="N279" s="251">
        <v>0.45</v>
      </c>
      <c r="O279" s="90">
        <v>2.4500000000000002</v>
      </c>
      <c r="P279" s="93">
        <v>115.64829973482435</v>
      </c>
      <c r="Q279" s="93">
        <v>26.020867440335479</v>
      </c>
      <c r="R279" s="93">
        <v>350.04166038999676</v>
      </c>
      <c r="S279" s="104">
        <v>78.75937358774928</v>
      </c>
      <c r="T279" s="254" t="s">
        <v>107</v>
      </c>
      <c r="U279" s="90">
        <v>0</v>
      </c>
      <c r="V279" s="246">
        <v>0</v>
      </c>
      <c r="W279" s="90">
        <v>0</v>
      </c>
      <c r="X279" s="93">
        <v>0</v>
      </c>
      <c r="Y279" s="93">
        <v>0</v>
      </c>
      <c r="Z279" s="93">
        <v>0</v>
      </c>
      <c r="AA279" s="104">
        <v>0</v>
      </c>
      <c r="AB279" s="250" t="s">
        <v>107</v>
      </c>
      <c r="AC279" s="97">
        <v>0</v>
      </c>
      <c r="AD279" s="252">
        <v>0</v>
      </c>
      <c r="AE279" s="97">
        <v>0</v>
      </c>
      <c r="AF279" s="93">
        <v>0</v>
      </c>
      <c r="AG279" s="93">
        <v>0</v>
      </c>
      <c r="AH279" s="93">
        <v>0</v>
      </c>
      <c r="AI279" s="93">
        <v>0</v>
      </c>
      <c r="AJ279" s="247" t="s">
        <v>142</v>
      </c>
      <c r="AK279" s="246"/>
      <c r="AL279" s="93">
        <v>50.490518280244338</v>
      </c>
      <c r="AM279" s="93">
        <v>71.137383394587602</v>
      </c>
      <c r="AN279" s="254" t="s">
        <v>198</v>
      </c>
      <c r="AO279" s="246">
        <v>1</v>
      </c>
      <c r="AP279" s="92">
        <v>5.501570183764497</v>
      </c>
      <c r="AQ279" s="282">
        <v>8.1853760018291748</v>
      </c>
      <c r="AR279" s="93">
        <v>0</v>
      </c>
      <c r="AS279" s="104">
        <v>0</v>
      </c>
      <c r="AT279" s="245">
        <v>0.30027756750000001</v>
      </c>
      <c r="AU279" s="260">
        <v>0.69972243249999999</v>
      </c>
      <c r="AV279" s="93">
        <v>77.86942117834613</v>
      </c>
      <c r="AW279" s="104">
        <v>178.53575437486836</v>
      </c>
      <c r="AX279" s="93">
        <v>83.37099136211063</v>
      </c>
      <c r="AY279" s="243">
        <v>186.72113037669754</v>
      </c>
    </row>
    <row r="280" spans="1:51" ht="30">
      <c r="A280" s="113" t="s">
        <v>1082</v>
      </c>
      <c r="B280" s="90" t="s">
        <v>994</v>
      </c>
      <c r="C280" s="246" t="s">
        <v>11</v>
      </c>
      <c r="D280" s="246" t="s">
        <v>305</v>
      </c>
      <c r="E280" s="253" t="s">
        <v>160</v>
      </c>
      <c r="F280" s="253" t="s">
        <v>248</v>
      </c>
      <c r="G280" s="253" t="s">
        <v>112</v>
      </c>
      <c r="H280" s="246" t="s">
        <v>109</v>
      </c>
      <c r="I280" s="246" t="s">
        <v>142</v>
      </c>
      <c r="J280" s="246" t="s">
        <v>113</v>
      </c>
      <c r="K280" s="256" t="s">
        <v>49</v>
      </c>
      <c r="L280" s="250" t="s">
        <v>18</v>
      </c>
      <c r="M280" s="90">
        <v>0.33</v>
      </c>
      <c r="N280" s="251">
        <v>0.45</v>
      </c>
      <c r="O280" s="90">
        <v>0.78</v>
      </c>
      <c r="P280" s="93">
        <v>25.084366852241615</v>
      </c>
      <c r="Q280" s="93">
        <v>34.205954798511293</v>
      </c>
      <c r="R280" s="93">
        <v>75.924794769346875</v>
      </c>
      <c r="S280" s="104">
        <v>103.53381104910936</v>
      </c>
      <c r="T280" s="254" t="s">
        <v>107</v>
      </c>
      <c r="U280" s="90">
        <v>0</v>
      </c>
      <c r="V280" s="246">
        <v>0</v>
      </c>
      <c r="W280" s="90">
        <v>0</v>
      </c>
      <c r="X280" s="93">
        <v>0</v>
      </c>
      <c r="Y280" s="93">
        <v>0</v>
      </c>
      <c r="Z280" s="93">
        <v>0</v>
      </c>
      <c r="AA280" s="104">
        <v>0</v>
      </c>
      <c r="AB280" s="250" t="s">
        <v>107</v>
      </c>
      <c r="AC280" s="97">
        <v>0</v>
      </c>
      <c r="AD280" s="252">
        <v>0</v>
      </c>
      <c r="AE280" s="97">
        <v>0</v>
      </c>
      <c r="AF280" s="93">
        <v>0</v>
      </c>
      <c r="AG280" s="93">
        <v>0</v>
      </c>
      <c r="AH280" s="93">
        <v>0</v>
      </c>
      <c r="AI280" s="93">
        <v>0</v>
      </c>
      <c r="AJ280" s="247" t="s">
        <v>142</v>
      </c>
      <c r="AK280" s="246"/>
      <c r="AL280" s="93">
        <v>103.17182547208077</v>
      </c>
      <c r="AM280" s="93">
        <v>145.36142535495819</v>
      </c>
      <c r="AN280" s="254" t="s">
        <v>198</v>
      </c>
      <c r="AO280" s="246">
        <v>1</v>
      </c>
      <c r="AP280" s="92">
        <v>5.501570183764497</v>
      </c>
      <c r="AQ280" s="282">
        <v>8.1853760018291748</v>
      </c>
      <c r="AR280" s="93">
        <v>0</v>
      </c>
      <c r="AS280" s="104">
        <v>0</v>
      </c>
      <c r="AT280" s="245">
        <v>0.30027756750000001</v>
      </c>
      <c r="AU280" s="260">
        <v>0.69972243249999999</v>
      </c>
      <c r="AV280" s="93">
        <v>89.995194246370488</v>
      </c>
      <c r="AW280" s="104">
        <v>155.60004376314592</v>
      </c>
      <c r="AX280" s="93">
        <v>95.496764430134988</v>
      </c>
      <c r="AY280" s="243">
        <v>163.7854197649751</v>
      </c>
    </row>
    <row r="281" spans="1:51" ht="30">
      <c r="A281" s="113" t="s">
        <v>1083</v>
      </c>
      <c r="B281" s="90" t="s">
        <v>995</v>
      </c>
      <c r="C281" s="246" t="s">
        <v>11</v>
      </c>
      <c r="D281" s="246" t="s">
        <v>305</v>
      </c>
      <c r="E281" s="253" t="s">
        <v>160</v>
      </c>
      <c r="F281" s="253" t="s">
        <v>248</v>
      </c>
      <c r="G281" s="253" t="s">
        <v>112</v>
      </c>
      <c r="H281" s="246" t="s">
        <v>110</v>
      </c>
      <c r="I281" s="246" t="s">
        <v>142</v>
      </c>
      <c r="J281" s="246" t="s">
        <v>113</v>
      </c>
      <c r="K281" s="256" t="s">
        <v>49</v>
      </c>
      <c r="L281" s="250" t="s">
        <v>18</v>
      </c>
      <c r="M281" s="90">
        <v>2</v>
      </c>
      <c r="N281" s="251">
        <v>0.45</v>
      </c>
      <c r="O281" s="90">
        <v>2.4500000000000002</v>
      </c>
      <c r="P281" s="93">
        <v>152.0264657711613</v>
      </c>
      <c r="Q281" s="93">
        <v>34.205954798511293</v>
      </c>
      <c r="R281" s="93">
        <v>460.15027132937496</v>
      </c>
      <c r="S281" s="104">
        <v>103.53381104910936</v>
      </c>
      <c r="T281" s="254" t="s">
        <v>107</v>
      </c>
      <c r="U281" s="90">
        <v>0</v>
      </c>
      <c r="V281" s="246">
        <v>0</v>
      </c>
      <c r="W281" s="90">
        <v>0</v>
      </c>
      <c r="X281" s="93">
        <v>0</v>
      </c>
      <c r="Y281" s="93">
        <v>0</v>
      </c>
      <c r="Z281" s="93">
        <v>0</v>
      </c>
      <c r="AA281" s="104">
        <v>0</v>
      </c>
      <c r="AB281" s="250" t="s">
        <v>107</v>
      </c>
      <c r="AC281" s="97">
        <v>0</v>
      </c>
      <c r="AD281" s="252">
        <v>0</v>
      </c>
      <c r="AE281" s="97">
        <v>0</v>
      </c>
      <c r="AF281" s="93">
        <v>0</v>
      </c>
      <c r="AG281" s="93">
        <v>0</v>
      </c>
      <c r="AH281" s="93">
        <v>0</v>
      </c>
      <c r="AI281" s="93">
        <v>0</v>
      </c>
      <c r="AJ281" s="247" t="s">
        <v>142</v>
      </c>
      <c r="AK281" s="246"/>
      <c r="AL281" s="93">
        <v>103.17182547208077</v>
      </c>
      <c r="AM281" s="93">
        <v>145.36142535495819</v>
      </c>
      <c r="AN281" s="254" t="s">
        <v>198</v>
      </c>
      <c r="AO281" s="246">
        <v>1</v>
      </c>
      <c r="AP281" s="92">
        <v>5.501570183764497</v>
      </c>
      <c r="AQ281" s="282">
        <v>8.1853760018291748</v>
      </c>
      <c r="AR281" s="93">
        <v>0</v>
      </c>
      <c r="AS281" s="104">
        <v>0</v>
      </c>
      <c r="AT281" s="245">
        <v>0.30027756750000001</v>
      </c>
      <c r="AU281" s="260">
        <v>0.69972243249999999</v>
      </c>
      <c r="AV281" s="93">
        <v>128.11305892308806</v>
      </c>
      <c r="AW281" s="104">
        <v>270.97433523611937</v>
      </c>
      <c r="AX281" s="93">
        <v>133.61462910685256</v>
      </c>
      <c r="AY281" s="243">
        <v>279.15971123794856</v>
      </c>
    </row>
    <row r="282" spans="1:51" ht="30">
      <c r="A282" s="113" t="s">
        <v>1084</v>
      </c>
      <c r="B282" s="90" t="s">
        <v>996</v>
      </c>
      <c r="C282" s="246" t="s">
        <v>11</v>
      </c>
      <c r="D282" s="246" t="s">
        <v>305</v>
      </c>
      <c r="E282" s="253" t="s">
        <v>160</v>
      </c>
      <c r="F282" s="253" t="s">
        <v>248</v>
      </c>
      <c r="G282" s="253" t="s">
        <v>111</v>
      </c>
      <c r="H282" s="246" t="s">
        <v>109</v>
      </c>
      <c r="I282" s="246" t="s">
        <v>142</v>
      </c>
      <c r="J282" s="246" t="s">
        <v>47</v>
      </c>
      <c r="K282" s="256" t="s">
        <v>49</v>
      </c>
      <c r="L282" s="250" t="s">
        <v>18</v>
      </c>
      <c r="M282" s="90">
        <v>0.33</v>
      </c>
      <c r="N282" s="251">
        <v>0.5</v>
      </c>
      <c r="O282" s="90">
        <v>0.83000000000000007</v>
      </c>
      <c r="P282" s="93">
        <v>19.081969456246018</v>
      </c>
      <c r="Q282" s="93">
        <v>28.912074933706087</v>
      </c>
      <c r="R282" s="93">
        <v>57.75687396434946</v>
      </c>
      <c r="S282" s="104">
        <v>87.510415097499191</v>
      </c>
      <c r="T282" s="250" t="s">
        <v>18</v>
      </c>
      <c r="U282" s="90">
        <v>0.33</v>
      </c>
      <c r="V282" s="251">
        <v>0.5</v>
      </c>
      <c r="W282" s="90">
        <v>0.83000000000000007</v>
      </c>
      <c r="X282" s="93">
        <v>19.081969456246018</v>
      </c>
      <c r="Y282" s="93">
        <v>28.912074933706087</v>
      </c>
      <c r="Z282" s="93">
        <v>57.75687396434946</v>
      </c>
      <c r="AA282" s="104">
        <v>87.510415097499191</v>
      </c>
      <c r="AB282" s="250" t="s">
        <v>107</v>
      </c>
      <c r="AC282" s="97">
        <v>0</v>
      </c>
      <c r="AD282" s="252">
        <v>0</v>
      </c>
      <c r="AE282" s="97">
        <v>0</v>
      </c>
      <c r="AF282" s="93">
        <v>0</v>
      </c>
      <c r="AG282" s="93">
        <v>0</v>
      </c>
      <c r="AH282" s="93">
        <v>0</v>
      </c>
      <c r="AI282" s="93">
        <v>0</v>
      </c>
      <c r="AJ282" s="247" t="s">
        <v>49</v>
      </c>
      <c r="AK282" s="246"/>
      <c r="AL282" s="93">
        <v>0</v>
      </c>
      <c r="AM282" s="93">
        <v>0</v>
      </c>
      <c r="AN282" s="254" t="s">
        <v>198</v>
      </c>
      <c r="AO282" s="246">
        <v>1</v>
      </c>
      <c r="AP282" s="92">
        <v>5.501570183764497</v>
      </c>
      <c r="AQ282" s="282">
        <v>8.1853760018291748</v>
      </c>
      <c r="AR282" s="93">
        <v>0</v>
      </c>
      <c r="AS282" s="104">
        <v>0</v>
      </c>
      <c r="AT282" s="245">
        <v>1</v>
      </c>
      <c r="AU282" s="260">
        <v>0</v>
      </c>
      <c r="AV282" s="93">
        <v>95.988088779904217</v>
      </c>
      <c r="AW282" s="104">
        <v>290.53457812369732</v>
      </c>
      <c r="AX282" s="93">
        <v>101.48965896366872</v>
      </c>
      <c r="AY282" s="243">
        <v>298.7199541255265</v>
      </c>
    </row>
    <row r="283" spans="1:51" ht="30">
      <c r="A283" s="113" t="s">
        <v>1085</v>
      </c>
      <c r="B283" s="90" t="s">
        <v>997</v>
      </c>
      <c r="C283" s="246" t="s">
        <v>11</v>
      </c>
      <c r="D283" s="246" t="s">
        <v>305</v>
      </c>
      <c r="E283" s="253" t="s">
        <v>160</v>
      </c>
      <c r="F283" s="253" t="s">
        <v>248</v>
      </c>
      <c r="G283" s="253" t="s">
        <v>111</v>
      </c>
      <c r="H283" s="246" t="s">
        <v>110</v>
      </c>
      <c r="I283" s="246" t="s">
        <v>142</v>
      </c>
      <c r="J283" s="246" t="s">
        <v>47</v>
      </c>
      <c r="K283" s="256" t="s">
        <v>49</v>
      </c>
      <c r="L283" s="250" t="s">
        <v>18</v>
      </c>
      <c r="M283" s="90">
        <v>2</v>
      </c>
      <c r="N283" s="251">
        <v>0.5</v>
      </c>
      <c r="O283" s="90">
        <v>2.5</v>
      </c>
      <c r="P283" s="93">
        <v>115.64829973482435</v>
      </c>
      <c r="Q283" s="93">
        <v>28.912074933706087</v>
      </c>
      <c r="R283" s="93">
        <v>350.04166038999676</v>
      </c>
      <c r="S283" s="104">
        <v>87.510415097499191</v>
      </c>
      <c r="T283" s="250" t="s">
        <v>18</v>
      </c>
      <c r="U283" s="90">
        <v>2</v>
      </c>
      <c r="V283" s="251">
        <v>0.5</v>
      </c>
      <c r="W283" s="90">
        <v>2.5</v>
      </c>
      <c r="X283" s="93">
        <v>115.64829973482435</v>
      </c>
      <c r="Y283" s="93">
        <v>28.912074933706087</v>
      </c>
      <c r="Z283" s="93">
        <v>350.04166038999676</v>
      </c>
      <c r="AA283" s="104">
        <v>87.510415097499191</v>
      </c>
      <c r="AB283" s="250" t="s">
        <v>107</v>
      </c>
      <c r="AC283" s="97">
        <v>0</v>
      </c>
      <c r="AD283" s="252">
        <v>0</v>
      </c>
      <c r="AE283" s="97">
        <v>0</v>
      </c>
      <c r="AF283" s="93">
        <v>0</v>
      </c>
      <c r="AG283" s="93">
        <v>0</v>
      </c>
      <c r="AH283" s="93">
        <v>0</v>
      </c>
      <c r="AI283" s="93">
        <v>0</v>
      </c>
      <c r="AJ283" s="247" t="s">
        <v>49</v>
      </c>
      <c r="AK283" s="246"/>
      <c r="AL283" s="93">
        <v>0</v>
      </c>
      <c r="AM283" s="93">
        <v>0</v>
      </c>
      <c r="AN283" s="254" t="s">
        <v>198</v>
      </c>
      <c r="AO283" s="246">
        <v>1</v>
      </c>
      <c r="AP283" s="92">
        <v>5.501570183764497</v>
      </c>
      <c r="AQ283" s="282">
        <v>8.1853760018291748</v>
      </c>
      <c r="AR283" s="93">
        <v>0</v>
      </c>
      <c r="AS283" s="104">
        <v>0</v>
      </c>
      <c r="AT283" s="245">
        <v>1</v>
      </c>
      <c r="AU283" s="260">
        <v>0</v>
      </c>
      <c r="AV283" s="93">
        <v>289.12074933706089</v>
      </c>
      <c r="AW283" s="104">
        <v>875.10415097499185</v>
      </c>
      <c r="AX283" s="93">
        <v>294.62231952082539</v>
      </c>
      <c r="AY283" s="243">
        <v>883.28952697682098</v>
      </c>
    </row>
    <row r="284" spans="1:51" ht="30">
      <c r="A284" s="113" t="s">
        <v>1086</v>
      </c>
      <c r="B284" s="90" t="s">
        <v>998</v>
      </c>
      <c r="C284" s="246" t="s">
        <v>11</v>
      </c>
      <c r="D284" s="246" t="s">
        <v>305</v>
      </c>
      <c r="E284" s="253" t="s">
        <v>160</v>
      </c>
      <c r="F284" s="253" t="s">
        <v>248</v>
      </c>
      <c r="G284" s="253" t="s">
        <v>121</v>
      </c>
      <c r="H284" s="246" t="s">
        <v>109</v>
      </c>
      <c r="I284" s="246" t="s">
        <v>142</v>
      </c>
      <c r="J284" s="246" t="s">
        <v>113</v>
      </c>
      <c r="K284" s="256" t="s">
        <v>49</v>
      </c>
      <c r="L284" s="250" t="s">
        <v>18</v>
      </c>
      <c r="M284" s="90">
        <v>0.33</v>
      </c>
      <c r="N284" s="251">
        <v>0.5</v>
      </c>
      <c r="O284" s="90">
        <v>0.83000000000000007</v>
      </c>
      <c r="P284" s="93">
        <v>25.084366852241615</v>
      </c>
      <c r="Q284" s="93">
        <v>38.006616442790325</v>
      </c>
      <c r="R284" s="93">
        <v>75.924794769346875</v>
      </c>
      <c r="S284" s="104">
        <v>115.03756783234374</v>
      </c>
      <c r="T284" s="250" t="s">
        <v>18</v>
      </c>
      <c r="U284" s="90">
        <v>0.33</v>
      </c>
      <c r="V284" s="251">
        <v>0.5</v>
      </c>
      <c r="W284" s="90">
        <v>0.83000000000000007</v>
      </c>
      <c r="X284" s="93">
        <v>25.084366852241615</v>
      </c>
      <c r="Y284" s="93">
        <v>38.006616442790325</v>
      </c>
      <c r="Z284" s="93">
        <v>75.924794769346875</v>
      </c>
      <c r="AA284" s="104">
        <v>115.03756783234374</v>
      </c>
      <c r="AB284" s="250" t="s">
        <v>107</v>
      </c>
      <c r="AC284" s="97">
        <v>0</v>
      </c>
      <c r="AD284" s="252">
        <v>0</v>
      </c>
      <c r="AE284" s="97">
        <v>0</v>
      </c>
      <c r="AF284" s="93">
        <v>0</v>
      </c>
      <c r="AG284" s="93">
        <v>0</v>
      </c>
      <c r="AH284" s="93">
        <v>0</v>
      </c>
      <c r="AI284" s="93">
        <v>0</v>
      </c>
      <c r="AJ284" s="247" t="s">
        <v>49</v>
      </c>
      <c r="AK284" s="246"/>
      <c r="AL284" s="93">
        <v>0</v>
      </c>
      <c r="AM284" s="93">
        <v>0</v>
      </c>
      <c r="AN284" s="254" t="s">
        <v>198</v>
      </c>
      <c r="AO284" s="246">
        <v>1</v>
      </c>
      <c r="AP284" s="92">
        <v>5.501570183764497</v>
      </c>
      <c r="AQ284" s="282">
        <v>8.1853760018291748</v>
      </c>
      <c r="AR284" s="93">
        <v>0</v>
      </c>
      <c r="AS284" s="104">
        <v>0</v>
      </c>
      <c r="AT284" s="245">
        <v>1</v>
      </c>
      <c r="AU284" s="260">
        <v>0</v>
      </c>
      <c r="AV284" s="93">
        <v>126.18196659006387</v>
      </c>
      <c r="AW284" s="104">
        <v>381.92472520338117</v>
      </c>
      <c r="AX284" s="93">
        <v>131.68353677382837</v>
      </c>
      <c r="AY284" s="243">
        <v>390.11010120521036</v>
      </c>
    </row>
    <row r="285" spans="1:51" ht="30">
      <c r="A285" s="113" t="s">
        <v>1087</v>
      </c>
      <c r="B285" s="90" t="s">
        <v>999</v>
      </c>
      <c r="C285" s="246" t="s">
        <v>11</v>
      </c>
      <c r="D285" s="246" t="s">
        <v>305</v>
      </c>
      <c r="E285" s="253" t="s">
        <v>160</v>
      </c>
      <c r="F285" s="253" t="s">
        <v>248</v>
      </c>
      <c r="G285" s="253" t="s">
        <v>121</v>
      </c>
      <c r="H285" s="246" t="s">
        <v>110</v>
      </c>
      <c r="I285" s="246" t="s">
        <v>142</v>
      </c>
      <c r="J285" s="246" t="s">
        <v>113</v>
      </c>
      <c r="K285" s="256" t="s">
        <v>49</v>
      </c>
      <c r="L285" s="250" t="s">
        <v>18</v>
      </c>
      <c r="M285" s="90">
        <v>2</v>
      </c>
      <c r="N285" s="251">
        <v>0.5</v>
      </c>
      <c r="O285" s="90">
        <v>2.5</v>
      </c>
      <c r="P285" s="93">
        <v>152.0264657711613</v>
      </c>
      <c r="Q285" s="93">
        <v>38.006616442790325</v>
      </c>
      <c r="R285" s="93">
        <v>460.15027132937496</v>
      </c>
      <c r="S285" s="104">
        <v>115.03756783234374</v>
      </c>
      <c r="T285" s="250" t="s">
        <v>18</v>
      </c>
      <c r="U285" s="90">
        <v>2</v>
      </c>
      <c r="V285" s="251">
        <v>0.5</v>
      </c>
      <c r="W285" s="90">
        <v>2.5</v>
      </c>
      <c r="X285" s="93">
        <v>152.0264657711613</v>
      </c>
      <c r="Y285" s="93">
        <v>38.006616442790325</v>
      </c>
      <c r="Z285" s="93">
        <v>460.15027132937496</v>
      </c>
      <c r="AA285" s="104">
        <v>115.03756783234374</v>
      </c>
      <c r="AB285" s="250" t="s">
        <v>107</v>
      </c>
      <c r="AC285" s="97">
        <v>0</v>
      </c>
      <c r="AD285" s="252">
        <v>0</v>
      </c>
      <c r="AE285" s="97">
        <v>0</v>
      </c>
      <c r="AF285" s="93">
        <v>0</v>
      </c>
      <c r="AG285" s="93">
        <v>0</v>
      </c>
      <c r="AH285" s="93">
        <v>0</v>
      </c>
      <c r="AI285" s="93">
        <v>0</v>
      </c>
      <c r="AJ285" s="247" t="s">
        <v>49</v>
      </c>
      <c r="AK285" s="246"/>
      <c r="AL285" s="93">
        <v>0</v>
      </c>
      <c r="AM285" s="93">
        <v>0</v>
      </c>
      <c r="AN285" s="254" t="s">
        <v>198</v>
      </c>
      <c r="AO285" s="246">
        <v>1</v>
      </c>
      <c r="AP285" s="92">
        <v>5.501570183764497</v>
      </c>
      <c r="AQ285" s="282">
        <v>8.1853760018291748</v>
      </c>
      <c r="AR285" s="93">
        <v>0</v>
      </c>
      <c r="AS285" s="104">
        <v>0</v>
      </c>
      <c r="AT285" s="245">
        <v>1</v>
      </c>
      <c r="AU285" s="260">
        <v>0</v>
      </c>
      <c r="AV285" s="93">
        <v>380.06616442790323</v>
      </c>
      <c r="AW285" s="104">
        <v>1150.3756783234373</v>
      </c>
      <c r="AX285" s="93">
        <v>385.56773461166773</v>
      </c>
      <c r="AY285" s="243">
        <v>1158.5610543252665</v>
      </c>
    </row>
    <row r="286" spans="1:51" ht="30">
      <c r="A286" s="113" t="s">
        <v>1088</v>
      </c>
      <c r="B286" s="90" t="s">
        <v>1274</v>
      </c>
      <c r="C286" s="246" t="s">
        <v>11</v>
      </c>
      <c r="D286" s="246" t="s">
        <v>305</v>
      </c>
      <c r="E286" s="253" t="s">
        <v>160</v>
      </c>
      <c r="F286" s="253" t="s">
        <v>1439</v>
      </c>
      <c r="G286" s="253" t="s">
        <v>105</v>
      </c>
      <c r="H286" s="246" t="s">
        <v>109</v>
      </c>
      <c r="I286" s="246" t="s">
        <v>142</v>
      </c>
      <c r="J286" s="246" t="s">
        <v>47</v>
      </c>
      <c r="K286" s="256" t="s">
        <v>49</v>
      </c>
      <c r="L286" s="250" t="s">
        <v>18</v>
      </c>
      <c r="M286" s="90">
        <v>0.33</v>
      </c>
      <c r="N286" s="251">
        <v>0.45</v>
      </c>
      <c r="O286" s="90">
        <v>0.78</v>
      </c>
      <c r="P286" s="93">
        <v>19.081969456246018</v>
      </c>
      <c r="Q286" s="93">
        <v>26.020867440335479</v>
      </c>
      <c r="R286" s="93">
        <v>57.75687396434946</v>
      </c>
      <c r="S286" s="104">
        <v>78.75937358774928</v>
      </c>
      <c r="T286" s="254" t="s">
        <v>107</v>
      </c>
      <c r="U286" s="90">
        <v>0</v>
      </c>
      <c r="V286" s="246">
        <v>0</v>
      </c>
      <c r="W286" s="90">
        <v>0</v>
      </c>
      <c r="X286" s="93">
        <v>0</v>
      </c>
      <c r="Y286" s="93">
        <v>0</v>
      </c>
      <c r="Z286" s="93">
        <v>0</v>
      </c>
      <c r="AA286" s="104">
        <v>0</v>
      </c>
      <c r="AB286" s="250" t="s">
        <v>107</v>
      </c>
      <c r="AC286" s="97">
        <v>0</v>
      </c>
      <c r="AD286" s="252">
        <v>0</v>
      </c>
      <c r="AE286" s="97">
        <v>0</v>
      </c>
      <c r="AF286" s="93">
        <v>0</v>
      </c>
      <c r="AG286" s="93">
        <v>0</v>
      </c>
      <c r="AH286" s="93">
        <v>0</v>
      </c>
      <c r="AI286" s="93">
        <v>0</v>
      </c>
      <c r="AJ286" s="247" t="s">
        <v>142</v>
      </c>
      <c r="AK286" s="246"/>
      <c r="AL286" s="93">
        <v>50.490518280244338</v>
      </c>
      <c r="AM286" s="93">
        <v>71.137383394587602</v>
      </c>
      <c r="AN286" s="254" t="s">
        <v>198</v>
      </c>
      <c r="AO286" s="246">
        <v>1</v>
      </c>
      <c r="AP286" s="92">
        <v>5.501570183764497</v>
      </c>
      <c r="AQ286" s="282">
        <v>8.1853760018291748</v>
      </c>
      <c r="AR286" s="93">
        <v>0</v>
      </c>
      <c r="AS286" s="104">
        <v>0</v>
      </c>
      <c r="AT286" s="245">
        <v>0.30027756750000001</v>
      </c>
      <c r="AU286" s="260">
        <v>0.69972243249999999</v>
      </c>
      <c r="AV286" s="93">
        <v>48.872718419893019</v>
      </c>
      <c r="AW286" s="104">
        <v>90.76918968971799</v>
      </c>
      <c r="AX286" s="93">
        <v>54.374288603657519</v>
      </c>
      <c r="AY286" s="243">
        <v>98.95456569154716</v>
      </c>
    </row>
    <row r="287" spans="1:51" ht="30">
      <c r="A287" s="113" t="s">
        <v>1089</v>
      </c>
      <c r="B287" s="90" t="s">
        <v>1275</v>
      </c>
      <c r="C287" s="246" t="s">
        <v>11</v>
      </c>
      <c r="D287" s="246" t="s">
        <v>305</v>
      </c>
      <c r="E287" s="253" t="s">
        <v>160</v>
      </c>
      <c r="F287" s="253" t="s">
        <v>1439</v>
      </c>
      <c r="G287" s="253" t="s">
        <v>105</v>
      </c>
      <c r="H287" s="246" t="s">
        <v>110</v>
      </c>
      <c r="I287" s="246" t="s">
        <v>142</v>
      </c>
      <c r="J287" s="246" t="s">
        <v>47</v>
      </c>
      <c r="K287" s="256" t="s">
        <v>49</v>
      </c>
      <c r="L287" s="250" t="s">
        <v>18</v>
      </c>
      <c r="M287" s="90">
        <v>2</v>
      </c>
      <c r="N287" s="251">
        <v>0.45</v>
      </c>
      <c r="O287" s="90">
        <v>2.4500000000000002</v>
      </c>
      <c r="P287" s="93">
        <v>115.64829973482435</v>
      </c>
      <c r="Q287" s="93">
        <v>26.020867440335479</v>
      </c>
      <c r="R287" s="93">
        <v>350.04166038999676</v>
      </c>
      <c r="S287" s="104">
        <v>78.75937358774928</v>
      </c>
      <c r="T287" s="254" t="s">
        <v>107</v>
      </c>
      <c r="U287" s="90">
        <v>0</v>
      </c>
      <c r="V287" s="246">
        <v>0</v>
      </c>
      <c r="W287" s="90">
        <v>0</v>
      </c>
      <c r="X287" s="93">
        <v>0</v>
      </c>
      <c r="Y287" s="93">
        <v>0</v>
      </c>
      <c r="Z287" s="93">
        <v>0</v>
      </c>
      <c r="AA287" s="104">
        <v>0</v>
      </c>
      <c r="AB287" s="250" t="s">
        <v>107</v>
      </c>
      <c r="AC287" s="97">
        <v>0</v>
      </c>
      <c r="AD287" s="252">
        <v>0</v>
      </c>
      <c r="AE287" s="97">
        <v>0</v>
      </c>
      <c r="AF287" s="93">
        <v>0</v>
      </c>
      <c r="AG287" s="93">
        <v>0</v>
      </c>
      <c r="AH287" s="93">
        <v>0</v>
      </c>
      <c r="AI287" s="93">
        <v>0</v>
      </c>
      <c r="AJ287" s="247" t="s">
        <v>142</v>
      </c>
      <c r="AK287" s="246"/>
      <c r="AL287" s="93">
        <v>50.490518280244338</v>
      </c>
      <c r="AM287" s="93">
        <v>71.137383394587602</v>
      </c>
      <c r="AN287" s="254" t="s">
        <v>198</v>
      </c>
      <c r="AO287" s="246">
        <v>1</v>
      </c>
      <c r="AP287" s="92">
        <v>5.501570183764497</v>
      </c>
      <c r="AQ287" s="282">
        <v>8.1853760018291748</v>
      </c>
      <c r="AR287" s="93">
        <v>0</v>
      </c>
      <c r="AS287" s="104">
        <v>0</v>
      </c>
      <c r="AT287" s="245">
        <v>0.30027756750000001</v>
      </c>
      <c r="AU287" s="260">
        <v>0.69972243249999999</v>
      </c>
      <c r="AV287" s="93">
        <v>77.86942117834613</v>
      </c>
      <c r="AW287" s="104">
        <v>178.53575437486836</v>
      </c>
      <c r="AX287" s="93">
        <v>83.37099136211063</v>
      </c>
      <c r="AY287" s="243">
        <v>186.72113037669754</v>
      </c>
    </row>
    <row r="288" spans="1:51" ht="30">
      <c r="A288" s="113" t="s">
        <v>1090</v>
      </c>
      <c r="B288" s="90" t="s">
        <v>1276</v>
      </c>
      <c r="C288" s="246" t="s">
        <v>11</v>
      </c>
      <c r="D288" s="246" t="s">
        <v>305</v>
      </c>
      <c r="E288" s="253" t="s">
        <v>160</v>
      </c>
      <c r="F288" s="253" t="s">
        <v>1439</v>
      </c>
      <c r="G288" s="253" t="s">
        <v>112</v>
      </c>
      <c r="H288" s="246" t="s">
        <v>109</v>
      </c>
      <c r="I288" s="246" t="s">
        <v>142</v>
      </c>
      <c r="J288" s="246" t="s">
        <v>113</v>
      </c>
      <c r="K288" s="256" t="s">
        <v>49</v>
      </c>
      <c r="L288" s="250" t="s">
        <v>18</v>
      </c>
      <c r="M288" s="90">
        <v>0.33</v>
      </c>
      <c r="N288" s="251">
        <v>0.45</v>
      </c>
      <c r="O288" s="90">
        <v>0.78</v>
      </c>
      <c r="P288" s="93">
        <v>25.084366852241615</v>
      </c>
      <c r="Q288" s="93">
        <v>34.205954798511293</v>
      </c>
      <c r="R288" s="93">
        <v>75.924794769346875</v>
      </c>
      <c r="S288" s="104">
        <v>103.53381104910936</v>
      </c>
      <c r="T288" s="254" t="s">
        <v>107</v>
      </c>
      <c r="U288" s="90">
        <v>0</v>
      </c>
      <c r="V288" s="246">
        <v>0</v>
      </c>
      <c r="W288" s="90">
        <v>0</v>
      </c>
      <c r="X288" s="93">
        <v>0</v>
      </c>
      <c r="Y288" s="93">
        <v>0</v>
      </c>
      <c r="Z288" s="93">
        <v>0</v>
      </c>
      <c r="AA288" s="104">
        <v>0</v>
      </c>
      <c r="AB288" s="250" t="s">
        <v>107</v>
      </c>
      <c r="AC288" s="97">
        <v>0</v>
      </c>
      <c r="AD288" s="252">
        <v>0</v>
      </c>
      <c r="AE288" s="97">
        <v>0</v>
      </c>
      <c r="AF288" s="93">
        <v>0</v>
      </c>
      <c r="AG288" s="93">
        <v>0</v>
      </c>
      <c r="AH288" s="93">
        <v>0</v>
      </c>
      <c r="AI288" s="93">
        <v>0</v>
      </c>
      <c r="AJ288" s="247" t="s">
        <v>142</v>
      </c>
      <c r="AK288" s="246"/>
      <c r="AL288" s="93">
        <v>103.17182547208077</v>
      </c>
      <c r="AM288" s="93">
        <v>145.36142535495819</v>
      </c>
      <c r="AN288" s="254" t="s">
        <v>198</v>
      </c>
      <c r="AO288" s="246">
        <v>1</v>
      </c>
      <c r="AP288" s="92">
        <v>5.501570183764497</v>
      </c>
      <c r="AQ288" s="282">
        <v>8.1853760018291748</v>
      </c>
      <c r="AR288" s="93">
        <v>0</v>
      </c>
      <c r="AS288" s="104">
        <v>0</v>
      </c>
      <c r="AT288" s="245">
        <v>0.30027756750000001</v>
      </c>
      <c r="AU288" s="260">
        <v>0.69972243249999999</v>
      </c>
      <c r="AV288" s="93">
        <v>89.995194246370488</v>
      </c>
      <c r="AW288" s="104">
        <v>155.60004376314592</v>
      </c>
      <c r="AX288" s="93">
        <v>95.496764430134988</v>
      </c>
      <c r="AY288" s="243">
        <v>163.7854197649751</v>
      </c>
    </row>
    <row r="289" spans="1:51" ht="30">
      <c r="A289" s="113" t="s">
        <v>1091</v>
      </c>
      <c r="B289" s="90" t="s">
        <v>1277</v>
      </c>
      <c r="C289" s="246" t="s">
        <v>11</v>
      </c>
      <c r="D289" s="246" t="s">
        <v>305</v>
      </c>
      <c r="E289" s="253" t="s">
        <v>160</v>
      </c>
      <c r="F289" s="253" t="s">
        <v>1439</v>
      </c>
      <c r="G289" s="253" t="s">
        <v>112</v>
      </c>
      <c r="H289" s="246" t="s">
        <v>110</v>
      </c>
      <c r="I289" s="246" t="s">
        <v>142</v>
      </c>
      <c r="J289" s="246" t="s">
        <v>113</v>
      </c>
      <c r="K289" s="256" t="s">
        <v>49</v>
      </c>
      <c r="L289" s="250" t="s">
        <v>18</v>
      </c>
      <c r="M289" s="90">
        <v>2</v>
      </c>
      <c r="N289" s="251">
        <v>0.45</v>
      </c>
      <c r="O289" s="90">
        <v>2.4500000000000002</v>
      </c>
      <c r="P289" s="93">
        <v>152.0264657711613</v>
      </c>
      <c r="Q289" s="93">
        <v>34.205954798511293</v>
      </c>
      <c r="R289" s="93">
        <v>460.15027132937496</v>
      </c>
      <c r="S289" s="104">
        <v>103.53381104910936</v>
      </c>
      <c r="T289" s="254" t="s">
        <v>107</v>
      </c>
      <c r="U289" s="90">
        <v>0</v>
      </c>
      <c r="V289" s="246">
        <v>0</v>
      </c>
      <c r="W289" s="90">
        <v>0</v>
      </c>
      <c r="X289" s="93">
        <v>0</v>
      </c>
      <c r="Y289" s="93">
        <v>0</v>
      </c>
      <c r="Z289" s="93">
        <v>0</v>
      </c>
      <c r="AA289" s="104">
        <v>0</v>
      </c>
      <c r="AB289" s="250" t="s">
        <v>107</v>
      </c>
      <c r="AC289" s="97">
        <v>0</v>
      </c>
      <c r="AD289" s="252">
        <v>0</v>
      </c>
      <c r="AE289" s="97">
        <v>0</v>
      </c>
      <c r="AF289" s="93">
        <v>0</v>
      </c>
      <c r="AG289" s="93">
        <v>0</v>
      </c>
      <c r="AH289" s="93">
        <v>0</v>
      </c>
      <c r="AI289" s="93">
        <v>0</v>
      </c>
      <c r="AJ289" s="247" t="s">
        <v>142</v>
      </c>
      <c r="AK289" s="246"/>
      <c r="AL289" s="93">
        <v>103.17182547208077</v>
      </c>
      <c r="AM289" s="93">
        <v>145.36142535495819</v>
      </c>
      <c r="AN289" s="254" t="s">
        <v>198</v>
      </c>
      <c r="AO289" s="246">
        <v>1</v>
      </c>
      <c r="AP289" s="92">
        <v>5.501570183764497</v>
      </c>
      <c r="AQ289" s="282">
        <v>8.1853760018291748</v>
      </c>
      <c r="AR289" s="93">
        <v>0</v>
      </c>
      <c r="AS289" s="104">
        <v>0</v>
      </c>
      <c r="AT289" s="245">
        <v>0.30027756750000001</v>
      </c>
      <c r="AU289" s="260">
        <v>0.69972243249999999</v>
      </c>
      <c r="AV289" s="93">
        <v>128.11305892308806</v>
      </c>
      <c r="AW289" s="104">
        <v>270.97433523611937</v>
      </c>
      <c r="AX289" s="93">
        <v>133.61462910685256</v>
      </c>
      <c r="AY289" s="243">
        <v>279.15971123794856</v>
      </c>
    </row>
    <row r="290" spans="1:51" ht="30">
      <c r="A290" s="113" t="s">
        <v>1092</v>
      </c>
      <c r="B290" s="90" t="s">
        <v>1000</v>
      </c>
      <c r="C290" s="246" t="s">
        <v>11</v>
      </c>
      <c r="D290" s="246" t="s">
        <v>305</v>
      </c>
      <c r="E290" s="253" t="s">
        <v>160</v>
      </c>
      <c r="F290" s="253" t="s">
        <v>1439</v>
      </c>
      <c r="G290" s="253" t="s">
        <v>111</v>
      </c>
      <c r="H290" s="246" t="s">
        <v>109</v>
      </c>
      <c r="I290" s="246" t="s">
        <v>142</v>
      </c>
      <c r="J290" s="246" t="s">
        <v>47</v>
      </c>
      <c r="K290" s="256" t="s">
        <v>49</v>
      </c>
      <c r="L290" s="250" t="s">
        <v>18</v>
      </c>
      <c r="M290" s="90">
        <v>0.33</v>
      </c>
      <c r="N290" s="251">
        <v>1</v>
      </c>
      <c r="O290" s="90">
        <v>1.33</v>
      </c>
      <c r="P290" s="93">
        <v>19.081969456246018</v>
      </c>
      <c r="Q290" s="93">
        <v>57.824149867412174</v>
      </c>
      <c r="R290" s="93">
        <v>57.75687396434946</v>
      </c>
      <c r="S290" s="104">
        <v>175.02083019499838</v>
      </c>
      <c r="T290" s="250" t="s">
        <v>18</v>
      </c>
      <c r="U290" s="90">
        <v>0.33</v>
      </c>
      <c r="V290" s="251">
        <v>1</v>
      </c>
      <c r="W290" s="90">
        <v>1.33</v>
      </c>
      <c r="X290" s="93">
        <v>19.081969456246018</v>
      </c>
      <c r="Y290" s="93">
        <v>57.824149867412174</v>
      </c>
      <c r="Z290" s="93">
        <v>57.75687396434946</v>
      </c>
      <c r="AA290" s="104">
        <v>175.02083019499838</v>
      </c>
      <c r="AB290" s="250" t="s">
        <v>107</v>
      </c>
      <c r="AC290" s="97">
        <v>0</v>
      </c>
      <c r="AD290" s="252">
        <v>0</v>
      </c>
      <c r="AE290" s="97">
        <v>0</v>
      </c>
      <c r="AF290" s="93">
        <v>0</v>
      </c>
      <c r="AG290" s="93">
        <v>0</v>
      </c>
      <c r="AH290" s="93">
        <v>0</v>
      </c>
      <c r="AI290" s="93">
        <v>0</v>
      </c>
      <c r="AJ290" s="247" t="s">
        <v>49</v>
      </c>
      <c r="AK290" s="246"/>
      <c r="AL290" s="93">
        <v>0</v>
      </c>
      <c r="AM290" s="93">
        <v>0</v>
      </c>
      <c r="AN290" s="254" t="s">
        <v>198</v>
      </c>
      <c r="AO290" s="246">
        <v>1</v>
      </c>
      <c r="AP290" s="92">
        <v>5.501570183764497</v>
      </c>
      <c r="AQ290" s="282">
        <v>8.1853760018291748</v>
      </c>
      <c r="AR290" s="93">
        <v>0</v>
      </c>
      <c r="AS290" s="104">
        <v>0</v>
      </c>
      <c r="AT290" s="245">
        <v>1</v>
      </c>
      <c r="AU290" s="260">
        <v>0</v>
      </c>
      <c r="AV290" s="93">
        <v>153.81223864731638</v>
      </c>
      <c r="AW290" s="104">
        <v>465.5554083186957</v>
      </c>
      <c r="AX290" s="93">
        <v>159.31380883108088</v>
      </c>
      <c r="AY290" s="243">
        <v>473.74078432052488</v>
      </c>
    </row>
    <row r="291" spans="1:51" ht="30">
      <c r="A291" s="113" t="s">
        <v>1093</v>
      </c>
      <c r="B291" s="90" t="s">
        <v>1001</v>
      </c>
      <c r="C291" s="246" t="s">
        <v>11</v>
      </c>
      <c r="D291" s="246" t="s">
        <v>305</v>
      </c>
      <c r="E291" s="253" t="s">
        <v>160</v>
      </c>
      <c r="F291" s="253" t="s">
        <v>1439</v>
      </c>
      <c r="G291" s="253" t="s">
        <v>111</v>
      </c>
      <c r="H291" s="246" t="s">
        <v>110</v>
      </c>
      <c r="I291" s="246" t="s">
        <v>142</v>
      </c>
      <c r="J291" s="246" t="s">
        <v>47</v>
      </c>
      <c r="K291" s="256" t="s">
        <v>49</v>
      </c>
      <c r="L291" s="250" t="s">
        <v>18</v>
      </c>
      <c r="M291" s="90">
        <v>2</v>
      </c>
      <c r="N291" s="251">
        <v>1</v>
      </c>
      <c r="O291" s="90">
        <v>3</v>
      </c>
      <c r="P291" s="93">
        <v>115.64829973482435</v>
      </c>
      <c r="Q291" s="93">
        <v>57.824149867412174</v>
      </c>
      <c r="R291" s="93">
        <v>350.04166038999676</v>
      </c>
      <c r="S291" s="104">
        <v>175.02083019499838</v>
      </c>
      <c r="T291" s="250" t="s">
        <v>18</v>
      </c>
      <c r="U291" s="90">
        <v>2</v>
      </c>
      <c r="V291" s="251">
        <v>1</v>
      </c>
      <c r="W291" s="90">
        <v>3</v>
      </c>
      <c r="X291" s="93">
        <v>115.64829973482435</v>
      </c>
      <c r="Y291" s="93">
        <v>57.824149867412174</v>
      </c>
      <c r="Z291" s="93">
        <v>350.04166038999676</v>
      </c>
      <c r="AA291" s="104">
        <v>175.02083019499838</v>
      </c>
      <c r="AB291" s="250" t="s">
        <v>107</v>
      </c>
      <c r="AC291" s="97">
        <v>0</v>
      </c>
      <c r="AD291" s="252">
        <v>0</v>
      </c>
      <c r="AE291" s="97">
        <v>0</v>
      </c>
      <c r="AF291" s="93">
        <v>0</v>
      </c>
      <c r="AG291" s="93">
        <v>0</v>
      </c>
      <c r="AH291" s="93">
        <v>0</v>
      </c>
      <c r="AI291" s="93">
        <v>0</v>
      </c>
      <c r="AJ291" s="247" t="s">
        <v>49</v>
      </c>
      <c r="AK291" s="246"/>
      <c r="AL291" s="93">
        <v>0</v>
      </c>
      <c r="AM291" s="93">
        <v>0</v>
      </c>
      <c r="AN291" s="254" t="s">
        <v>198</v>
      </c>
      <c r="AO291" s="246">
        <v>1</v>
      </c>
      <c r="AP291" s="92">
        <v>5.501570183764497</v>
      </c>
      <c r="AQ291" s="282">
        <v>8.1853760018291748</v>
      </c>
      <c r="AR291" s="93">
        <v>0</v>
      </c>
      <c r="AS291" s="104">
        <v>0</v>
      </c>
      <c r="AT291" s="245">
        <v>1</v>
      </c>
      <c r="AU291" s="260">
        <v>0</v>
      </c>
      <c r="AV291" s="93">
        <v>346.94489920447302</v>
      </c>
      <c r="AW291" s="104">
        <v>1050.1249811699904</v>
      </c>
      <c r="AX291" s="93">
        <v>352.44646938823752</v>
      </c>
      <c r="AY291" s="243">
        <v>1058.3103571718195</v>
      </c>
    </row>
    <row r="292" spans="1:51" ht="30">
      <c r="A292" s="113" t="s">
        <v>1094</v>
      </c>
      <c r="B292" s="90" t="s">
        <v>1002</v>
      </c>
      <c r="C292" s="246" t="s">
        <v>11</v>
      </c>
      <c r="D292" s="246" t="s">
        <v>305</v>
      </c>
      <c r="E292" s="253" t="s">
        <v>160</v>
      </c>
      <c r="F292" s="253" t="s">
        <v>1439</v>
      </c>
      <c r="G292" s="253" t="s">
        <v>121</v>
      </c>
      <c r="H292" s="246" t="s">
        <v>109</v>
      </c>
      <c r="I292" s="246" t="s">
        <v>142</v>
      </c>
      <c r="J292" s="246" t="s">
        <v>113</v>
      </c>
      <c r="K292" s="256" t="s">
        <v>49</v>
      </c>
      <c r="L292" s="250" t="s">
        <v>18</v>
      </c>
      <c r="M292" s="90">
        <v>0.33</v>
      </c>
      <c r="N292" s="251">
        <v>1</v>
      </c>
      <c r="O292" s="90">
        <v>1.33</v>
      </c>
      <c r="P292" s="93">
        <v>25.084366852241615</v>
      </c>
      <c r="Q292" s="93">
        <v>76.013232885580649</v>
      </c>
      <c r="R292" s="93">
        <v>75.924794769346875</v>
      </c>
      <c r="S292" s="104">
        <v>230.07513566468748</v>
      </c>
      <c r="T292" s="250" t="s">
        <v>18</v>
      </c>
      <c r="U292" s="90">
        <v>0.33</v>
      </c>
      <c r="V292" s="251">
        <v>1</v>
      </c>
      <c r="W292" s="90">
        <v>1.33</v>
      </c>
      <c r="X292" s="93">
        <v>25.084366852241615</v>
      </c>
      <c r="Y292" s="93">
        <v>76.013232885580649</v>
      </c>
      <c r="Z292" s="93">
        <v>75.924794769346875</v>
      </c>
      <c r="AA292" s="104">
        <v>230.07513566468748</v>
      </c>
      <c r="AB292" s="250" t="s">
        <v>107</v>
      </c>
      <c r="AC292" s="97">
        <v>0</v>
      </c>
      <c r="AD292" s="252">
        <v>0</v>
      </c>
      <c r="AE292" s="97">
        <v>0</v>
      </c>
      <c r="AF292" s="93">
        <v>0</v>
      </c>
      <c r="AG292" s="93">
        <v>0</v>
      </c>
      <c r="AH292" s="93">
        <v>0</v>
      </c>
      <c r="AI292" s="93">
        <v>0</v>
      </c>
      <c r="AJ292" s="247" t="s">
        <v>49</v>
      </c>
      <c r="AK292" s="246"/>
      <c r="AL292" s="93">
        <v>0</v>
      </c>
      <c r="AM292" s="93">
        <v>0</v>
      </c>
      <c r="AN292" s="254" t="s">
        <v>198</v>
      </c>
      <c r="AO292" s="246">
        <v>1</v>
      </c>
      <c r="AP292" s="92">
        <v>5.501570183764497</v>
      </c>
      <c r="AQ292" s="282">
        <v>8.1853760018291748</v>
      </c>
      <c r="AR292" s="93">
        <v>0</v>
      </c>
      <c r="AS292" s="104">
        <v>0</v>
      </c>
      <c r="AT292" s="245">
        <v>1</v>
      </c>
      <c r="AU292" s="260">
        <v>0</v>
      </c>
      <c r="AV292" s="93">
        <v>202.19519947564453</v>
      </c>
      <c r="AW292" s="104">
        <v>611.99986086806871</v>
      </c>
      <c r="AX292" s="93">
        <v>207.69676965940903</v>
      </c>
      <c r="AY292" s="243">
        <v>620.18523686989784</v>
      </c>
    </row>
    <row r="293" spans="1:51" ht="30">
      <c r="A293" s="113" t="s">
        <v>1095</v>
      </c>
      <c r="B293" s="90" t="s">
        <v>1003</v>
      </c>
      <c r="C293" s="246" t="s">
        <v>11</v>
      </c>
      <c r="D293" s="246" t="s">
        <v>305</v>
      </c>
      <c r="E293" s="253" t="s">
        <v>160</v>
      </c>
      <c r="F293" s="253" t="s">
        <v>1439</v>
      </c>
      <c r="G293" s="253" t="s">
        <v>121</v>
      </c>
      <c r="H293" s="246" t="s">
        <v>110</v>
      </c>
      <c r="I293" s="246" t="s">
        <v>142</v>
      </c>
      <c r="J293" s="246" t="s">
        <v>113</v>
      </c>
      <c r="K293" s="256" t="s">
        <v>49</v>
      </c>
      <c r="L293" s="250" t="s">
        <v>18</v>
      </c>
      <c r="M293" s="90">
        <v>2</v>
      </c>
      <c r="N293" s="251">
        <v>1</v>
      </c>
      <c r="O293" s="90">
        <v>3</v>
      </c>
      <c r="P293" s="93">
        <v>152.0264657711613</v>
      </c>
      <c r="Q293" s="93">
        <v>76.013232885580649</v>
      </c>
      <c r="R293" s="93">
        <v>460.15027132937496</v>
      </c>
      <c r="S293" s="104">
        <v>230.07513566468748</v>
      </c>
      <c r="T293" s="250" t="s">
        <v>18</v>
      </c>
      <c r="U293" s="90">
        <v>2</v>
      </c>
      <c r="V293" s="251">
        <v>1</v>
      </c>
      <c r="W293" s="90">
        <v>3</v>
      </c>
      <c r="X293" s="93">
        <v>152.0264657711613</v>
      </c>
      <c r="Y293" s="93">
        <v>76.013232885580649</v>
      </c>
      <c r="Z293" s="93">
        <v>460.15027132937496</v>
      </c>
      <c r="AA293" s="104">
        <v>230.07513566468748</v>
      </c>
      <c r="AB293" s="250" t="s">
        <v>107</v>
      </c>
      <c r="AC293" s="97">
        <v>0</v>
      </c>
      <c r="AD293" s="252">
        <v>0</v>
      </c>
      <c r="AE293" s="97">
        <v>0</v>
      </c>
      <c r="AF293" s="93">
        <v>0</v>
      </c>
      <c r="AG293" s="93">
        <v>0</v>
      </c>
      <c r="AH293" s="93">
        <v>0</v>
      </c>
      <c r="AI293" s="93">
        <v>0</v>
      </c>
      <c r="AJ293" s="247" t="s">
        <v>49</v>
      </c>
      <c r="AK293" s="246"/>
      <c r="AL293" s="93">
        <v>0</v>
      </c>
      <c r="AM293" s="93">
        <v>0</v>
      </c>
      <c r="AN293" s="254" t="s">
        <v>198</v>
      </c>
      <c r="AO293" s="246">
        <v>1</v>
      </c>
      <c r="AP293" s="92">
        <v>5.501570183764497</v>
      </c>
      <c r="AQ293" s="282">
        <v>8.1853760018291748</v>
      </c>
      <c r="AR293" s="93">
        <v>0</v>
      </c>
      <c r="AS293" s="104">
        <v>0</v>
      </c>
      <c r="AT293" s="245">
        <v>1</v>
      </c>
      <c r="AU293" s="260">
        <v>0</v>
      </c>
      <c r="AV293" s="93">
        <v>456.07939731348387</v>
      </c>
      <c r="AW293" s="104">
        <v>1380.450813988125</v>
      </c>
      <c r="AX293" s="93">
        <v>461.58096749724837</v>
      </c>
      <c r="AY293" s="243">
        <v>1388.6361899899541</v>
      </c>
    </row>
    <row r="294" spans="1:51" ht="30">
      <c r="A294" s="113" t="s">
        <v>1096</v>
      </c>
      <c r="B294" s="90" t="s">
        <v>1004</v>
      </c>
      <c r="C294" s="246" t="s">
        <v>11</v>
      </c>
      <c r="D294" s="246" t="s">
        <v>305</v>
      </c>
      <c r="E294" s="253" t="s">
        <v>203</v>
      </c>
      <c r="F294" s="253" t="s">
        <v>1359</v>
      </c>
      <c r="G294" s="253" t="s">
        <v>105</v>
      </c>
      <c r="H294" s="246" t="s">
        <v>109</v>
      </c>
      <c r="I294" s="246" t="s">
        <v>142</v>
      </c>
      <c r="J294" s="246" t="s">
        <v>47</v>
      </c>
      <c r="K294" s="256" t="s">
        <v>49</v>
      </c>
      <c r="L294" s="250" t="s">
        <v>18</v>
      </c>
      <c r="M294" s="90">
        <v>0.33</v>
      </c>
      <c r="N294" s="251">
        <v>0.4</v>
      </c>
      <c r="O294" s="90">
        <v>0.73</v>
      </c>
      <c r="P294" s="93">
        <v>19.081969456246018</v>
      </c>
      <c r="Q294" s="93">
        <v>23.129659946964871</v>
      </c>
      <c r="R294" s="93">
        <v>57.75687396434946</v>
      </c>
      <c r="S294" s="104">
        <v>70.008332077999356</v>
      </c>
      <c r="T294" s="254" t="s">
        <v>107</v>
      </c>
      <c r="U294" s="90">
        <v>0</v>
      </c>
      <c r="V294" s="246">
        <v>0</v>
      </c>
      <c r="W294" s="90">
        <v>0</v>
      </c>
      <c r="X294" s="93">
        <v>0</v>
      </c>
      <c r="Y294" s="93">
        <v>0</v>
      </c>
      <c r="Z294" s="93">
        <v>0</v>
      </c>
      <c r="AA294" s="104">
        <v>0</v>
      </c>
      <c r="AB294" s="250" t="s">
        <v>107</v>
      </c>
      <c r="AC294" s="97">
        <v>0</v>
      </c>
      <c r="AD294" s="252">
        <v>0</v>
      </c>
      <c r="AE294" s="97">
        <v>0</v>
      </c>
      <c r="AF294" s="93">
        <v>0</v>
      </c>
      <c r="AG294" s="93">
        <v>0</v>
      </c>
      <c r="AH294" s="93">
        <v>0</v>
      </c>
      <c r="AI294" s="93">
        <v>0</v>
      </c>
      <c r="AJ294" s="247" t="s">
        <v>49</v>
      </c>
      <c r="AK294" s="246"/>
      <c r="AL294" s="93">
        <v>0</v>
      </c>
      <c r="AM294" s="93">
        <v>0</v>
      </c>
      <c r="AN294" s="254" t="s">
        <v>198</v>
      </c>
      <c r="AO294" s="246">
        <v>1</v>
      </c>
      <c r="AP294" s="92">
        <v>5.501570183764497</v>
      </c>
      <c r="AQ294" s="282">
        <v>8.1853760018291748</v>
      </c>
      <c r="AR294" s="93">
        <v>0</v>
      </c>
      <c r="AS294" s="104">
        <v>0</v>
      </c>
      <c r="AT294" s="245">
        <v>1</v>
      </c>
      <c r="AU294" s="260">
        <v>0</v>
      </c>
      <c r="AV294" s="93">
        <v>42.211629403210893</v>
      </c>
      <c r="AW294" s="104">
        <v>127.76520604234881</v>
      </c>
      <c r="AX294" s="93">
        <v>47.713199586975392</v>
      </c>
      <c r="AY294" s="243">
        <v>135.95058204417799</v>
      </c>
    </row>
    <row r="295" spans="1:51" ht="30">
      <c r="A295" s="113" t="s">
        <v>1097</v>
      </c>
      <c r="B295" s="90" t="s">
        <v>1005</v>
      </c>
      <c r="C295" s="246" t="s">
        <v>11</v>
      </c>
      <c r="D295" s="246" t="s">
        <v>305</v>
      </c>
      <c r="E295" s="253" t="s">
        <v>203</v>
      </c>
      <c r="F295" s="253" t="s">
        <v>1359</v>
      </c>
      <c r="G295" s="253" t="s">
        <v>105</v>
      </c>
      <c r="H295" s="246" t="s">
        <v>110</v>
      </c>
      <c r="I295" s="246" t="s">
        <v>142</v>
      </c>
      <c r="J295" s="246" t="s">
        <v>47</v>
      </c>
      <c r="K295" s="256" t="s">
        <v>49</v>
      </c>
      <c r="L295" s="250" t="s">
        <v>18</v>
      </c>
      <c r="M295" s="90">
        <v>2</v>
      </c>
      <c r="N295" s="251">
        <v>0.4</v>
      </c>
      <c r="O295" s="90">
        <v>2.4</v>
      </c>
      <c r="P295" s="93">
        <v>115.64829973482435</v>
      </c>
      <c r="Q295" s="93">
        <v>23.129659946964871</v>
      </c>
      <c r="R295" s="93">
        <v>350.04166038999676</v>
      </c>
      <c r="S295" s="104">
        <v>70.008332077999356</v>
      </c>
      <c r="T295" s="254" t="s">
        <v>107</v>
      </c>
      <c r="U295" s="90">
        <v>0</v>
      </c>
      <c r="V295" s="246">
        <v>0</v>
      </c>
      <c r="W295" s="90">
        <v>0</v>
      </c>
      <c r="X295" s="93">
        <v>0</v>
      </c>
      <c r="Y295" s="93">
        <v>0</v>
      </c>
      <c r="Z295" s="93">
        <v>0</v>
      </c>
      <c r="AA295" s="104">
        <v>0</v>
      </c>
      <c r="AB295" s="250" t="s">
        <v>107</v>
      </c>
      <c r="AC295" s="97">
        <v>0</v>
      </c>
      <c r="AD295" s="252">
        <v>0</v>
      </c>
      <c r="AE295" s="97">
        <v>0</v>
      </c>
      <c r="AF295" s="93">
        <v>0</v>
      </c>
      <c r="AG295" s="93">
        <v>0</v>
      </c>
      <c r="AH295" s="93">
        <v>0</v>
      </c>
      <c r="AI295" s="93">
        <v>0</v>
      </c>
      <c r="AJ295" s="247" t="s">
        <v>49</v>
      </c>
      <c r="AK295" s="246"/>
      <c r="AL295" s="93">
        <v>0</v>
      </c>
      <c r="AM295" s="93">
        <v>0</v>
      </c>
      <c r="AN295" s="254" t="s">
        <v>198</v>
      </c>
      <c r="AO295" s="246">
        <v>1</v>
      </c>
      <c r="AP295" s="92">
        <v>5.501570183764497</v>
      </c>
      <c r="AQ295" s="282">
        <v>8.1853760018291748</v>
      </c>
      <c r="AR295" s="93">
        <v>0</v>
      </c>
      <c r="AS295" s="104">
        <v>0</v>
      </c>
      <c r="AT295" s="245">
        <v>1</v>
      </c>
      <c r="AU295" s="260">
        <v>0</v>
      </c>
      <c r="AV295" s="93">
        <v>138.77795968178921</v>
      </c>
      <c r="AW295" s="104">
        <v>420.04999246799611</v>
      </c>
      <c r="AX295" s="93">
        <v>144.27952986555371</v>
      </c>
      <c r="AY295" s="243">
        <v>428.23536846982529</v>
      </c>
    </row>
    <row r="296" spans="1:51" ht="30">
      <c r="A296" s="113" t="s">
        <v>1098</v>
      </c>
      <c r="B296" s="90" t="s">
        <v>1006</v>
      </c>
      <c r="C296" s="246" t="s">
        <v>11</v>
      </c>
      <c r="D296" s="246" t="s">
        <v>305</v>
      </c>
      <c r="E296" s="253" t="s">
        <v>203</v>
      </c>
      <c r="F296" s="253" t="s">
        <v>1359</v>
      </c>
      <c r="G296" s="253" t="s">
        <v>111</v>
      </c>
      <c r="H296" s="246" t="s">
        <v>109</v>
      </c>
      <c r="I296" s="246" t="s">
        <v>142</v>
      </c>
      <c r="J296" s="246" t="s">
        <v>47</v>
      </c>
      <c r="K296" s="256" t="s">
        <v>49</v>
      </c>
      <c r="L296" s="250" t="s">
        <v>18</v>
      </c>
      <c r="M296" s="90">
        <v>0.33</v>
      </c>
      <c r="N296" s="251">
        <v>0.8833333333333333</v>
      </c>
      <c r="O296" s="92">
        <v>1.2133333333333334</v>
      </c>
      <c r="P296" s="93">
        <v>19.081969456246018</v>
      </c>
      <c r="Q296" s="93">
        <v>51.077999049547422</v>
      </c>
      <c r="R296" s="93">
        <v>57.75687396434946</v>
      </c>
      <c r="S296" s="104">
        <v>154.60173333891527</v>
      </c>
      <c r="T296" s="250" t="s">
        <v>18</v>
      </c>
      <c r="U296" s="90">
        <v>0.33</v>
      </c>
      <c r="V296" s="251">
        <v>0.8833333333333333</v>
      </c>
      <c r="W296" s="92">
        <v>1.2133333333333334</v>
      </c>
      <c r="X296" s="93">
        <v>19.081969456246018</v>
      </c>
      <c r="Y296" s="93">
        <v>51.077999049547422</v>
      </c>
      <c r="Z296" s="93">
        <v>57.75687396434946</v>
      </c>
      <c r="AA296" s="104">
        <v>154.60173333891527</v>
      </c>
      <c r="AB296" s="250" t="s">
        <v>107</v>
      </c>
      <c r="AC296" s="97">
        <v>0</v>
      </c>
      <c r="AD296" s="252">
        <v>0</v>
      </c>
      <c r="AE296" s="97">
        <v>0</v>
      </c>
      <c r="AF296" s="93">
        <v>0</v>
      </c>
      <c r="AG296" s="93">
        <v>0</v>
      </c>
      <c r="AH296" s="93">
        <v>0</v>
      </c>
      <c r="AI296" s="93">
        <v>0</v>
      </c>
      <c r="AJ296" s="247" t="s">
        <v>49</v>
      </c>
      <c r="AK296" s="246"/>
      <c r="AL296" s="93">
        <v>0</v>
      </c>
      <c r="AM296" s="93">
        <v>0</v>
      </c>
      <c r="AN296" s="254" t="s">
        <v>198</v>
      </c>
      <c r="AO296" s="246">
        <v>1</v>
      </c>
      <c r="AP296" s="92">
        <v>5.501570183764497</v>
      </c>
      <c r="AQ296" s="282">
        <v>8.1853760018291748</v>
      </c>
      <c r="AR296" s="93">
        <v>0</v>
      </c>
      <c r="AS296" s="104">
        <v>0</v>
      </c>
      <c r="AT296" s="245">
        <v>1</v>
      </c>
      <c r="AU296" s="260">
        <v>0</v>
      </c>
      <c r="AV296" s="93">
        <v>140.31993701158689</v>
      </c>
      <c r="AW296" s="104">
        <v>424.71721460652947</v>
      </c>
      <c r="AX296" s="93">
        <v>145.82150719535139</v>
      </c>
      <c r="AY296" s="243">
        <v>432.90259060835865</v>
      </c>
    </row>
    <row r="297" spans="1:51" ht="30">
      <c r="A297" s="113" t="s">
        <v>1099</v>
      </c>
      <c r="B297" s="90" t="s">
        <v>1007</v>
      </c>
      <c r="C297" s="246" t="s">
        <v>11</v>
      </c>
      <c r="D297" s="246" t="s">
        <v>305</v>
      </c>
      <c r="E297" s="253" t="s">
        <v>203</v>
      </c>
      <c r="F297" s="253" t="s">
        <v>1359</v>
      </c>
      <c r="G297" s="253" t="s">
        <v>111</v>
      </c>
      <c r="H297" s="246" t="s">
        <v>110</v>
      </c>
      <c r="I297" s="246" t="s">
        <v>142</v>
      </c>
      <c r="J297" s="246" t="s">
        <v>47</v>
      </c>
      <c r="K297" s="256" t="s">
        <v>49</v>
      </c>
      <c r="L297" s="250" t="s">
        <v>18</v>
      </c>
      <c r="M297" s="90">
        <v>2</v>
      </c>
      <c r="N297" s="251">
        <v>0.8833333333333333</v>
      </c>
      <c r="O297" s="92">
        <v>2.8833333333333333</v>
      </c>
      <c r="P297" s="93">
        <v>115.64829973482435</v>
      </c>
      <c r="Q297" s="93">
        <v>51.077999049547422</v>
      </c>
      <c r="R297" s="93">
        <v>350.04166038999676</v>
      </c>
      <c r="S297" s="104">
        <v>154.60173333891527</v>
      </c>
      <c r="T297" s="250" t="s">
        <v>18</v>
      </c>
      <c r="U297" s="90">
        <v>2</v>
      </c>
      <c r="V297" s="251">
        <v>0.8833333333333333</v>
      </c>
      <c r="W297" s="92">
        <v>2.8833333333333333</v>
      </c>
      <c r="X297" s="93">
        <v>115.64829973482435</v>
      </c>
      <c r="Y297" s="93">
        <v>51.077999049547422</v>
      </c>
      <c r="Z297" s="93">
        <v>350.04166038999676</v>
      </c>
      <c r="AA297" s="104">
        <v>154.60173333891527</v>
      </c>
      <c r="AB297" s="250" t="s">
        <v>107</v>
      </c>
      <c r="AC297" s="97">
        <v>0</v>
      </c>
      <c r="AD297" s="252">
        <v>0</v>
      </c>
      <c r="AE297" s="97">
        <v>0</v>
      </c>
      <c r="AF297" s="93">
        <v>0</v>
      </c>
      <c r="AG297" s="93">
        <v>0</v>
      </c>
      <c r="AH297" s="93">
        <v>0</v>
      </c>
      <c r="AI297" s="93">
        <v>0</v>
      </c>
      <c r="AJ297" s="247" t="s">
        <v>49</v>
      </c>
      <c r="AK297" s="246"/>
      <c r="AL297" s="93">
        <v>0</v>
      </c>
      <c r="AM297" s="93">
        <v>0</v>
      </c>
      <c r="AN297" s="254" t="s">
        <v>198</v>
      </c>
      <c r="AO297" s="246">
        <v>1</v>
      </c>
      <c r="AP297" s="92">
        <v>5.501570183764497</v>
      </c>
      <c r="AQ297" s="282">
        <v>8.1853760018291748</v>
      </c>
      <c r="AR297" s="93">
        <v>0</v>
      </c>
      <c r="AS297" s="104">
        <v>0</v>
      </c>
      <c r="AT297" s="245">
        <v>1</v>
      </c>
      <c r="AU297" s="260">
        <v>0</v>
      </c>
      <c r="AV297" s="93">
        <v>333.45259756874356</v>
      </c>
      <c r="AW297" s="104">
        <v>1009.2867874578239</v>
      </c>
      <c r="AX297" s="93">
        <v>338.95416775250806</v>
      </c>
      <c r="AY297" s="243">
        <v>1017.4721634596531</v>
      </c>
    </row>
    <row r="298" spans="1:51" ht="45">
      <c r="A298" s="113" t="s">
        <v>1100</v>
      </c>
      <c r="B298" s="90" t="s">
        <v>1278</v>
      </c>
      <c r="C298" s="246" t="s">
        <v>11</v>
      </c>
      <c r="D298" s="246" t="s">
        <v>305</v>
      </c>
      <c r="E298" s="253" t="s">
        <v>161</v>
      </c>
      <c r="F298" s="253" t="s">
        <v>1441</v>
      </c>
      <c r="G298" s="253" t="s">
        <v>105</v>
      </c>
      <c r="H298" s="246" t="s">
        <v>109</v>
      </c>
      <c r="I298" s="246" t="s">
        <v>142</v>
      </c>
      <c r="J298" s="246" t="s">
        <v>47</v>
      </c>
      <c r="K298" s="256" t="s">
        <v>49</v>
      </c>
      <c r="L298" s="250" t="s">
        <v>18</v>
      </c>
      <c r="M298" s="90">
        <v>0.33</v>
      </c>
      <c r="N298" s="251">
        <v>0.71666666666666667</v>
      </c>
      <c r="O298" s="92">
        <v>1.0466666666666666</v>
      </c>
      <c r="P298" s="93">
        <v>19.081969456246018</v>
      </c>
      <c r="Q298" s="93">
        <v>41.440640738312055</v>
      </c>
      <c r="R298" s="93">
        <v>57.75687396434946</v>
      </c>
      <c r="S298" s="104">
        <v>125.43159497308217</v>
      </c>
      <c r="T298" s="254" t="s">
        <v>107</v>
      </c>
      <c r="U298" s="90">
        <v>0</v>
      </c>
      <c r="V298" s="246">
        <v>0</v>
      </c>
      <c r="W298" s="90">
        <v>0</v>
      </c>
      <c r="X298" s="93">
        <v>0</v>
      </c>
      <c r="Y298" s="93">
        <v>0</v>
      </c>
      <c r="Z298" s="93">
        <v>0</v>
      </c>
      <c r="AA298" s="104">
        <v>0</v>
      </c>
      <c r="AB298" s="250" t="s">
        <v>107</v>
      </c>
      <c r="AC298" s="97">
        <v>0</v>
      </c>
      <c r="AD298" s="252">
        <v>0</v>
      </c>
      <c r="AE298" s="97">
        <v>0</v>
      </c>
      <c r="AF298" s="93">
        <v>0</v>
      </c>
      <c r="AG298" s="93">
        <v>0</v>
      </c>
      <c r="AH298" s="93">
        <v>0</v>
      </c>
      <c r="AI298" s="93">
        <v>0</v>
      </c>
      <c r="AJ298" s="247" t="s">
        <v>142</v>
      </c>
      <c r="AK298" s="246"/>
      <c r="AL298" s="93">
        <v>72.019626135749959</v>
      </c>
      <c r="AM298" s="93">
        <v>101.47029444057657</v>
      </c>
      <c r="AN298" s="254" t="s">
        <v>198</v>
      </c>
      <c r="AO298" s="246">
        <v>1</v>
      </c>
      <c r="AP298" s="92">
        <v>5.501570183764497</v>
      </c>
      <c r="AQ298" s="282">
        <v>8.1853760018291748</v>
      </c>
      <c r="AR298" s="93">
        <v>0</v>
      </c>
      <c r="AS298" s="104">
        <v>0</v>
      </c>
      <c r="AT298" s="245">
        <v>0.34452296819999995</v>
      </c>
      <c r="AU298" s="265">
        <v>0.65547703180000005</v>
      </c>
      <c r="AV298" s="93">
        <v>68.058640078247819</v>
      </c>
      <c r="AW298" s="104">
        <v>129.62408247411861</v>
      </c>
      <c r="AX298" s="93">
        <v>73.560210262012319</v>
      </c>
      <c r="AY298" s="243">
        <v>137.80945847594779</v>
      </c>
    </row>
    <row r="299" spans="1:51" ht="45">
      <c r="A299" s="113" t="s">
        <v>1101</v>
      </c>
      <c r="B299" s="90" t="s">
        <v>1279</v>
      </c>
      <c r="C299" s="246" t="s">
        <v>11</v>
      </c>
      <c r="D299" s="246" t="s">
        <v>305</v>
      </c>
      <c r="E299" s="253" t="s">
        <v>161</v>
      </c>
      <c r="F299" s="253" t="s">
        <v>1441</v>
      </c>
      <c r="G299" s="253" t="s">
        <v>105</v>
      </c>
      <c r="H299" s="246" t="s">
        <v>110</v>
      </c>
      <c r="I299" s="246" t="s">
        <v>142</v>
      </c>
      <c r="J299" s="246" t="s">
        <v>47</v>
      </c>
      <c r="K299" s="256" t="s">
        <v>49</v>
      </c>
      <c r="L299" s="250" t="s">
        <v>18</v>
      </c>
      <c r="M299" s="90">
        <v>2</v>
      </c>
      <c r="N299" s="251">
        <v>0.71666666666666667</v>
      </c>
      <c r="O299" s="92">
        <v>2.7166666666666668</v>
      </c>
      <c r="P299" s="93">
        <v>115.64829973482435</v>
      </c>
      <c r="Q299" s="93">
        <v>41.440640738312055</v>
      </c>
      <c r="R299" s="93">
        <v>350.04166038999676</v>
      </c>
      <c r="S299" s="104">
        <v>125.43159497308217</v>
      </c>
      <c r="T299" s="254" t="s">
        <v>107</v>
      </c>
      <c r="U299" s="90">
        <v>0</v>
      </c>
      <c r="V299" s="246">
        <v>0</v>
      </c>
      <c r="W299" s="90">
        <v>0</v>
      </c>
      <c r="X299" s="93">
        <v>0</v>
      </c>
      <c r="Y299" s="93">
        <v>0</v>
      </c>
      <c r="Z299" s="93">
        <v>0</v>
      </c>
      <c r="AA299" s="104">
        <v>0</v>
      </c>
      <c r="AB299" s="250" t="s">
        <v>107</v>
      </c>
      <c r="AC299" s="97">
        <v>0</v>
      </c>
      <c r="AD299" s="252">
        <v>0</v>
      </c>
      <c r="AE299" s="97">
        <v>0</v>
      </c>
      <c r="AF299" s="93">
        <v>0</v>
      </c>
      <c r="AG299" s="93">
        <v>0</v>
      </c>
      <c r="AH299" s="93">
        <v>0</v>
      </c>
      <c r="AI299" s="93">
        <v>0</v>
      </c>
      <c r="AJ299" s="247" t="s">
        <v>142</v>
      </c>
      <c r="AK299" s="246"/>
      <c r="AL299" s="93">
        <v>72.019626135749959</v>
      </c>
      <c r="AM299" s="93">
        <v>101.47029444057657</v>
      </c>
      <c r="AN299" s="254" t="s">
        <v>198</v>
      </c>
      <c r="AO299" s="246">
        <v>1</v>
      </c>
      <c r="AP299" s="92">
        <v>5.501570183764497</v>
      </c>
      <c r="AQ299" s="282">
        <v>8.1853760018291748</v>
      </c>
      <c r="AR299" s="93">
        <v>0</v>
      </c>
      <c r="AS299" s="104">
        <v>0</v>
      </c>
      <c r="AT299" s="245">
        <v>0.34452296819999995</v>
      </c>
      <c r="AU299" s="260">
        <v>0.65547703180000005</v>
      </c>
      <c r="AV299" s="93">
        <v>101.32795881400514</v>
      </c>
      <c r="AW299" s="104">
        <v>230.32290465318567</v>
      </c>
      <c r="AX299" s="93">
        <v>106.82952899776964</v>
      </c>
      <c r="AY299" s="243">
        <v>238.50828065501486</v>
      </c>
    </row>
    <row r="300" spans="1:51" ht="45">
      <c r="A300" s="113" t="s">
        <v>1102</v>
      </c>
      <c r="B300" s="90" t="s">
        <v>1280</v>
      </c>
      <c r="C300" s="246" t="s">
        <v>11</v>
      </c>
      <c r="D300" s="246" t="s">
        <v>305</v>
      </c>
      <c r="E300" s="258" t="s">
        <v>161</v>
      </c>
      <c r="F300" s="253" t="s">
        <v>1441</v>
      </c>
      <c r="G300" s="253" t="s">
        <v>112</v>
      </c>
      <c r="H300" s="246" t="s">
        <v>109</v>
      </c>
      <c r="I300" s="246" t="s">
        <v>142</v>
      </c>
      <c r="J300" s="246" t="s">
        <v>113</v>
      </c>
      <c r="K300" s="256" t="s">
        <v>49</v>
      </c>
      <c r="L300" s="250" t="s">
        <v>18</v>
      </c>
      <c r="M300" s="90">
        <v>0.33</v>
      </c>
      <c r="N300" s="251">
        <v>0.71666666666666667</v>
      </c>
      <c r="O300" s="92">
        <v>1.0466666666666666</v>
      </c>
      <c r="P300" s="93">
        <v>25.084366852241615</v>
      </c>
      <c r="Q300" s="93">
        <v>54.476150234666136</v>
      </c>
      <c r="R300" s="93">
        <v>75.924794769346875</v>
      </c>
      <c r="S300" s="104">
        <v>164.88718055969269</v>
      </c>
      <c r="T300" s="254" t="s">
        <v>107</v>
      </c>
      <c r="U300" s="90">
        <v>0</v>
      </c>
      <c r="V300" s="246">
        <v>0</v>
      </c>
      <c r="W300" s="90">
        <v>0</v>
      </c>
      <c r="X300" s="93">
        <v>0</v>
      </c>
      <c r="Y300" s="93">
        <v>0</v>
      </c>
      <c r="Z300" s="93">
        <v>0</v>
      </c>
      <c r="AA300" s="104">
        <v>0</v>
      </c>
      <c r="AB300" s="250" t="s">
        <v>107</v>
      </c>
      <c r="AC300" s="97">
        <v>0</v>
      </c>
      <c r="AD300" s="252">
        <v>0</v>
      </c>
      <c r="AE300" s="97">
        <v>0</v>
      </c>
      <c r="AF300" s="93">
        <v>0</v>
      </c>
      <c r="AG300" s="93">
        <v>0</v>
      </c>
      <c r="AH300" s="93">
        <v>0</v>
      </c>
      <c r="AI300" s="93">
        <v>0</v>
      </c>
      <c r="AJ300" s="247" t="s">
        <v>142</v>
      </c>
      <c r="AK300" s="246"/>
      <c r="AL300" s="93">
        <v>103.17182547208077</v>
      </c>
      <c r="AM300" s="93">
        <v>145.36142535495819</v>
      </c>
      <c r="AN300" s="254" t="s">
        <v>198</v>
      </c>
      <c r="AO300" s="246">
        <v>1</v>
      </c>
      <c r="AP300" s="92">
        <v>5.501570183764497</v>
      </c>
      <c r="AQ300" s="282">
        <v>8.1853760018291748</v>
      </c>
      <c r="AR300" s="93">
        <v>0</v>
      </c>
      <c r="AS300" s="104">
        <v>0</v>
      </c>
      <c r="AT300" s="245">
        <v>0.34452296819999995</v>
      </c>
      <c r="AU300" s="260">
        <v>0.65547703180000005</v>
      </c>
      <c r="AV300" s="93">
        <v>95.037187424135411</v>
      </c>
      <c r="AW300" s="104">
        <v>178.24633214835114</v>
      </c>
      <c r="AX300" s="93">
        <v>100.53875760789991</v>
      </c>
      <c r="AY300" s="243">
        <v>186.43170815018033</v>
      </c>
    </row>
    <row r="301" spans="1:51" ht="45">
      <c r="A301" s="113" t="s">
        <v>1103</v>
      </c>
      <c r="B301" s="90" t="s">
        <v>1281</v>
      </c>
      <c r="C301" s="246" t="s">
        <v>11</v>
      </c>
      <c r="D301" s="246" t="s">
        <v>305</v>
      </c>
      <c r="E301" s="258" t="s">
        <v>161</v>
      </c>
      <c r="F301" s="253" t="s">
        <v>1441</v>
      </c>
      <c r="G301" s="253" t="s">
        <v>112</v>
      </c>
      <c r="H301" s="246" t="s">
        <v>110</v>
      </c>
      <c r="I301" s="246" t="s">
        <v>142</v>
      </c>
      <c r="J301" s="246" t="s">
        <v>113</v>
      </c>
      <c r="K301" s="256" t="s">
        <v>49</v>
      </c>
      <c r="L301" s="250" t="s">
        <v>18</v>
      </c>
      <c r="M301" s="90">
        <v>2</v>
      </c>
      <c r="N301" s="251">
        <v>0.71666666666666667</v>
      </c>
      <c r="O301" s="92">
        <v>2.7166666666666668</v>
      </c>
      <c r="P301" s="93">
        <v>152.0264657711613</v>
      </c>
      <c r="Q301" s="93">
        <v>54.476150234666136</v>
      </c>
      <c r="R301" s="93">
        <v>460.15027132937496</v>
      </c>
      <c r="S301" s="104">
        <v>164.88718055969269</v>
      </c>
      <c r="T301" s="254" t="s">
        <v>107</v>
      </c>
      <c r="U301" s="90">
        <v>0</v>
      </c>
      <c r="V301" s="246">
        <v>0</v>
      </c>
      <c r="W301" s="90">
        <v>0</v>
      </c>
      <c r="X301" s="93">
        <v>0</v>
      </c>
      <c r="Y301" s="93">
        <v>0</v>
      </c>
      <c r="Z301" s="93">
        <v>0</v>
      </c>
      <c r="AA301" s="104">
        <v>0</v>
      </c>
      <c r="AB301" s="250" t="s">
        <v>107</v>
      </c>
      <c r="AC301" s="97">
        <v>0</v>
      </c>
      <c r="AD301" s="252">
        <v>0</v>
      </c>
      <c r="AE301" s="97">
        <v>0</v>
      </c>
      <c r="AF301" s="93">
        <v>0</v>
      </c>
      <c r="AG301" s="93">
        <v>0</v>
      </c>
      <c r="AH301" s="93">
        <v>0</v>
      </c>
      <c r="AI301" s="93">
        <v>0</v>
      </c>
      <c r="AJ301" s="247" t="s">
        <v>142</v>
      </c>
      <c r="AK301" s="246"/>
      <c r="AL301" s="93">
        <v>103.17182547208077</v>
      </c>
      <c r="AM301" s="93">
        <v>145.36142535495819</v>
      </c>
      <c r="AN301" s="254" t="s">
        <v>198</v>
      </c>
      <c r="AO301" s="246">
        <v>1</v>
      </c>
      <c r="AP301" s="92">
        <v>5.501570183764497</v>
      </c>
      <c r="AQ301" s="282">
        <v>8.1853760018291748</v>
      </c>
      <c r="AR301" s="93">
        <v>0</v>
      </c>
      <c r="AS301" s="104">
        <v>0</v>
      </c>
      <c r="AT301" s="245">
        <v>0.34452296819999995</v>
      </c>
      <c r="AU301" s="260">
        <v>0.65547703180000005</v>
      </c>
      <c r="AV301" s="93">
        <v>138.77165613321961</v>
      </c>
      <c r="AW301" s="104">
        <v>310.62083379087153</v>
      </c>
      <c r="AX301" s="93">
        <v>144.27322631698411</v>
      </c>
      <c r="AY301" s="243">
        <v>318.80620979270071</v>
      </c>
    </row>
    <row r="302" spans="1:51" ht="45">
      <c r="A302" s="113" t="s">
        <v>1104</v>
      </c>
      <c r="B302" s="90" t="s">
        <v>1008</v>
      </c>
      <c r="C302" s="246" t="s">
        <v>11</v>
      </c>
      <c r="D302" s="246" t="s">
        <v>305</v>
      </c>
      <c r="E302" s="253" t="s">
        <v>161</v>
      </c>
      <c r="F302" s="253" t="s">
        <v>1441</v>
      </c>
      <c r="G302" s="253" t="s">
        <v>111</v>
      </c>
      <c r="H302" s="246" t="s">
        <v>109</v>
      </c>
      <c r="I302" s="246" t="s">
        <v>142</v>
      </c>
      <c r="J302" s="246" t="s">
        <v>47</v>
      </c>
      <c r="K302" s="256" t="s">
        <v>49</v>
      </c>
      <c r="L302" s="250" t="s">
        <v>18</v>
      </c>
      <c r="M302" s="90">
        <v>0.33</v>
      </c>
      <c r="N302" s="251">
        <v>2.2666666666666666</v>
      </c>
      <c r="O302" s="92">
        <v>2.5966666666666667</v>
      </c>
      <c r="P302" s="93">
        <v>19.081969456246018</v>
      </c>
      <c r="Q302" s="93">
        <v>131.06807303280092</v>
      </c>
      <c r="R302" s="93">
        <v>57.75687396434946</v>
      </c>
      <c r="S302" s="104">
        <v>396.71388177532964</v>
      </c>
      <c r="T302" s="250" t="s">
        <v>18</v>
      </c>
      <c r="U302" s="90">
        <v>0.33</v>
      </c>
      <c r="V302" s="251">
        <v>2.2666666666666666</v>
      </c>
      <c r="W302" s="92">
        <v>2.5966666666666667</v>
      </c>
      <c r="X302" s="93">
        <v>19.081969456246018</v>
      </c>
      <c r="Y302" s="93">
        <v>131.06807303280092</v>
      </c>
      <c r="Z302" s="93">
        <v>57.75687396434946</v>
      </c>
      <c r="AA302" s="104">
        <v>396.71388177532964</v>
      </c>
      <c r="AB302" s="250" t="s">
        <v>107</v>
      </c>
      <c r="AC302" s="97">
        <v>0</v>
      </c>
      <c r="AD302" s="252">
        <v>0</v>
      </c>
      <c r="AE302" s="97">
        <v>0</v>
      </c>
      <c r="AF302" s="93">
        <v>0</v>
      </c>
      <c r="AG302" s="93">
        <v>0</v>
      </c>
      <c r="AH302" s="93">
        <v>0</v>
      </c>
      <c r="AI302" s="93">
        <v>0</v>
      </c>
      <c r="AJ302" s="247" t="s">
        <v>49</v>
      </c>
      <c r="AK302" s="246"/>
      <c r="AL302" s="93">
        <v>0</v>
      </c>
      <c r="AM302" s="93">
        <v>0</v>
      </c>
      <c r="AN302" s="254" t="s">
        <v>198</v>
      </c>
      <c r="AO302" s="246">
        <v>1</v>
      </c>
      <c r="AP302" s="92">
        <v>5.501570183764497</v>
      </c>
      <c r="AQ302" s="282">
        <v>8.1853760018291748</v>
      </c>
      <c r="AR302" s="93">
        <v>0</v>
      </c>
      <c r="AS302" s="104">
        <v>0</v>
      </c>
      <c r="AT302" s="245">
        <v>1</v>
      </c>
      <c r="AU302" s="260">
        <v>0</v>
      </c>
      <c r="AV302" s="93">
        <v>300.30008497809388</v>
      </c>
      <c r="AW302" s="104">
        <v>908.94151147935827</v>
      </c>
      <c r="AX302" s="93">
        <v>305.80165516185838</v>
      </c>
      <c r="AY302" s="243">
        <v>917.1268874811874</v>
      </c>
    </row>
    <row r="303" spans="1:51" ht="45">
      <c r="A303" s="113" t="s">
        <v>1105</v>
      </c>
      <c r="B303" s="90" t="s">
        <v>1009</v>
      </c>
      <c r="C303" s="246" t="s">
        <v>11</v>
      </c>
      <c r="D303" s="246" t="s">
        <v>305</v>
      </c>
      <c r="E303" s="253" t="s">
        <v>161</v>
      </c>
      <c r="F303" s="253" t="s">
        <v>1441</v>
      </c>
      <c r="G303" s="253" t="s">
        <v>111</v>
      </c>
      <c r="H303" s="246" t="s">
        <v>110</v>
      </c>
      <c r="I303" s="246" t="s">
        <v>142</v>
      </c>
      <c r="J303" s="246" t="s">
        <v>47</v>
      </c>
      <c r="K303" s="256" t="s">
        <v>49</v>
      </c>
      <c r="L303" s="250" t="s">
        <v>18</v>
      </c>
      <c r="M303" s="90">
        <v>2</v>
      </c>
      <c r="N303" s="251">
        <v>2.2666666666666666</v>
      </c>
      <c r="O303" s="92">
        <v>4.2666666666666666</v>
      </c>
      <c r="P303" s="93">
        <v>115.64829973482435</v>
      </c>
      <c r="Q303" s="93">
        <v>131.06807303280092</v>
      </c>
      <c r="R303" s="93">
        <v>350.04166038999676</v>
      </c>
      <c r="S303" s="104">
        <v>396.71388177532964</v>
      </c>
      <c r="T303" s="250" t="s">
        <v>18</v>
      </c>
      <c r="U303" s="90">
        <v>2</v>
      </c>
      <c r="V303" s="251">
        <v>2.2666666666666666</v>
      </c>
      <c r="W303" s="92">
        <v>4.2666666666666666</v>
      </c>
      <c r="X303" s="93">
        <v>115.64829973482435</v>
      </c>
      <c r="Y303" s="93">
        <v>131.06807303280092</v>
      </c>
      <c r="Z303" s="93">
        <v>350.04166038999676</v>
      </c>
      <c r="AA303" s="104">
        <v>396.71388177532964</v>
      </c>
      <c r="AB303" s="250" t="s">
        <v>107</v>
      </c>
      <c r="AC303" s="97">
        <v>0</v>
      </c>
      <c r="AD303" s="252">
        <v>0</v>
      </c>
      <c r="AE303" s="97">
        <v>0</v>
      </c>
      <c r="AF303" s="93">
        <v>0</v>
      </c>
      <c r="AG303" s="93">
        <v>0</v>
      </c>
      <c r="AH303" s="93">
        <v>0</v>
      </c>
      <c r="AI303" s="93">
        <v>0</v>
      </c>
      <c r="AJ303" s="247" t="s">
        <v>49</v>
      </c>
      <c r="AK303" s="246"/>
      <c r="AL303" s="93">
        <v>0</v>
      </c>
      <c r="AM303" s="93">
        <v>0</v>
      </c>
      <c r="AN303" s="254" t="s">
        <v>198</v>
      </c>
      <c r="AO303" s="246">
        <v>1</v>
      </c>
      <c r="AP303" s="92">
        <v>5.501570183764497</v>
      </c>
      <c r="AQ303" s="282">
        <v>8.1853760018291748</v>
      </c>
      <c r="AR303" s="93">
        <v>0</v>
      </c>
      <c r="AS303" s="104">
        <v>0</v>
      </c>
      <c r="AT303" s="245">
        <v>1</v>
      </c>
      <c r="AU303" s="260">
        <v>0</v>
      </c>
      <c r="AV303" s="93">
        <v>493.43274553525055</v>
      </c>
      <c r="AW303" s="104">
        <v>1493.5110843306527</v>
      </c>
      <c r="AX303" s="93">
        <v>498.93431571901505</v>
      </c>
      <c r="AY303" s="243">
        <v>1501.6964603324818</v>
      </c>
    </row>
    <row r="304" spans="1:51" ht="45">
      <c r="A304" s="113" t="s">
        <v>1106</v>
      </c>
      <c r="B304" s="90" t="s">
        <v>1010</v>
      </c>
      <c r="C304" s="246" t="s">
        <v>11</v>
      </c>
      <c r="D304" s="246" t="s">
        <v>305</v>
      </c>
      <c r="E304" s="253" t="s">
        <v>161</v>
      </c>
      <c r="F304" s="253" t="s">
        <v>1441</v>
      </c>
      <c r="G304" s="253" t="s">
        <v>121</v>
      </c>
      <c r="H304" s="246" t="s">
        <v>109</v>
      </c>
      <c r="I304" s="246" t="s">
        <v>142</v>
      </c>
      <c r="J304" s="246" t="s">
        <v>113</v>
      </c>
      <c r="K304" s="256" t="s">
        <v>49</v>
      </c>
      <c r="L304" s="250" t="s">
        <v>18</v>
      </c>
      <c r="M304" s="90">
        <v>0.33</v>
      </c>
      <c r="N304" s="251">
        <v>2.2666666666666666</v>
      </c>
      <c r="O304" s="92">
        <v>2.5966666666666667</v>
      </c>
      <c r="P304" s="93">
        <v>25.084366852241615</v>
      </c>
      <c r="Q304" s="93">
        <v>172.29666120731613</v>
      </c>
      <c r="R304" s="93">
        <v>75.924794769346875</v>
      </c>
      <c r="S304" s="104">
        <v>521.50364083995828</v>
      </c>
      <c r="T304" s="250" t="s">
        <v>18</v>
      </c>
      <c r="U304" s="90">
        <v>0.33</v>
      </c>
      <c r="V304" s="251">
        <v>2.2666666666666666</v>
      </c>
      <c r="W304" s="92">
        <v>2.5966666666666667</v>
      </c>
      <c r="X304" s="93">
        <v>25.084366852241615</v>
      </c>
      <c r="Y304" s="93">
        <v>172.29666120731613</v>
      </c>
      <c r="Z304" s="93">
        <v>75.924794769346875</v>
      </c>
      <c r="AA304" s="104">
        <v>521.50364083995828</v>
      </c>
      <c r="AB304" s="250" t="s">
        <v>107</v>
      </c>
      <c r="AC304" s="97">
        <v>0</v>
      </c>
      <c r="AD304" s="252">
        <v>0</v>
      </c>
      <c r="AE304" s="97">
        <v>0</v>
      </c>
      <c r="AF304" s="93">
        <v>0</v>
      </c>
      <c r="AG304" s="93">
        <v>0</v>
      </c>
      <c r="AH304" s="93">
        <v>0</v>
      </c>
      <c r="AI304" s="93">
        <v>0</v>
      </c>
      <c r="AJ304" s="247" t="s">
        <v>49</v>
      </c>
      <c r="AK304" s="246"/>
      <c r="AL304" s="93">
        <v>0</v>
      </c>
      <c r="AM304" s="93">
        <v>0</v>
      </c>
      <c r="AN304" s="254" t="s">
        <v>198</v>
      </c>
      <c r="AO304" s="246">
        <v>1</v>
      </c>
      <c r="AP304" s="92">
        <v>5.501570183764497</v>
      </c>
      <c r="AQ304" s="282">
        <v>8.1853760018291748</v>
      </c>
      <c r="AR304" s="93">
        <v>0</v>
      </c>
      <c r="AS304" s="104">
        <v>0</v>
      </c>
      <c r="AT304" s="245">
        <v>1</v>
      </c>
      <c r="AU304" s="260">
        <v>0</v>
      </c>
      <c r="AV304" s="93">
        <v>394.76205611911553</v>
      </c>
      <c r="AW304" s="104">
        <v>1194.8568712186102</v>
      </c>
      <c r="AX304" s="93">
        <v>400.26362630288003</v>
      </c>
      <c r="AY304" s="243">
        <v>1203.0422472204393</v>
      </c>
    </row>
    <row r="305" spans="1:51" ht="45">
      <c r="A305" s="113" t="s">
        <v>1107</v>
      </c>
      <c r="B305" s="90" t="s">
        <v>1011</v>
      </c>
      <c r="C305" s="246" t="s">
        <v>11</v>
      </c>
      <c r="D305" s="246" t="s">
        <v>305</v>
      </c>
      <c r="E305" s="253" t="s">
        <v>161</v>
      </c>
      <c r="F305" s="253" t="s">
        <v>1441</v>
      </c>
      <c r="G305" s="253" t="s">
        <v>121</v>
      </c>
      <c r="H305" s="246" t="s">
        <v>110</v>
      </c>
      <c r="I305" s="246" t="s">
        <v>142</v>
      </c>
      <c r="J305" s="246" t="s">
        <v>113</v>
      </c>
      <c r="K305" s="256" t="s">
        <v>49</v>
      </c>
      <c r="L305" s="250" t="s">
        <v>18</v>
      </c>
      <c r="M305" s="90">
        <v>2</v>
      </c>
      <c r="N305" s="251">
        <v>2.2666666666666666</v>
      </c>
      <c r="O305" s="92">
        <v>4.2666666666666666</v>
      </c>
      <c r="P305" s="93">
        <v>152.0264657711613</v>
      </c>
      <c r="Q305" s="93">
        <v>172.29666120731613</v>
      </c>
      <c r="R305" s="93">
        <v>460.15027132937496</v>
      </c>
      <c r="S305" s="104">
        <v>521.50364083995828</v>
      </c>
      <c r="T305" s="250" t="s">
        <v>18</v>
      </c>
      <c r="U305" s="90">
        <v>2</v>
      </c>
      <c r="V305" s="251">
        <v>2.2666666666666666</v>
      </c>
      <c r="W305" s="92">
        <v>4.2666666666666666</v>
      </c>
      <c r="X305" s="93">
        <v>152.0264657711613</v>
      </c>
      <c r="Y305" s="93">
        <v>172.29666120731613</v>
      </c>
      <c r="Z305" s="93">
        <v>460.15027132937496</v>
      </c>
      <c r="AA305" s="104">
        <v>521.50364083995828</v>
      </c>
      <c r="AB305" s="250" t="s">
        <v>107</v>
      </c>
      <c r="AC305" s="97">
        <v>0</v>
      </c>
      <c r="AD305" s="252">
        <v>0</v>
      </c>
      <c r="AE305" s="97">
        <v>0</v>
      </c>
      <c r="AF305" s="93">
        <v>0</v>
      </c>
      <c r="AG305" s="93">
        <v>0</v>
      </c>
      <c r="AH305" s="93">
        <v>0</v>
      </c>
      <c r="AI305" s="93">
        <v>0</v>
      </c>
      <c r="AJ305" s="247" t="s">
        <v>49</v>
      </c>
      <c r="AK305" s="246"/>
      <c r="AL305" s="93">
        <v>0</v>
      </c>
      <c r="AM305" s="93">
        <v>0</v>
      </c>
      <c r="AN305" s="254" t="s">
        <v>198</v>
      </c>
      <c r="AO305" s="246">
        <v>1</v>
      </c>
      <c r="AP305" s="92">
        <v>5.501570183764497</v>
      </c>
      <c r="AQ305" s="282">
        <v>8.1853760018291748</v>
      </c>
      <c r="AR305" s="93">
        <v>0</v>
      </c>
      <c r="AS305" s="104">
        <v>0</v>
      </c>
      <c r="AT305" s="245">
        <v>1</v>
      </c>
      <c r="AU305" s="260">
        <v>0</v>
      </c>
      <c r="AV305" s="93">
        <v>648.64625395695487</v>
      </c>
      <c r="AW305" s="104">
        <v>1963.3078243386665</v>
      </c>
      <c r="AX305" s="93">
        <v>654.14782414071931</v>
      </c>
      <c r="AY305" s="243">
        <v>1971.4932003404956</v>
      </c>
    </row>
    <row r="306" spans="1:51" ht="60">
      <c r="A306" s="113">
        <v>301</v>
      </c>
      <c r="B306" s="90" t="s">
        <v>1012</v>
      </c>
      <c r="C306" s="246" t="s">
        <v>11</v>
      </c>
      <c r="D306" s="246" t="s">
        <v>305</v>
      </c>
      <c r="E306" s="253" t="s">
        <v>179</v>
      </c>
      <c r="F306" s="253" t="s">
        <v>1360</v>
      </c>
      <c r="G306" s="253" t="s">
        <v>127</v>
      </c>
      <c r="H306" s="246" t="s">
        <v>109</v>
      </c>
      <c r="I306" s="246" t="s">
        <v>49</v>
      </c>
      <c r="J306" s="246" t="s">
        <v>47</v>
      </c>
      <c r="K306" s="256" t="s">
        <v>49</v>
      </c>
      <c r="L306" s="250" t="s">
        <v>107</v>
      </c>
      <c r="M306" s="90">
        <v>0</v>
      </c>
      <c r="N306" s="267">
        <v>0</v>
      </c>
      <c r="O306" s="90">
        <v>0</v>
      </c>
      <c r="P306" s="93">
        <v>0</v>
      </c>
      <c r="Q306" s="93">
        <v>0</v>
      </c>
      <c r="R306" s="93">
        <v>0</v>
      </c>
      <c r="S306" s="104">
        <v>0</v>
      </c>
      <c r="T306" s="266" t="s">
        <v>107</v>
      </c>
      <c r="U306" s="90">
        <v>0</v>
      </c>
      <c r="V306" s="246">
        <v>0</v>
      </c>
      <c r="W306" s="90">
        <v>0</v>
      </c>
      <c r="X306" s="93">
        <v>0</v>
      </c>
      <c r="Y306" s="93">
        <v>0</v>
      </c>
      <c r="Z306" s="93">
        <v>0</v>
      </c>
      <c r="AA306" s="104">
        <v>0</v>
      </c>
      <c r="AB306" s="250" t="s">
        <v>107</v>
      </c>
      <c r="AC306" s="97">
        <v>0</v>
      </c>
      <c r="AD306" s="252">
        <v>0</v>
      </c>
      <c r="AE306" s="97">
        <v>0</v>
      </c>
      <c r="AF306" s="93">
        <v>0</v>
      </c>
      <c r="AG306" s="93">
        <v>0</v>
      </c>
      <c r="AH306" s="93">
        <v>0</v>
      </c>
      <c r="AI306" s="93">
        <v>0</v>
      </c>
      <c r="AJ306" s="247" t="s">
        <v>142</v>
      </c>
      <c r="AK306" s="246"/>
      <c r="AL306" s="93">
        <v>25.081461838320884</v>
      </c>
      <c r="AM306" s="93">
        <v>35.33791348676796</v>
      </c>
      <c r="AN306" s="254" t="s">
        <v>0</v>
      </c>
      <c r="AO306" s="246"/>
      <c r="AP306" s="92">
        <v>0</v>
      </c>
      <c r="AQ306" s="282">
        <v>0</v>
      </c>
      <c r="AR306" s="93">
        <v>0</v>
      </c>
      <c r="AS306" s="104">
        <v>0</v>
      </c>
      <c r="AT306" s="245">
        <v>0</v>
      </c>
      <c r="AU306" s="260">
        <v>1</v>
      </c>
      <c r="AV306" s="93">
        <v>25.081461838320884</v>
      </c>
      <c r="AW306" s="104">
        <v>35.33791348676796</v>
      </c>
      <c r="AX306" s="93">
        <v>25.081461838320884</v>
      </c>
      <c r="AY306" s="243">
        <v>35.33791348676796</v>
      </c>
    </row>
    <row r="307" spans="1:51" ht="60">
      <c r="A307" s="113">
        <v>302</v>
      </c>
      <c r="B307" s="90" t="s">
        <v>1013</v>
      </c>
      <c r="C307" s="246" t="s">
        <v>11</v>
      </c>
      <c r="D307" s="246" t="s">
        <v>305</v>
      </c>
      <c r="E307" s="253" t="s">
        <v>179</v>
      </c>
      <c r="F307" s="253" t="s">
        <v>1360</v>
      </c>
      <c r="G307" s="253" t="s">
        <v>127</v>
      </c>
      <c r="H307" s="246" t="s">
        <v>110</v>
      </c>
      <c r="I307" s="246" t="s">
        <v>49</v>
      </c>
      <c r="J307" s="246" t="s">
        <v>47</v>
      </c>
      <c r="K307" s="256" t="s">
        <v>49</v>
      </c>
      <c r="L307" s="250" t="s">
        <v>107</v>
      </c>
      <c r="M307" s="90">
        <v>0</v>
      </c>
      <c r="N307" s="267">
        <v>0</v>
      </c>
      <c r="O307" s="90">
        <v>0</v>
      </c>
      <c r="P307" s="93">
        <v>0</v>
      </c>
      <c r="Q307" s="93">
        <v>0</v>
      </c>
      <c r="R307" s="93">
        <v>0</v>
      </c>
      <c r="S307" s="104">
        <v>0</v>
      </c>
      <c r="T307" s="266" t="s">
        <v>107</v>
      </c>
      <c r="U307" s="90">
        <v>0</v>
      </c>
      <c r="V307" s="246">
        <v>0</v>
      </c>
      <c r="W307" s="90">
        <v>0</v>
      </c>
      <c r="X307" s="93">
        <v>0</v>
      </c>
      <c r="Y307" s="93">
        <v>0</v>
      </c>
      <c r="Z307" s="93">
        <v>0</v>
      </c>
      <c r="AA307" s="104">
        <v>0</v>
      </c>
      <c r="AB307" s="250" t="s">
        <v>107</v>
      </c>
      <c r="AC307" s="97">
        <v>0</v>
      </c>
      <c r="AD307" s="252">
        <v>0</v>
      </c>
      <c r="AE307" s="97">
        <v>0</v>
      </c>
      <c r="AF307" s="93">
        <v>0</v>
      </c>
      <c r="AG307" s="93">
        <v>0</v>
      </c>
      <c r="AH307" s="93">
        <v>0</v>
      </c>
      <c r="AI307" s="93">
        <v>0</v>
      </c>
      <c r="AJ307" s="247" t="s">
        <v>142</v>
      </c>
      <c r="AK307" s="246"/>
      <c r="AL307" s="93">
        <v>25.081461838320884</v>
      </c>
      <c r="AM307" s="93">
        <v>35.33791348676796</v>
      </c>
      <c r="AN307" s="254" t="s">
        <v>0</v>
      </c>
      <c r="AO307" s="246"/>
      <c r="AP307" s="92">
        <v>0</v>
      </c>
      <c r="AQ307" s="282">
        <v>0</v>
      </c>
      <c r="AR307" s="93">
        <v>0</v>
      </c>
      <c r="AS307" s="104">
        <v>0</v>
      </c>
      <c r="AT307" s="245">
        <v>0</v>
      </c>
      <c r="AU307" s="260">
        <v>1</v>
      </c>
      <c r="AV307" s="93">
        <v>25.081461838320884</v>
      </c>
      <c r="AW307" s="104">
        <v>35.33791348676796</v>
      </c>
      <c r="AX307" s="93">
        <v>25.081461838320884</v>
      </c>
      <c r="AY307" s="243">
        <v>35.33791348676796</v>
      </c>
    </row>
    <row r="308" spans="1:51" ht="30">
      <c r="A308" s="113">
        <v>303</v>
      </c>
      <c r="B308" s="90" t="s">
        <v>1014</v>
      </c>
      <c r="C308" s="246" t="s">
        <v>11</v>
      </c>
      <c r="D308" s="246" t="s">
        <v>305</v>
      </c>
      <c r="E308" s="253" t="s">
        <v>179</v>
      </c>
      <c r="F308" s="253" t="s">
        <v>1361</v>
      </c>
      <c r="G308" s="253" t="s">
        <v>127</v>
      </c>
      <c r="H308" s="246" t="s">
        <v>109</v>
      </c>
      <c r="I308" s="246" t="s">
        <v>49</v>
      </c>
      <c r="J308" s="246" t="s">
        <v>47</v>
      </c>
      <c r="K308" s="256" t="s">
        <v>49</v>
      </c>
      <c r="L308" s="250" t="s">
        <v>107</v>
      </c>
      <c r="M308" s="90">
        <v>0</v>
      </c>
      <c r="N308" s="267">
        <v>0</v>
      </c>
      <c r="O308" s="90">
        <v>0</v>
      </c>
      <c r="P308" s="93">
        <v>0</v>
      </c>
      <c r="Q308" s="93">
        <v>0</v>
      </c>
      <c r="R308" s="93">
        <v>0</v>
      </c>
      <c r="S308" s="104">
        <v>0</v>
      </c>
      <c r="T308" s="266" t="s">
        <v>107</v>
      </c>
      <c r="U308" s="90">
        <v>0</v>
      </c>
      <c r="V308" s="246">
        <v>0</v>
      </c>
      <c r="W308" s="90">
        <v>0</v>
      </c>
      <c r="X308" s="93">
        <v>0</v>
      </c>
      <c r="Y308" s="93">
        <v>0</v>
      </c>
      <c r="Z308" s="93">
        <v>0</v>
      </c>
      <c r="AA308" s="104">
        <v>0</v>
      </c>
      <c r="AB308" s="250" t="s">
        <v>107</v>
      </c>
      <c r="AC308" s="97">
        <v>0</v>
      </c>
      <c r="AD308" s="252">
        <v>0</v>
      </c>
      <c r="AE308" s="97">
        <v>0</v>
      </c>
      <c r="AF308" s="93">
        <v>0</v>
      </c>
      <c r="AG308" s="93">
        <v>0</v>
      </c>
      <c r="AH308" s="93">
        <v>0</v>
      </c>
      <c r="AI308" s="93">
        <v>0</v>
      </c>
      <c r="AJ308" s="247" t="s">
        <v>142</v>
      </c>
      <c r="AK308" s="246"/>
      <c r="AL308" s="93">
        <v>25.081461838320884</v>
      </c>
      <c r="AM308" s="93">
        <v>35.33791348676796</v>
      </c>
      <c r="AN308" s="254" t="s">
        <v>0</v>
      </c>
      <c r="AO308" s="246"/>
      <c r="AP308" s="92">
        <v>0</v>
      </c>
      <c r="AQ308" s="282">
        <v>0</v>
      </c>
      <c r="AR308" s="93">
        <v>0</v>
      </c>
      <c r="AS308" s="104">
        <v>0</v>
      </c>
      <c r="AT308" s="245">
        <v>0</v>
      </c>
      <c r="AU308" s="260">
        <v>1</v>
      </c>
      <c r="AV308" s="93">
        <v>25.081461838320884</v>
      </c>
      <c r="AW308" s="104">
        <v>35.33791348676796</v>
      </c>
      <c r="AX308" s="93">
        <v>25.081461838320884</v>
      </c>
      <c r="AY308" s="243">
        <v>35.33791348676796</v>
      </c>
    </row>
    <row r="309" spans="1:51" ht="30">
      <c r="A309" s="113">
        <v>304</v>
      </c>
      <c r="B309" s="90" t="s">
        <v>1015</v>
      </c>
      <c r="C309" s="246" t="s">
        <v>11</v>
      </c>
      <c r="D309" s="246" t="s">
        <v>305</v>
      </c>
      <c r="E309" s="253" t="s">
        <v>179</v>
      </c>
      <c r="F309" s="253" t="s">
        <v>1361</v>
      </c>
      <c r="G309" s="253" t="s">
        <v>127</v>
      </c>
      <c r="H309" s="246" t="s">
        <v>110</v>
      </c>
      <c r="I309" s="246" t="s">
        <v>49</v>
      </c>
      <c r="J309" s="246" t="s">
        <v>47</v>
      </c>
      <c r="K309" s="256" t="s">
        <v>49</v>
      </c>
      <c r="L309" s="250" t="s">
        <v>107</v>
      </c>
      <c r="M309" s="90">
        <v>0</v>
      </c>
      <c r="N309" s="267">
        <v>0</v>
      </c>
      <c r="O309" s="90">
        <v>0</v>
      </c>
      <c r="P309" s="93">
        <v>0</v>
      </c>
      <c r="Q309" s="93">
        <v>0</v>
      </c>
      <c r="R309" s="93">
        <v>0</v>
      </c>
      <c r="S309" s="104">
        <v>0</v>
      </c>
      <c r="T309" s="266" t="s">
        <v>107</v>
      </c>
      <c r="U309" s="90">
        <v>0</v>
      </c>
      <c r="V309" s="246">
        <v>0</v>
      </c>
      <c r="W309" s="90">
        <v>0</v>
      </c>
      <c r="X309" s="93">
        <v>0</v>
      </c>
      <c r="Y309" s="93">
        <v>0</v>
      </c>
      <c r="Z309" s="93">
        <v>0</v>
      </c>
      <c r="AA309" s="104">
        <v>0</v>
      </c>
      <c r="AB309" s="250" t="s">
        <v>107</v>
      </c>
      <c r="AC309" s="97">
        <v>0</v>
      </c>
      <c r="AD309" s="252">
        <v>0</v>
      </c>
      <c r="AE309" s="97">
        <v>0</v>
      </c>
      <c r="AF309" s="93">
        <v>0</v>
      </c>
      <c r="AG309" s="93">
        <v>0</v>
      </c>
      <c r="AH309" s="93">
        <v>0</v>
      </c>
      <c r="AI309" s="93">
        <v>0</v>
      </c>
      <c r="AJ309" s="247" t="s">
        <v>142</v>
      </c>
      <c r="AK309" s="246"/>
      <c r="AL309" s="93">
        <v>25.081461838320884</v>
      </c>
      <c r="AM309" s="93">
        <v>35.33791348676796</v>
      </c>
      <c r="AN309" s="254" t="s">
        <v>0</v>
      </c>
      <c r="AO309" s="246"/>
      <c r="AP309" s="92">
        <v>0</v>
      </c>
      <c r="AQ309" s="282">
        <v>0</v>
      </c>
      <c r="AR309" s="93">
        <v>0</v>
      </c>
      <c r="AS309" s="104">
        <v>0</v>
      </c>
      <c r="AT309" s="245">
        <v>0</v>
      </c>
      <c r="AU309" s="260">
        <v>1</v>
      </c>
      <c r="AV309" s="93">
        <v>25.081461838320884</v>
      </c>
      <c r="AW309" s="104">
        <v>35.33791348676796</v>
      </c>
      <c r="AX309" s="93">
        <v>25.081461838320884</v>
      </c>
      <c r="AY309" s="243">
        <v>35.33791348676796</v>
      </c>
    </row>
    <row r="310" spans="1:51" ht="30">
      <c r="A310" s="113" t="s">
        <v>1127</v>
      </c>
      <c r="B310" s="90" t="s">
        <v>1016</v>
      </c>
      <c r="C310" s="246" t="s">
        <v>11</v>
      </c>
      <c r="D310" s="246" t="s">
        <v>305</v>
      </c>
      <c r="E310" s="253" t="s">
        <v>179</v>
      </c>
      <c r="F310" s="253" t="s">
        <v>1362</v>
      </c>
      <c r="G310" s="253" t="s">
        <v>127</v>
      </c>
      <c r="H310" s="246" t="s">
        <v>109</v>
      </c>
      <c r="I310" s="246" t="s">
        <v>49</v>
      </c>
      <c r="J310" s="246" t="s">
        <v>47</v>
      </c>
      <c r="K310" s="256" t="s">
        <v>49</v>
      </c>
      <c r="L310" s="250" t="s">
        <v>107</v>
      </c>
      <c r="M310" s="90">
        <v>0</v>
      </c>
      <c r="N310" s="267">
        <v>0</v>
      </c>
      <c r="O310" s="90">
        <v>0</v>
      </c>
      <c r="P310" s="93">
        <v>0</v>
      </c>
      <c r="Q310" s="93">
        <v>0</v>
      </c>
      <c r="R310" s="93">
        <v>0</v>
      </c>
      <c r="S310" s="104">
        <v>0</v>
      </c>
      <c r="T310" s="266" t="s">
        <v>107</v>
      </c>
      <c r="U310" s="90">
        <v>0</v>
      </c>
      <c r="V310" s="246">
        <v>0</v>
      </c>
      <c r="W310" s="90">
        <v>0</v>
      </c>
      <c r="X310" s="93">
        <v>0</v>
      </c>
      <c r="Y310" s="93">
        <v>0</v>
      </c>
      <c r="Z310" s="93">
        <v>0</v>
      </c>
      <c r="AA310" s="104">
        <v>0</v>
      </c>
      <c r="AB310" s="250" t="s">
        <v>107</v>
      </c>
      <c r="AC310" s="97">
        <v>0</v>
      </c>
      <c r="AD310" s="252">
        <v>0</v>
      </c>
      <c r="AE310" s="97">
        <v>0</v>
      </c>
      <c r="AF310" s="93">
        <v>0</v>
      </c>
      <c r="AG310" s="93">
        <v>0</v>
      </c>
      <c r="AH310" s="93">
        <v>0</v>
      </c>
      <c r="AI310" s="93">
        <v>0</v>
      </c>
      <c r="AJ310" s="247" t="s">
        <v>142</v>
      </c>
      <c r="AK310" s="246"/>
      <c r="AL310" s="93">
        <v>25.081461838320884</v>
      </c>
      <c r="AM310" s="93">
        <v>35.33791348676796</v>
      </c>
      <c r="AN310" s="254" t="s">
        <v>0</v>
      </c>
      <c r="AO310" s="246"/>
      <c r="AP310" s="92">
        <v>0</v>
      </c>
      <c r="AQ310" s="282">
        <v>0</v>
      </c>
      <c r="AR310" s="93">
        <v>0</v>
      </c>
      <c r="AS310" s="104">
        <v>0</v>
      </c>
      <c r="AT310" s="245">
        <v>0</v>
      </c>
      <c r="AU310" s="260">
        <v>1</v>
      </c>
      <c r="AV310" s="93">
        <v>25.081461838320884</v>
      </c>
      <c r="AW310" s="104">
        <v>35.33791348676796</v>
      </c>
      <c r="AX310" s="93">
        <v>25.081461838320884</v>
      </c>
      <c r="AY310" s="243">
        <v>35.33791348676796</v>
      </c>
    </row>
    <row r="311" spans="1:51" ht="30">
      <c r="A311" s="113" t="s">
        <v>1127</v>
      </c>
      <c r="B311" s="90" t="s">
        <v>1017</v>
      </c>
      <c r="C311" s="246" t="s">
        <v>11</v>
      </c>
      <c r="D311" s="246" t="s">
        <v>305</v>
      </c>
      <c r="E311" s="253" t="s">
        <v>179</v>
      </c>
      <c r="F311" s="253" t="s">
        <v>1362</v>
      </c>
      <c r="G311" s="253" t="s">
        <v>127</v>
      </c>
      <c r="H311" s="246" t="s">
        <v>110</v>
      </c>
      <c r="I311" s="246" t="s">
        <v>49</v>
      </c>
      <c r="J311" s="246" t="s">
        <v>47</v>
      </c>
      <c r="K311" s="256" t="s">
        <v>49</v>
      </c>
      <c r="L311" s="250" t="s">
        <v>107</v>
      </c>
      <c r="M311" s="90">
        <v>0</v>
      </c>
      <c r="N311" s="267">
        <v>0</v>
      </c>
      <c r="O311" s="90">
        <v>0</v>
      </c>
      <c r="P311" s="93">
        <v>0</v>
      </c>
      <c r="Q311" s="93">
        <v>0</v>
      </c>
      <c r="R311" s="93">
        <v>0</v>
      </c>
      <c r="S311" s="104">
        <v>0</v>
      </c>
      <c r="T311" s="266" t="s">
        <v>107</v>
      </c>
      <c r="U311" s="90">
        <v>0</v>
      </c>
      <c r="V311" s="246">
        <v>0</v>
      </c>
      <c r="W311" s="90">
        <v>0</v>
      </c>
      <c r="X311" s="93">
        <v>0</v>
      </c>
      <c r="Y311" s="93">
        <v>0</v>
      </c>
      <c r="Z311" s="93">
        <v>0</v>
      </c>
      <c r="AA311" s="104">
        <v>0</v>
      </c>
      <c r="AB311" s="250" t="s">
        <v>107</v>
      </c>
      <c r="AC311" s="97">
        <v>0</v>
      </c>
      <c r="AD311" s="252">
        <v>0</v>
      </c>
      <c r="AE311" s="97">
        <v>0</v>
      </c>
      <c r="AF311" s="93">
        <v>0</v>
      </c>
      <c r="AG311" s="93">
        <v>0</v>
      </c>
      <c r="AH311" s="93">
        <v>0</v>
      </c>
      <c r="AI311" s="93">
        <v>0</v>
      </c>
      <c r="AJ311" s="247" t="s">
        <v>142</v>
      </c>
      <c r="AK311" s="246"/>
      <c r="AL311" s="93">
        <v>25.081461838320884</v>
      </c>
      <c r="AM311" s="93">
        <v>35.33791348676796</v>
      </c>
      <c r="AN311" s="254" t="s">
        <v>0</v>
      </c>
      <c r="AO311" s="246"/>
      <c r="AP311" s="92">
        <v>0</v>
      </c>
      <c r="AQ311" s="282">
        <v>0</v>
      </c>
      <c r="AR311" s="93">
        <v>0</v>
      </c>
      <c r="AS311" s="104">
        <v>0</v>
      </c>
      <c r="AT311" s="245">
        <v>0</v>
      </c>
      <c r="AU311" s="260">
        <v>1</v>
      </c>
      <c r="AV311" s="93">
        <v>25.081461838320884</v>
      </c>
      <c r="AW311" s="104">
        <v>35.33791348676796</v>
      </c>
      <c r="AX311" s="93">
        <v>25.081461838320884</v>
      </c>
      <c r="AY311" s="243">
        <v>35.33791348676796</v>
      </c>
    </row>
    <row r="312" spans="1:51" ht="60">
      <c r="A312" s="113">
        <v>307</v>
      </c>
      <c r="B312" s="90" t="s">
        <v>1018</v>
      </c>
      <c r="C312" s="246" t="s">
        <v>11</v>
      </c>
      <c r="D312" s="246" t="s">
        <v>305</v>
      </c>
      <c r="E312" s="253" t="s">
        <v>1454</v>
      </c>
      <c r="F312" s="253" t="s">
        <v>382</v>
      </c>
      <c r="G312" s="253" t="s">
        <v>127</v>
      </c>
      <c r="H312" s="246" t="s">
        <v>109</v>
      </c>
      <c r="I312" s="246" t="s">
        <v>142</v>
      </c>
      <c r="J312" s="246" t="s">
        <v>47</v>
      </c>
      <c r="K312" s="256" t="s">
        <v>49</v>
      </c>
      <c r="L312" s="250" t="s">
        <v>18</v>
      </c>
      <c r="M312" s="90">
        <v>0.33</v>
      </c>
      <c r="N312" s="251">
        <v>0.5</v>
      </c>
      <c r="O312" s="90">
        <v>0.83000000000000007</v>
      </c>
      <c r="P312" s="93">
        <v>19.081969456246018</v>
      </c>
      <c r="Q312" s="93">
        <v>28.912074933706087</v>
      </c>
      <c r="R312" s="93">
        <v>57.75687396434946</v>
      </c>
      <c r="S312" s="104">
        <v>87.510415097499191</v>
      </c>
      <c r="T312" s="254" t="s">
        <v>107</v>
      </c>
      <c r="U312" s="90">
        <v>0</v>
      </c>
      <c r="V312" s="246">
        <v>0</v>
      </c>
      <c r="W312" s="90">
        <v>0</v>
      </c>
      <c r="X312" s="93">
        <v>0</v>
      </c>
      <c r="Y312" s="93">
        <v>0</v>
      </c>
      <c r="Z312" s="93">
        <v>0</v>
      </c>
      <c r="AA312" s="104">
        <v>0</v>
      </c>
      <c r="AB312" s="250" t="s">
        <v>107</v>
      </c>
      <c r="AC312" s="97">
        <v>0</v>
      </c>
      <c r="AD312" s="252">
        <v>0</v>
      </c>
      <c r="AE312" s="97">
        <v>0</v>
      </c>
      <c r="AF312" s="93">
        <v>0</v>
      </c>
      <c r="AG312" s="93">
        <v>0</v>
      </c>
      <c r="AH312" s="93">
        <v>0</v>
      </c>
      <c r="AI312" s="93">
        <v>0</v>
      </c>
      <c r="AJ312" s="247" t="s">
        <v>49</v>
      </c>
      <c r="AK312" s="246"/>
      <c r="AL312" s="93">
        <v>0</v>
      </c>
      <c r="AM312" s="93">
        <v>0</v>
      </c>
      <c r="AN312" s="254" t="s">
        <v>0</v>
      </c>
      <c r="AO312" s="246"/>
      <c r="AP312" s="92">
        <v>0</v>
      </c>
      <c r="AQ312" s="282">
        <v>0</v>
      </c>
      <c r="AR312" s="93">
        <v>0</v>
      </c>
      <c r="AS312" s="104">
        <v>0</v>
      </c>
      <c r="AT312" s="245">
        <v>1</v>
      </c>
      <c r="AU312" s="260">
        <v>0</v>
      </c>
      <c r="AV312" s="93">
        <v>47.994044389952109</v>
      </c>
      <c r="AW312" s="104">
        <v>145.26728906184866</v>
      </c>
      <c r="AX312" s="93">
        <v>47.994044389952109</v>
      </c>
      <c r="AY312" s="243">
        <v>145.26728906184866</v>
      </c>
    </row>
    <row r="313" spans="1:51" ht="60">
      <c r="A313" s="113">
        <v>308</v>
      </c>
      <c r="B313" s="90" t="s">
        <v>1019</v>
      </c>
      <c r="C313" s="246" t="s">
        <v>11</v>
      </c>
      <c r="D313" s="246" t="s">
        <v>305</v>
      </c>
      <c r="E313" s="253" t="s">
        <v>1454</v>
      </c>
      <c r="F313" s="253" t="s">
        <v>382</v>
      </c>
      <c r="G313" s="253" t="s">
        <v>127</v>
      </c>
      <c r="H313" s="246" t="s">
        <v>110</v>
      </c>
      <c r="I313" s="246" t="s">
        <v>142</v>
      </c>
      <c r="J313" s="246" t="s">
        <v>47</v>
      </c>
      <c r="K313" s="256" t="s">
        <v>49</v>
      </c>
      <c r="L313" s="250" t="s">
        <v>18</v>
      </c>
      <c r="M313" s="90">
        <v>2</v>
      </c>
      <c r="N313" s="251">
        <v>0.5</v>
      </c>
      <c r="O313" s="90">
        <v>2.5</v>
      </c>
      <c r="P313" s="93">
        <v>115.64829973482435</v>
      </c>
      <c r="Q313" s="93">
        <v>28.912074933706087</v>
      </c>
      <c r="R313" s="93">
        <v>350.04166038999676</v>
      </c>
      <c r="S313" s="104">
        <v>87.510415097499191</v>
      </c>
      <c r="T313" s="254" t="s">
        <v>107</v>
      </c>
      <c r="U313" s="90">
        <v>0</v>
      </c>
      <c r="V313" s="246">
        <v>0</v>
      </c>
      <c r="W313" s="90">
        <v>0</v>
      </c>
      <c r="X313" s="93">
        <v>0</v>
      </c>
      <c r="Y313" s="93">
        <v>0</v>
      </c>
      <c r="Z313" s="93">
        <v>0</v>
      </c>
      <c r="AA313" s="104">
        <v>0</v>
      </c>
      <c r="AB313" s="250" t="s">
        <v>107</v>
      </c>
      <c r="AC313" s="97">
        <v>0</v>
      </c>
      <c r="AD313" s="252">
        <v>0</v>
      </c>
      <c r="AE313" s="97">
        <v>0</v>
      </c>
      <c r="AF313" s="93">
        <v>0</v>
      </c>
      <c r="AG313" s="93">
        <v>0</v>
      </c>
      <c r="AH313" s="93">
        <v>0</v>
      </c>
      <c r="AI313" s="93">
        <v>0</v>
      </c>
      <c r="AJ313" s="247" t="s">
        <v>49</v>
      </c>
      <c r="AK313" s="246"/>
      <c r="AL313" s="93">
        <v>0</v>
      </c>
      <c r="AM313" s="93">
        <v>0</v>
      </c>
      <c r="AN313" s="254" t="s">
        <v>0</v>
      </c>
      <c r="AO313" s="246"/>
      <c r="AP313" s="92">
        <v>0</v>
      </c>
      <c r="AQ313" s="282">
        <v>0</v>
      </c>
      <c r="AR313" s="93">
        <v>0</v>
      </c>
      <c r="AS313" s="104">
        <v>0</v>
      </c>
      <c r="AT313" s="245">
        <v>1</v>
      </c>
      <c r="AU313" s="260">
        <v>0</v>
      </c>
      <c r="AV313" s="93">
        <v>144.56037466853044</v>
      </c>
      <c r="AW313" s="104">
        <v>437.55207548749593</v>
      </c>
      <c r="AX313" s="93">
        <v>144.56037466853044</v>
      </c>
      <c r="AY313" s="243">
        <v>437.55207548749593</v>
      </c>
    </row>
    <row r="314" spans="1:51" ht="30">
      <c r="A314" s="113">
        <v>309</v>
      </c>
      <c r="B314" s="90" t="s">
        <v>1020</v>
      </c>
      <c r="C314" s="246" t="s">
        <v>11</v>
      </c>
      <c r="D314" s="246" t="s">
        <v>305</v>
      </c>
      <c r="E314" s="249" t="s">
        <v>199</v>
      </c>
      <c r="F314" s="259" t="s">
        <v>200</v>
      </c>
      <c r="G314" s="259" t="s">
        <v>127</v>
      </c>
      <c r="H314" s="249" t="s">
        <v>109</v>
      </c>
      <c r="I314" s="246" t="s">
        <v>142</v>
      </c>
      <c r="J314" s="246" t="s">
        <v>47</v>
      </c>
      <c r="K314" s="256" t="s">
        <v>49</v>
      </c>
      <c r="L314" s="250" t="s">
        <v>18</v>
      </c>
      <c r="M314" s="90">
        <v>0.33</v>
      </c>
      <c r="N314" s="251">
        <v>0.25</v>
      </c>
      <c r="O314" s="90">
        <v>0.58000000000000007</v>
      </c>
      <c r="P314" s="93">
        <v>19.081969456246018</v>
      </c>
      <c r="Q314" s="93">
        <v>14.456037466853044</v>
      </c>
      <c r="R314" s="93">
        <v>57.75687396434946</v>
      </c>
      <c r="S314" s="104">
        <v>43.755207548749596</v>
      </c>
      <c r="T314" s="254" t="s">
        <v>107</v>
      </c>
      <c r="U314" s="90">
        <v>0</v>
      </c>
      <c r="V314" s="246">
        <v>0</v>
      </c>
      <c r="W314" s="90">
        <v>0</v>
      </c>
      <c r="X314" s="93">
        <v>0</v>
      </c>
      <c r="Y314" s="93">
        <v>0</v>
      </c>
      <c r="Z314" s="93">
        <v>0</v>
      </c>
      <c r="AA314" s="104">
        <v>0</v>
      </c>
      <c r="AB314" s="250" t="s">
        <v>107</v>
      </c>
      <c r="AC314" s="97">
        <v>0</v>
      </c>
      <c r="AD314" s="252">
        <v>0</v>
      </c>
      <c r="AE314" s="97">
        <v>0</v>
      </c>
      <c r="AF314" s="93">
        <v>0</v>
      </c>
      <c r="AG314" s="93">
        <v>0</v>
      </c>
      <c r="AH314" s="93">
        <v>0</v>
      </c>
      <c r="AI314" s="93">
        <v>0</v>
      </c>
      <c r="AJ314" s="247" t="s">
        <v>49</v>
      </c>
      <c r="AK314" s="246"/>
      <c r="AL314" s="93">
        <v>0</v>
      </c>
      <c r="AM314" s="93">
        <v>0</v>
      </c>
      <c r="AN314" s="254" t="s">
        <v>198</v>
      </c>
      <c r="AO314" s="246">
        <v>1</v>
      </c>
      <c r="AP314" s="92">
        <v>5.501570183764497</v>
      </c>
      <c r="AQ314" s="282">
        <v>8.1853760018291748</v>
      </c>
      <c r="AR314" s="93">
        <v>0</v>
      </c>
      <c r="AS314" s="104">
        <v>0</v>
      </c>
      <c r="AT314" s="245">
        <v>1</v>
      </c>
      <c r="AU314" s="260">
        <v>0</v>
      </c>
      <c r="AV314" s="93">
        <v>33.538006923099061</v>
      </c>
      <c r="AW314" s="104">
        <v>101.51208151309905</v>
      </c>
      <c r="AX314" s="93">
        <v>39.039577106863561</v>
      </c>
      <c r="AY314" s="243">
        <v>109.69745751492822</v>
      </c>
    </row>
    <row r="315" spans="1:51" ht="30">
      <c r="A315" s="113">
        <v>310</v>
      </c>
      <c r="B315" s="90" t="s">
        <v>1021</v>
      </c>
      <c r="C315" s="246" t="s">
        <v>11</v>
      </c>
      <c r="D315" s="246" t="s">
        <v>305</v>
      </c>
      <c r="E315" s="249" t="s">
        <v>199</v>
      </c>
      <c r="F315" s="259" t="s">
        <v>200</v>
      </c>
      <c r="G315" s="259" t="s">
        <v>127</v>
      </c>
      <c r="H315" s="249" t="s">
        <v>110</v>
      </c>
      <c r="I315" s="246" t="s">
        <v>142</v>
      </c>
      <c r="J315" s="246" t="s">
        <v>47</v>
      </c>
      <c r="K315" s="256" t="s">
        <v>49</v>
      </c>
      <c r="L315" s="250" t="s">
        <v>18</v>
      </c>
      <c r="M315" s="90">
        <v>2</v>
      </c>
      <c r="N315" s="251">
        <v>0.25</v>
      </c>
      <c r="O315" s="90">
        <v>2.25</v>
      </c>
      <c r="P315" s="93">
        <v>115.64829973482435</v>
      </c>
      <c r="Q315" s="93">
        <v>14.456037466853044</v>
      </c>
      <c r="R315" s="93">
        <v>350.04166038999676</v>
      </c>
      <c r="S315" s="104">
        <v>43.755207548749596</v>
      </c>
      <c r="T315" s="254" t="s">
        <v>107</v>
      </c>
      <c r="U315" s="90">
        <v>0</v>
      </c>
      <c r="V315" s="246">
        <v>0</v>
      </c>
      <c r="W315" s="90">
        <v>0</v>
      </c>
      <c r="X315" s="93">
        <v>0</v>
      </c>
      <c r="Y315" s="93">
        <v>0</v>
      </c>
      <c r="Z315" s="93">
        <v>0</v>
      </c>
      <c r="AA315" s="104">
        <v>0</v>
      </c>
      <c r="AB315" s="250" t="s">
        <v>107</v>
      </c>
      <c r="AC315" s="97">
        <v>0</v>
      </c>
      <c r="AD315" s="252">
        <v>0</v>
      </c>
      <c r="AE315" s="97">
        <v>0</v>
      </c>
      <c r="AF315" s="93">
        <v>0</v>
      </c>
      <c r="AG315" s="93">
        <v>0</v>
      </c>
      <c r="AH315" s="93">
        <v>0</v>
      </c>
      <c r="AI315" s="93">
        <v>0</v>
      </c>
      <c r="AJ315" s="247" t="s">
        <v>49</v>
      </c>
      <c r="AK315" s="246"/>
      <c r="AL315" s="93">
        <v>0</v>
      </c>
      <c r="AM315" s="93">
        <v>0</v>
      </c>
      <c r="AN315" s="254" t="s">
        <v>198</v>
      </c>
      <c r="AO315" s="246">
        <v>1</v>
      </c>
      <c r="AP315" s="92">
        <v>5.501570183764497</v>
      </c>
      <c r="AQ315" s="282">
        <v>8.1853760018291748</v>
      </c>
      <c r="AR315" s="93">
        <v>0</v>
      </c>
      <c r="AS315" s="104">
        <v>0</v>
      </c>
      <c r="AT315" s="245">
        <v>1</v>
      </c>
      <c r="AU315" s="260">
        <v>0</v>
      </c>
      <c r="AV315" s="93">
        <v>130.1043372016774</v>
      </c>
      <c r="AW315" s="104">
        <v>393.79686793874635</v>
      </c>
      <c r="AX315" s="93">
        <v>135.6059073854419</v>
      </c>
      <c r="AY315" s="243">
        <v>401.98224394057553</v>
      </c>
    </row>
    <row r="316" spans="1:51">
      <c r="A316" s="308"/>
      <c r="B316" s="308"/>
      <c r="C316" s="308"/>
      <c r="D316" s="308"/>
      <c r="E316" s="308"/>
      <c r="F316" s="309"/>
      <c r="G316" s="309"/>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c r="AJ316" s="308"/>
      <c r="AK316" s="308"/>
      <c r="AL316" s="308"/>
      <c r="AM316" s="308"/>
      <c r="AN316" s="308"/>
      <c r="AO316" s="308"/>
      <c r="AP316" s="308"/>
      <c r="AQ316" s="308"/>
      <c r="AR316" s="308"/>
      <c r="AS316" s="308"/>
      <c r="AT316" s="308"/>
      <c r="AU316" s="308"/>
      <c r="AV316" s="308"/>
      <c r="AW316" s="308"/>
      <c r="AX316" s="308"/>
      <c r="AY316" s="308"/>
    </row>
  </sheetData>
  <autoFilter ref="A5:AY315"/>
  <dataValidations xWindow="1368" yWindow="373" count="2">
    <dataValidation type="list" allowBlank="1" showInputMessage="1" promptTitle="Material type" prompt="Please select material type from the drop down list" sqref="AN316:AN389">
      <formula1>$C$13:$C$15</formula1>
    </dataValidation>
    <dataValidation type="list" allowBlank="1" showInputMessage="1" showErrorMessage="1" errorTitle="Need feeder type" error="Need feeder type selected from drop down list" promptTitle="Feeder type" prompt="Please feeder type from the drop down list" sqref="I359:I377">
      <formula1>$E$24:$E$24</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368" yWindow="373" count="4">
        <x14:dataValidation type="list" allowBlank="1" showInputMessage="1" showErrorMessage="1" errorTitle="Need feeder type" error="Need feeder type selected from drop down list" promptTitle="Feeder type" prompt="Please feeder type from the drop down list">
          <x14:formula1>
            <xm:f>Lists!$C$23:$C$24</xm:f>
          </x14:formula1>
          <xm:sqref>H359:H377</xm:sqref>
        </x14:dataValidation>
        <x14:dataValidation type="list" allowBlank="1" showInputMessage="1" showErrorMessage="1" promptTitle="Service category " prompt="Please select service category from the drop-down list">
          <x14:formula1>
            <xm:f>Lists!$D$29:$D$44</xm:f>
          </x14:formula1>
          <xm:sqref>E330:E350</xm:sqref>
        </x14:dataValidation>
        <x14:dataValidation type="list" allowBlank="1" showInputMessage="1" showErrorMessage="1" promptTitle="Permutations" prompt="Please select the service permutation from the drop-down list.">
          <x14:formula1>
            <xm:f>Lists!$E$52:$E$74</xm:f>
          </x14:formula1>
          <xm:sqref>G359:G375</xm:sqref>
        </x14:dataValidation>
        <x14:dataValidation type="list" allowBlank="1" showInputMessage="1" promptTitle="Material type" prompt="Please select material type from the drop down list">
          <x14:formula1>
            <xm:f>Lists!$B$15:$B$19</xm:f>
          </x14:formula1>
          <xm:sqref>AN6:AN21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BA282"/>
  <sheetViews>
    <sheetView zoomScale="60" zoomScaleNormal="60" workbookViewId="0"/>
  </sheetViews>
  <sheetFormatPr defaultColWidth="9.140625" defaultRowHeight="15"/>
  <cols>
    <col min="1" max="1" width="10.85546875" style="83" customWidth="1"/>
    <col min="2" max="2" width="12.140625" style="83" customWidth="1"/>
    <col min="3" max="3" width="13.85546875" style="83" customWidth="1"/>
    <col min="4" max="4" width="16" style="83" customWidth="1"/>
    <col min="5" max="5" width="18.28515625" style="83" customWidth="1"/>
    <col min="6" max="6" width="54.7109375" style="84" customWidth="1"/>
    <col min="7" max="7" width="27.42578125" style="84" customWidth="1"/>
    <col min="8" max="8" width="17" style="83" customWidth="1"/>
    <col min="9" max="9" width="9.140625" style="83" customWidth="1"/>
    <col min="10" max="10" width="13.42578125" style="83" customWidth="1"/>
    <col min="11" max="11" width="12" style="83" customWidth="1"/>
    <col min="12" max="12" width="15.85546875" style="83" customWidth="1"/>
    <col min="13" max="13" width="16" style="83" customWidth="1"/>
    <col min="14" max="14" width="17.42578125" style="83" customWidth="1"/>
    <col min="15" max="15" width="10.85546875" style="83" customWidth="1"/>
    <col min="16" max="17" width="21.42578125" style="83" customWidth="1"/>
    <col min="18" max="18" width="15" style="83" customWidth="1"/>
    <col min="19" max="19" width="17.42578125" style="83" customWidth="1"/>
    <col min="20" max="20" width="19.140625" style="83" customWidth="1"/>
    <col min="21" max="21" width="14.7109375" style="83" customWidth="1"/>
    <col min="22" max="22" width="16.42578125" style="83" customWidth="1"/>
    <col min="23" max="23" width="12.85546875" style="83" customWidth="1"/>
    <col min="24" max="36" width="21" style="83" customWidth="1"/>
    <col min="37" max="39" width="14.85546875" style="83" customWidth="1"/>
    <col min="40" max="40" width="19.140625" style="83" customWidth="1"/>
    <col min="41" max="41" width="14.85546875" style="83" customWidth="1"/>
    <col min="42" max="50" width="17.85546875" style="83" customWidth="1"/>
    <col min="51" max="51" width="19.28515625" style="91" customWidth="1"/>
    <col min="52" max="16384" width="9.140625" style="91"/>
  </cols>
  <sheetData>
    <row r="1" spans="1:53">
      <c r="A1" s="86" t="s">
        <v>249</v>
      </c>
      <c r="L1" s="85"/>
    </row>
    <row r="2" spans="1:53">
      <c r="A2" s="7" t="s">
        <v>375</v>
      </c>
      <c r="L2" s="85"/>
    </row>
    <row r="3" spans="1:53">
      <c r="B3" s="83">
        <v>1</v>
      </c>
      <c r="C3" s="83">
        <v>2</v>
      </c>
      <c r="D3" s="83">
        <v>3</v>
      </c>
      <c r="E3" s="83">
        <v>4</v>
      </c>
      <c r="F3" s="84">
        <v>5</v>
      </c>
      <c r="G3" s="84">
        <v>6</v>
      </c>
      <c r="H3" s="84">
        <v>7</v>
      </c>
      <c r="I3" s="84">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X3" s="83">
        <v>49</v>
      </c>
      <c r="AY3" s="83">
        <v>50</v>
      </c>
    </row>
    <row r="4" spans="1:53" ht="36.75" customHeight="1">
      <c r="F4" s="83"/>
      <c r="G4" s="83"/>
      <c r="K4" s="87"/>
      <c r="L4" s="357" t="s">
        <v>35</v>
      </c>
      <c r="M4" s="358"/>
      <c r="N4" s="358"/>
      <c r="O4" s="358"/>
      <c r="P4" s="358"/>
      <c r="Q4" s="358"/>
      <c r="R4" s="358"/>
      <c r="S4" s="359"/>
      <c r="T4" s="357" t="s">
        <v>39</v>
      </c>
      <c r="U4" s="358"/>
      <c r="V4" s="358"/>
      <c r="W4" s="358"/>
      <c r="X4" s="358"/>
      <c r="Y4" s="358"/>
      <c r="Z4" s="358"/>
      <c r="AA4" s="359"/>
      <c r="AB4" s="357" t="s">
        <v>216</v>
      </c>
      <c r="AC4" s="358"/>
      <c r="AD4" s="358"/>
      <c r="AE4" s="358"/>
      <c r="AF4" s="358"/>
      <c r="AG4" s="358"/>
      <c r="AH4" s="358"/>
      <c r="AI4" s="359"/>
      <c r="AJ4" s="360" t="s">
        <v>59</v>
      </c>
      <c r="AK4" s="361"/>
      <c r="AL4" s="361"/>
      <c r="AM4" s="362"/>
      <c r="AN4" s="357" t="s">
        <v>60</v>
      </c>
      <c r="AO4" s="358"/>
      <c r="AP4" s="358"/>
      <c r="AQ4" s="359"/>
      <c r="AR4" s="357" t="s">
        <v>46</v>
      </c>
      <c r="AS4" s="359"/>
      <c r="AT4" s="357" t="s">
        <v>585</v>
      </c>
      <c r="AU4" s="358"/>
      <c r="AV4" s="358"/>
      <c r="AW4" s="359"/>
    </row>
    <row r="5" spans="1:53" s="142" customFormat="1" ht="60">
      <c r="A5" s="105" t="s">
        <v>44</v>
      </c>
      <c r="B5" s="106" t="s">
        <v>43</v>
      </c>
      <c r="C5" s="106" t="s">
        <v>31</v>
      </c>
      <c r="D5" s="106" t="s">
        <v>213</v>
      </c>
      <c r="E5" s="106" t="s">
        <v>114</v>
      </c>
      <c r="F5" s="106" t="s">
        <v>34</v>
      </c>
      <c r="G5" s="106" t="s">
        <v>104</v>
      </c>
      <c r="H5" s="106" t="s">
        <v>57</v>
      </c>
      <c r="I5" s="106" t="s">
        <v>187</v>
      </c>
      <c r="J5" s="106" t="s">
        <v>48</v>
      </c>
      <c r="K5" s="107" t="s">
        <v>46</v>
      </c>
      <c r="L5" s="105" t="s">
        <v>36</v>
      </c>
      <c r="M5" s="106" t="s">
        <v>37</v>
      </c>
      <c r="N5" s="106" t="s">
        <v>38</v>
      </c>
      <c r="O5" s="106" t="s">
        <v>65</v>
      </c>
      <c r="P5" s="358" t="s">
        <v>548</v>
      </c>
      <c r="Q5" s="358" t="s">
        <v>535</v>
      </c>
      <c r="R5" s="358" t="s">
        <v>64</v>
      </c>
      <c r="S5" s="359" t="s">
        <v>63</v>
      </c>
      <c r="T5" s="102" t="s">
        <v>36</v>
      </c>
      <c r="U5" s="102" t="s">
        <v>37</v>
      </c>
      <c r="V5" s="102" t="s">
        <v>38</v>
      </c>
      <c r="W5" s="102" t="s">
        <v>66</v>
      </c>
      <c r="X5" s="240" t="s">
        <v>549</v>
      </c>
      <c r="Y5" s="240" t="s">
        <v>535</v>
      </c>
      <c r="Z5" s="102" t="s">
        <v>67</v>
      </c>
      <c r="AA5" s="102" t="s">
        <v>68</v>
      </c>
      <c r="AB5" s="263" t="s">
        <v>36</v>
      </c>
      <c r="AC5" s="102" t="s">
        <v>37</v>
      </c>
      <c r="AD5" s="102" t="s">
        <v>38</v>
      </c>
      <c r="AE5" s="102" t="s">
        <v>66</v>
      </c>
      <c r="AF5" s="240" t="s">
        <v>536</v>
      </c>
      <c r="AG5" s="240" t="s">
        <v>535</v>
      </c>
      <c r="AH5" s="102" t="s">
        <v>67</v>
      </c>
      <c r="AI5" s="262" t="s">
        <v>68</v>
      </c>
      <c r="AJ5" s="148" t="s">
        <v>120</v>
      </c>
      <c r="AK5" s="102" t="s">
        <v>50</v>
      </c>
      <c r="AL5" s="106" t="s">
        <v>550</v>
      </c>
      <c r="AM5" s="359" t="s">
        <v>551</v>
      </c>
      <c r="AN5" s="105" t="s">
        <v>61</v>
      </c>
      <c r="AO5" s="106" t="s">
        <v>62</v>
      </c>
      <c r="AP5" s="358" t="s">
        <v>554</v>
      </c>
      <c r="AQ5" s="358" t="s">
        <v>210</v>
      </c>
      <c r="AR5" s="357" t="s">
        <v>556</v>
      </c>
      <c r="AS5" s="358" t="s">
        <v>557</v>
      </c>
      <c r="AT5" s="357" t="s">
        <v>586</v>
      </c>
      <c r="AU5" s="358" t="s">
        <v>587</v>
      </c>
      <c r="AV5" s="358" t="s">
        <v>588</v>
      </c>
      <c r="AW5" s="359" t="s">
        <v>589</v>
      </c>
      <c r="AX5" s="359" t="s">
        <v>559</v>
      </c>
      <c r="AY5" s="359" t="s">
        <v>558</v>
      </c>
    </row>
    <row r="6" spans="1:53" ht="60">
      <c r="A6" s="95" t="s">
        <v>646</v>
      </c>
      <c r="B6" s="87" t="s">
        <v>646</v>
      </c>
      <c r="C6" s="246" t="s">
        <v>10</v>
      </c>
      <c r="D6" s="253" t="s">
        <v>1414</v>
      </c>
      <c r="E6" s="246" t="s">
        <v>103</v>
      </c>
      <c r="F6" s="253" t="s">
        <v>182</v>
      </c>
      <c r="G6" s="253" t="s">
        <v>105</v>
      </c>
      <c r="H6" s="246" t="s">
        <v>109</v>
      </c>
      <c r="I6" s="246" t="s">
        <v>142</v>
      </c>
      <c r="J6" s="246" t="s">
        <v>47</v>
      </c>
      <c r="K6" s="246" t="s">
        <v>49</v>
      </c>
      <c r="L6" s="250" t="s">
        <v>18</v>
      </c>
      <c r="M6" s="87">
        <v>0.5</v>
      </c>
      <c r="N6" s="251">
        <v>0.33333333333333331</v>
      </c>
      <c r="O6" s="88">
        <v>0.83333333333333326</v>
      </c>
      <c r="P6" s="93">
        <v>27.099613778523121</v>
      </c>
      <c r="Q6" s="93">
        <v>18.06640918568208</v>
      </c>
      <c r="R6" s="89">
        <v>74.908145703770415</v>
      </c>
      <c r="S6" s="103">
        <v>49.938763802513598</v>
      </c>
      <c r="T6" s="246" t="s">
        <v>107</v>
      </c>
      <c r="U6" s="87">
        <v>0</v>
      </c>
      <c r="V6" s="246">
        <v>0</v>
      </c>
      <c r="W6" s="88">
        <v>0</v>
      </c>
      <c r="X6" s="89">
        <v>0</v>
      </c>
      <c r="Y6" s="89">
        <v>0</v>
      </c>
      <c r="Z6" s="147">
        <v>0</v>
      </c>
      <c r="AA6" s="147">
        <v>0</v>
      </c>
      <c r="AB6" s="254" t="s">
        <v>107</v>
      </c>
      <c r="AC6" s="87">
        <v>0</v>
      </c>
      <c r="AD6" s="251">
        <v>0</v>
      </c>
      <c r="AE6" s="88">
        <v>0</v>
      </c>
      <c r="AF6" s="89">
        <v>0</v>
      </c>
      <c r="AG6" s="115">
        <v>0</v>
      </c>
      <c r="AH6" s="115">
        <v>0</v>
      </c>
      <c r="AI6" s="149">
        <v>0</v>
      </c>
      <c r="AJ6" s="247" t="s">
        <v>142</v>
      </c>
      <c r="AK6" s="251"/>
      <c r="AL6" s="93">
        <v>40.081651672665657</v>
      </c>
      <c r="AM6" s="151">
        <v>52.852148210143731</v>
      </c>
      <c r="AN6" s="246" t="s">
        <v>0</v>
      </c>
      <c r="AO6" s="246">
        <v>0</v>
      </c>
      <c r="AP6" s="134">
        <v>0</v>
      </c>
      <c r="AQ6" s="134">
        <v>0</v>
      </c>
      <c r="AR6" s="114">
        <v>0</v>
      </c>
      <c r="AS6" s="134">
        <v>0</v>
      </c>
      <c r="AT6" s="261">
        <v>0.19999999999999996</v>
      </c>
      <c r="AU6" s="260">
        <v>0.8</v>
      </c>
      <c r="AV6" s="93">
        <v>41.098525930973565</v>
      </c>
      <c r="AW6" s="104">
        <v>67.251100469371792</v>
      </c>
      <c r="AX6" s="93">
        <v>41.098525930973565</v>
      </c>
      <c r="AY6" s="166">
        <v>67.251100469371792</v>
      </c>
      <c r="BA6" s="166"/>
    </row>
    <row r="7" spans="1:53" ht="60">
      <c r="A7" s="95" t="s">
        <v>647</v>
      </c>
      <c r="B7" s="87" t="s">
        <v>647</v>
      </c>
      <c r="C7" s="246" t="s">
        <v>10</v>
      </c>
      <c r="D7" s="253" t="s">
        <v>1414</v>
      </c>
      <c r="E7" s="246" t="s">
        <v>103</v>
      </c>
      <c r="F7" s="253" t="s">
        <v>182</v>
      </c>
      <c r="G7" s="253" t="s">
        <v>112</v>
      </c>
      <c r="H7" s="246" t="s">
        <v>109</v>
      </c>
      <c r="I7" s="246" t="s">
        <v>142</v>
      </c>
      <c r="J7" s="246" t="s">
        <v>113</v>
      </c>
      <c r="K7" s="246" t="s">
        <v>49</v>
      </c>
      <c r="L7" s="250" t="s">
        <v>18</v>
      </c>
      <c r="M7" s="87">
        <v>0.5</v>
      </c>
      <c r="N7" s="251">
        <v>0.33333333333333331</v>
      </c>
      <c r="O7" s="88">
        <v>0.83333333333333326</v>
      </c>
      <c r="P7" s="93">
        <v>37.951648559259922</v>
      </c>
      <c r="Q7" s="93">
        <v>25.301099039506614</v>
      </c>
      <c r="R7" s="89">
        <v>104.90509729066193</v>
      </c>
      <c r="S7" s="103">
        <v>69.936731527107952</v>
      </c>
      <c r="T7" s="246" t="s">
        <v>107</v>
      </c>
      <c r="U7" s="87">
        <v>0</v>
      </c>
      <c r="V7" s="246">
        <v>0</v>
      </c>
      <c r="W7" s="88">
        <v>0</v>
      </c>
      <c r="X7" s="89">
        <v>0</v>
      </c>
      <c r="Y7" s="89">
        <v>0</v>
      </c>
      <c r="Z7" s="147">
        <v>0</v>
      </c>
      <c r="AA7" s="147">
        <v>0</v>
      </c>
      <c r="AB7" s="254" t="s">
        <v>107</v>
      </c>
      <c r="AC7" s="87">
        <v>0</v>
      </c>
      <c r="AD7" s="251">
        <v>0</v>
      </c>
      <c r="AE7" s="88">
        <v>0</v>
      </c>
      <c r="AF7" s="89">
        <v>0</v>
      </c>
      <c r="AG7" s="115">
        <v>0</v>
      </c>
      <c r="AH7" s="115">
        <v>0</v>
      </c>
      <c r="AI7" s="149">
        <v>0</v>
      </c>
      <c r="AJ7" s="248" t="s">
        <v>142</v>
      </c>
      <c r="AK7" s="251"/>
      <c r="AL7" s="93">
        <v>52.106147174465356</v>
      </c>
      <c r="AM7" s="104">
        <v>68.707792673186859</v>
      </c>
      <c r="AN7" s="246" t="s">
        <v>0</v>
      </c>
      <c r="AO7" s="246">
        <v>0</v>
      </c>
      <c r="AP7" s="93">
        <v>0</v>
      </c>
      <c r="AQ7" s="93">
        <v>0</v>
      </c>
      <c r="AR7" s="114">
        <v>0</v>
      </c>
      <c r="AS7" s="93">
        <v>0</v>
      </c>
      <c r="AT7" s="261">
        <v>0.19999999999999996</v>
      </c>
      <c r="AU7" s="260">
        <v>0.8</v>
      </c>
      <c r="AV7" s="93">
        <v>54.33546725932559</v>
      </c>
      <c r="AW7" s="104">
        <v>89.934599902103457</v>
      </c>
      <c r="AX7" s="93">
        <v>54.33546725932559</v>
      </c>
      <c r="AY7" s="166">
        <v>89.934599902103457</v>
      </c>
      <c r="BA7" s="166"/>
    </row>
    <row r="8" spans="1:53" ht="60">
      <c r="A8" s="95" t="s">
        <v>648</v>
      </c>
      <c r="B8" s="87" t="s">
        <v>1155</v>
      </c>
      <c r="C8" s="246" t="s">
        <v>10</v>
      </c>
      <c r="D8" s="253" t="s">
        <v>1414</v>
      </c>
      <c r="E8" s="246" t="s">
        <v>103</v>
      </c>
      <c r="F8" s="253" t="s">
        <v>182</v>
      </c>
      <c r="G8" s="253" t="s">
        <v>111</v>
      </c>
      <c r="H8" s="246" t="s">
        <v>109</v>
      </c>
      <c r="I8" s="246" t="s">
        <v>142</v>
      </c>
      <c r="J8" s="246" t="s">
        <v>47</v>
      </c>
      <c r="K8" s="246" t="s">
        <v>49</v>
      </c>
      <c r="L8" s="250" t="s">
        <v>18</v>
      </c>
      <c r="M8" s="87">
        <v>0.5</v>
      </c>
      <c r="N8" s="251">
        <v>0.66666666666666663</v>
      </c>
      <c r="O8" s="101">
        <v>1.1666666666666665</v>
      </c>
      <c r="P8" s="93">
        <v>27.099613778523121</v>
      </c>
      <c r="Q8" s="93">
        <v>36.132818371364159</v>
      </c>
      <c r="R8" s="89">
        <v>74.908145703770415</v>
      </c>
      <c r="S8" s="103">
        <v>99.877527605027197</v>
      </c>
      <c r="T8" s="246" t="s">
        <v>18</v>
      </c>
      <c r="U8" s="87">
        <v>0.5</v>
      </c>
      <c r="V8" s="251">
        <v>0.66666666666666663</v>
      </c>
      <c r="W8" s="88">
        <v>1.1666666666666665</v>
      </c>
      <c r="X8" s="89">
        <v>27.099613778523121</v>
      </c>
      <c r="Y8" s="89">
        <v>36.132818371364159</v>
      </c>
      <c r="Z8" s="147">
        <v>74.908145703770415</v>
      </c>
      <c r="AA8" s="147">
        <v>99.877527605027197</v>
      </c>
      <c r="AB8" s="254" t="s">
        <v>107</v>
      </c>
      <c r="AC8" s="87">
        <v>0</v>
      </c>
      <c r="AD8" s="251">
        <v>0</v>
      </c>
      <c r="AE8" s="88">
        <v>0</v>
      </c>
      <c r="AF8" s="89">
        <v>0</v>
      </c>
      <c r="AG8" s="115">
        <v>0</v>
      </c>
      <c r="AH8" s="115">
        <v>0</v>
      </c>
      <c r="AI8" s="149">
        <v>0</v>
      </c>
      <c r="AJ8" s="248" t="s">
        <v>49</v>
      </c>
      <c r="AK8" s="246"/>
      <c r="AL8" s="93">
        <v>0</v>
      </c>
      <c r="AM8" s="104">
        <v>0</v>
      </c>
      <c r="AN8" s="246" t="s">
        <v>0</v>
      </c>
      <c r="AO8" s="246">
        <v>0</v>
      </c>
      <c r="AP8" s="93">
        <v>0</v>
      </c>
      <c r="AQ8" s="93">
        <v>0</v>
      </c>
      <c r="AR8" s="114">
        <v>0</v>
      </c>
      <c r="AS8" s="93">
        <v>0</v>
      </c>
      <c r="AT8" s="261">
        <v>1</v>
      </c>
      <c r="AU8" s="260">
        <v>0</v>
      </c>
      <c r="AV8" s="93">
        <v>126.46486429977455</v>
      </c>
      <c r="AW8" s="104">
        <v>349.57134661759522</v>
      </c>
      <c r="AX8" s="93">
        <v>126.46486429977455</v>
      </c>
      <c r="AY8" s="166">
        <v>349.57134661759522</v>
      </c>
      <c r="BA8" s="166"/>
    </row>
    <row r="9" spans="1:53" ht="60">
      <c r="A9" s="95" t="s">
        <v>649</v>
      </c>
      <c r="B9" s="87" t="s">
        <v>648</v>
      </c>
      <c r="C9" s="246" t="s">
        <v>10</v>
      </c>
      <c r="D9" s="253" t="s">
        <v>1414</v>
      </c>
      <c r="E9" s="246" t="s">
        <v>103</v>
      </c>
      <c r="F9" s="253" t="s">
        <v>182</v>
      </c>
      <c r="G9" s="253" t="s">
        <v>121</v>
      </c>
      <c r="H9" s="246" t="s">
        <v>109</v>
      </c>
      <c r="I9" s="246" t="s">
        <v>142</v>
      </c>
      <c r="J9" s="246" t="s">
        <v>113</v>
      </c>
      <c r="K9" s="246" t="s">
        <v>49</v>
      </c>
      <c r="L9" s="250" t="s">
        <v>18</v>
      </c>
      <c r="M9" s="87">
        <v>0.5</v>
      </c>
      <c r="N9" s="251">
        <v>0.66666666666666663</v>
      </c>
      <c r="O9" s="101">
        <v>1.1666666666666665</v>
      </c>
      <c r="P9" s="93">
        <v>37.951648559259922</v>
      </c>
      <c r="Q9" s="93">
        <v>50.602198079013228</v>
      </c>
      <c r="R9" s="89">
        <v>104.90509729066193</v>
      </c>
      <c r="S9" s="103">
        <v>139.8734630542159</v>
      </c>
      <c r="T9" s="246" t="s">
        <v>18</v>
      </c>
      <c r="U9" s="87">
        <v>0.5</v>
      </c>
      <c r="V9" s="251">
        <v>0.66666666666666663</v>
      </c>
      <c r="W9" s="88">
        <v>1.1666666666666665</v>
      </c>
      <c r="X9" s="89">
        <v>37.951648559259922</v>
      </c>
      <c r="Y9" s="89">
        <v>50.602198079013228</v>
      </c>
      <c r="Z9" s="147">
        <v>104.90509729066193</v>
      </c>
      <c r="AA9" s="147">
        <v>139.8734630542159</v>
      </c>
      <c r="AB9" s="254" t="s">
        <v>107</v>
      </c>
      <c r="AC9" s="87">
        <v>0</v>
      </c>
      <c r="AD9" s="251">
        <v>0</v>
      </c>
      <c r="AE9" s="88">
        <v>0</v>
      </c>
      <c r="AF9" s="89">
        <v>0</v>
      </c>
      <c r="AG9" s="115">
        <v>0</v>
      </c>
      <c r="AH9" s="115">
        <v>0</v>
      </c>
      <c r="AI9" s="149">
        <v>0</v>
      </c>
      <c r="AJ9" s="248" t="s">
        <v>49</v>
      </c>
      <c r="AK9" s="246"/>
      <c r="AL9" s="93">
        <v>0</v>
      </c>
      <c r="AM9" s="104">
        <v>0</v>
      </c>
      <c r="AN9" s="246" t="s">
        <v>0</v>
      </c>
      <c r="AO9" s="246">
        <v>0</v>
      </c>
      <c r="AP9" s="93">
        <v>0</v>
      </c>
      <c r="AQ9" s="93">
        <v>0</v>
      </c>
      <c r="AR9" s="114">
        <v>0</v>
      </c>
      <c r="AS9" s="93">
        <v>0</v>
      </c>
      <c r="AT9" s="261">
        <v>1</v>
      </c>
      <c r="AU9" s="260">
        <v>0</v>
      </c>
      <c r="AV9" s="93">
        <v>177.10769327654629</v>
      </c>
      <c r="AW9" s="104">
        <v>489.55712068975566</v>
      </c>
      <c r="AX9" s="93">
        <v>177.10769327654629</v>
      </c>
      <c r="AY9" s="166">
        <v>489.55712068975566</v>
      </c>
      <c r="BA9" s="166"/>
    </row>
    <row r="10" spans="1:53" ht="60">
      <c r="A10" s="95" t="s">
        <v>650</v>
      </c>
      <c r="B10" s="87" t="s">
        <v>649</v>
      </c>
      <c r="C10" s="246" t="s">
        <v>10</v>
      </c>
      <c r="D10" s="253" t="s">
        <v>1414</v>
      </c>
      <c r="E10" s="246" t="s">
        <v>103</v>
      </c>
      <c r="F10" s="253" t="s">
        <v>182</v>
      </c>
      <c r="G10" s="255" t="s">
        <v>124</v>
      </c>
      <c r="H10" s="246" t="s">
        <v>109</v>
      </c>
      <c r="I10" s="246" t="s">
        <v>142</v>
      </c>
      <c r="J10" s="246" t="s">
        <v>47</v>
      </c>
      <c r="K10" s="246" t="s">
        <v>49</v>
      </c>
      <c r="L10" s="250" t="s">
        <v>18</v>
      </c>
      <c r="M10" s="87">
        <v>0.5</v>
      </c>
      <c r="N10" s="251">
        <v>0.33333333333333331</v>
      </c>
      <c r="O10" s="88">
        <v>0.83333333333333326</v>
      </c>
      <c r="P10" s="93">
        <v>27.099613778523121</v>
      </c>
      <c r="Q10" s="93">
        <v>18.06640918568208</v>
      </c>
      <c r="R10" s="89">
        <v>74.908145703770415</v>
      </c>
      <c r="S10" s="103">
        <v>49.938763802513598</v>
      </c>
      <c r="T10" s="246" t="s">
        <v>18</v>
      </c>
      <c r="U10" s="87">
        <v>0.5</v>
      </c>
      <c r="V10" s="251">
        <v>0.33333333333333331</v>
      </c>
      <c r="W10" s="88">
        <v>0.83333333333333326</v>
      </c>
      <c r="X10" s="89">
        <v>27.099613778523121</v>
      </c>
      <c r="Y10" s="89">
        <v>18.06640918568208</v>
      </c>
      <c r="Z10" s="147">
        <v>74.908145703770415</v>
      </c>
      <c r="AA10" s="147">
        <v>49.938763802513598</v>
      </c>
      <c r="AB10" s="254" t="s">
        <v>107</v>
      </c>
      <c r="AC10" s="87">
        <v>0</v>
      </c>
      <c r="AD10" s="251">
        <v>0</v>
      </c>
      <c r="AE10" s="88">
        <v>0</v>
      </c>
      <c r="AF10" s="89">
        <v>0</v>
      </c>
      <c r="AG10" s="115">
        <v>0</v>
      </c>
      <c r="AH10" s="115">
        <v>0</v>
      </c>
      <c r="AI10" s="149">
        <v>0</v>
      </c>
      <c r="AJ10" s="248" t="s">
        <v>142</v>
      </c>
      <c r="AK10" s="251"/>
      <c r="AL10" s="93">
        <v>33.477577252581327</v>
      </c>
      <c r="AM10" s="104">
        <v>44.143936211007251</v>
      </c>
      <c r="AN10" s="246" t="s">
        <v>0</v>
      </c>
      <c r="AO10" s="246">
        <v>0</v>
      </c>
      <c r="AP10" s="93">
        <v>0</v>
      </c>
      <c r="AQ10" s="93">
        <v>0</v>
      </c>
      <c r="AR10" s="114">
        <v>0</v>
      </c>
      <c r="AS10" s="93">
        <v>0</v>
      </c>
      <c r="AT10" s="261">
        <v>0.19999999999999996</v>
      </c>
      <c r="AU10" s="260">
        <v>0.8</v>
      </c>
      <c r="AV10" s="93">
        <v>44.848470987747135</v>
      </c>
      <c r="AW10" s="104">
        <v>85.253912771319392</v>
      </c>
      <c r="AX10" s="93">
        <v>44.848470987747135</v>
      </c>
      <c r="AY10" s="166">
        <v>85.253912771319392</v>
      </c>
      <c r="BA10" s="166"/>
    </row>
    <row r="11" spans="1:53" ht="60">
      <c r="A11" s="95" t="s">
        <v>651</v>
      </c>
      <c r="B11" s="87" t="s">
        <v>1156</v>
      </c>
      <c r="C11" s="246" t="s">
        <v>10</v>
      </c>
      <c r="D11" s="253" t="s">
        <v>1414</v>
      </c>
      <c r="E11" s="246" t="s">
        <v>103</v>
      </c>
      <c r="F11" s="253" t="s">
        <v>182</v>
      </c>
      <c r="G11" s="253" t="s">
        <v>125</v>
      </c>
      <c r="H11" s="246" t="s">
        <v>109</v>
      </c>
      <c r="I11" s="246" t="s">
        <v>142</v>
      </c>
      <c r="J11" s="246" t="s">
        <v>47</v>
      </c>
      <c r="K11" s="246" t="s">
        <v>49</v>
      </c>
      <c r="L11" s="250" t="s">
        <v>18</v>
      </c>
      <c r="M11" s="87">
        <v>0.5</v>
      </c>
      <c r="N11" s="251">
        <v>0.66666666666666663</v>
      </c>
      <c r="O11" s="88">
        <v>1.1666666666666665</v>
      </c>
      <c r="P11" s="93">
        <v>27.099613778523121</v>
      </c>
      <c r="Q11" s="93">
        <v>36.132818371364159</v>
      </c>
      <c r="R11" s="89">
        <v>74.908145703770415</v>
      </c>
      <c r="S11" s="103">
        <v>99.877527605027197</v>
      </c>
      <c r="T11" s="246" t="s">
        <v>18</v>
      </c>
      <c r="U11" s="87">
        <v>0.5</v>
      </c>
      <c r="V11" s="251">
        <v>0.66666666666666663</v>
      </c>
      <c r="W11" s="88">
        <v>1.1666666666666665</v>
      </c>
      <c r="X11" s="89">
        <v>27.099613778523121</v>
      </c>
      <c r="Y11" s="89">
        <v>36.132818371364159</v>
      </c>
      <c r="Z11" s="147">
        <v>74.908145703770415</v>
      </c>
      <c r="AA11" s="147">
        <v>99.877527605027197</v>
      </c>
      <c r="AB11" s="254" t="s">
        <v>107</v>
      </c>
      <c r="AC11" s="87">
        <v>0</v>
      </c>
      <c r="AD11" s="251">
        <v>0</v>
      </c>
      <c r="AE11" s="88">
        <v>0</v>
      </c>
      <c r="AF11" s="89">
        <v>0</v>
      </c>
      <c r="AG11" s="115">
        <v>0</v>
      </c>
      <c r="AH11" s="115">
        <v>0</v>
      </c>
      <c r="AI11" s="149">
        <v>0</v>
      </c>
      <c r="AJ11" s="248" t="s">
        <v>49</v>
      </c>
      <c r="AK11" s="246"/>
      <c r="AL11" s="93">
        <v>0</v>
      </c>
      <c r="AM11" s="104">
        <v>0</v>
      </c>
      <c r="AN11" s="246" t="s">
        <v>0</v>
      </c>
      <c r="AO11" s="246">
        <v>0</v>
      </c>
      <c r="AP11" s="93">
        <v>0</v>
      </c>
      <c r="AQ11" s="93">
        <v>0</v>
      </c>
      <c r="AR11" s="114">
        <v>0</v>
      </c>
      <c r="AS11" s="93">
        <v>0</v>
      </c>
      <c r="AT11" s="261">
        <v>1</v>
      </c>
      <c r="AU11" s="260">
        <v>0</v>
      </c>
      <c r="AV11" s="93">
        <v>126.46486429977455</v>
      </c>
      <c r="AW11" s="104">
        <v>349.57134661759522</v>
      </c>
      <c r="AX11" s="93">
        <v>126.46486429977455</v>
      </c>
      <c r="AY11" s="166">
        <v>349.57134661759522</v>
      </c>
      <c r="BA11" s="166"/>
    </row>
    <row r="12" spans="1:53" ht="60">
      <c r="A12" s="95" t="s">
        <v>652</v>
      </c>
      <c r="B12" s="87" t="s">
        <v>650</v>
      </c>
      <c r="C12" s="246" t="s">
        <v>10</v>
      </c>
      <c r="D12" s="253" t="s">
        <v>1414</v>
      </c>
      <c r="E12" s="246" t="s">
        <v>103</v>
      </c>
      <c r="F12" s="253" t="s">
        <v>126</v>
      </c>
      <c r="G12" s="253" t="s">
        <v>127</v>
      </c>
      <c r="H12" s="246" t="s">
        <v>109</v>
      </c>
      <c r="I12" s="246" t="s">
        <v>142</v>
      </c>
      <c r="J12" s="246" t="s">
        <v>47</v>
      </c>
      <c r="K12" s="246" t="s">
        <v>49</v>
      </c>
      <c r="L12" s="250" t="s">
        <v>18</v>
      </c>
      <c r="M12" s="87">
        <v>0.5</v>
      </c>
      <c r="N12" s="251">
        <v>0.25</v>
      </c>
      <c r="O12" s="87">
        <v>0.75</v>
      </c>
      <c r="P12" s="93">
        <v>27.099613778523121</v>
      </c>
      <c r="Q12" s="93">
        <v>13.549806889261561</v>
      </c>
      <c r="R12" s="89">
        <v>74.908145703770415</v>
      </c>
      <c r="S12" s="103">
        <v>37.454072851885208</v>
      </c>
      <c r="T12" s="246" t="s">
        <v>107</v>
      </c>
      <c r="U12" s="87">
        <v>0</v>
      </c>
      <c r="V12" s="246">
        <v>0</v>
      </c>
      <c r="W12" s="88">
        <v>0</v>
      </c>
      <c r="X12" s="89">
        <v>0</v>
      </c>
      <c r="Y12" s="89">
        <v>0</v>
      </c>
      <c r="Z12" s="147">
        <v>0</v>
      </c>
      <c r="AA12" s="147">
        <v>0</v>
      </c>
      <c r="AB12" s="254" t="s">
        <v>107</v>
      </c>
      <c r="AC12" s="87">
        <v>0</v>
      </c>
      <c r="AD12" s="251">
        <v>0</v>
      </c>
      <c r="AE12" s="88">
        <v>0</v>
      </c>
      <c r="AF12" s="89">
        <v>0</v>
      </c>
      <c r="AG12" s="115">
        <v>0</v>
      </c>
      <c r="AH12" s="115">
        <v>0</v>
      </c>
      <c r="AI12" s="149">
        <v>0</v>
      </c>
      <c r="AJ12" s="248" t="s">
        <v>142</v>
      </c>
      <c r="AK12" s="251"/>
      <c r="AL12" s="93">
        <v>16.428905134271321</v>
      </c>
      <c r="AM12" s="104">
        <v>21.663352004005684</v>
      </c>
      <c r="AN12" s="246" t="s">
        <v>0</v>
      </c>
      <c r="AO12" s="246">
        <v>0</v>
      </c>
      <c r="AP12" s="93">
        <v>0</v>
      </c>
      <c r="AQ12" s="93">
        <v>0</v>
      </c>
      <c r="AR12" s="114">
        <v>0</v>
      </c>
      <c r="AS12" s="93">
        <v>0</v>
      </c>
      <c r="AT12" s="261">
        <v>0.19999999999999996</v>
      </c>
      <c r="AU12" s="260">
        <v>0.8</v>
      </c>
      <c r="AV12" s="93">
        <v>21.273008240973994</v>
      </c>
      <c r="AW12" s="104">
        <v>39.803125314335674</v>
      </c>
      <c r="AX12" s="93">
        <v>21.273008240973994</v>
      </c>
      <c r="AY12" s="166">
        <v>39.803125314335674</v>
      </c>
      <c r="BA12" s="166"/>
    </row>
    <row r="13" spans="1:53" ht="60">
      <c r="A13" s="95" t="s">
        <v>653</v>
      </c>
      <c r="B13" s="87" t="s">
        <v>651</v>
      </c>
      <c r="C13" s="246" t="s">
        <v>10</v>
      </c>
      <c r="D13" s="253" t="s">
        <v>1414</v>
      </c>
      <c r="E13" s="246" t="s">
        <v>103</v>
      </c>
      <c r="F13" s="253" t="s">
        <v>126</v>
      </c>
      <c r="G13" s="253" t="s">
        <v>122</v>
      </c>
      <c r="H13" s="246" t="s">
        <v>109</v>
      </c>
      <c r="I13" s="246" t="s">
        <v>142</v>
      </c>
      <c r="J13" s="246" t="s">
        <v>113</v>
      </c>
      <c r="K13" s="246" t="s">
        <v>49</v>
      </c>
      <c r="L13" s="250" t="s">
        <v>18</v>
      </c>
      <c r="M13" s="87">
        <v>0.5</v>
      </c>
      <c r="N13" s="251">
        <v>0.25</v>
      </c>
      <c r="O13" s="90">
        <v>0.75</v>
      </c>
      <c r="P13" s="93">
        <v>37.951648559259922</v>
      </c>
      <c r="Q13" s="93">
        <v>18.975824279629961</v>
      </c>
      <c r="R13" s="93">
        <v>104.90509729066193</v>
      </c>
      <c r="S13" s="104">
        <v>52.452548645330964</v>
      </c>
      <c r="T13" s="246" t="s">
        <v>107</v>
      </c>
      <c r="U13" s="90">
        <v>0</v>
      </c>
      <c r="V13" s="246">
        <v>0</v>
      </c>
      <c r="W13" s="92">
        <v>0</v>
      </c>
      <c r="X13" s="89">
        <v>0</v>
      </c>
      <c r="Y13" s="89">
        <v>0</v>
      </c>
      <c r="Z13" s="147">
        <v>0</v>
      </c>
      <c r="AA13" s="147">
        <v>0</v>
      </c>
      <c r="AB13" s="254" t="s">
        <v>107</v>
      </c>
      <c r="AC13" s="87">
        <v>0</v>
      </c>
      <c r="AD13" s="251">
        <v>0</v>
      </c>
      <c r="AE13" s="88">
        <v>0</v>
      </c>
      <c r="AF13" s="89">
        <v>0</v>
      </c>
      <c r="AG13" s="115">
        <v>0</v>
      </c>
      <c r="AH13" s="115">
        <v>0</v>
      </c>
      <c r="AI13" s="149">
        <v>0</v>
      </c>
      <c r="AJ13" s="248" t="s">
        <v>142</v>
      </c>
      <c r="AK13" s="251"/>
      <c r="AL13" s="93">
        <v>21.357576674552721</v>
      </c>
      <c r="AM13" s="104">
        <v>28.162357605207387</v>
      </c>
      <c r="AN13" s="246" t="s">
        <v>0</v>
      </c>
      <c r="AO13" s="246">
        <v>0</v>
      </c>
      <c r="AP13" s="93">
        <v>0</v>
      </c>
      <c r="AQ13" s="93">
        <v>0</v>
      </c>
      <c r="AR13" s="114">
        <v>0</v>
      </c>
      <c r="AS13" s="93">
        <v>0</v>
      </c>
      <c r="AT13" s="261">
        <v>0.19999999999999996</v>
      </c>
      <c r="AU13" s="260">
        <v>0.8</v>
      </c>
      <c r="AV13" s="93">
        <v>28.471555907420154</v>
      </c>
      <c r="AW13" s="104">
        <v>54.001415271364479</v>
      </c>
      <c r="AX13" s="93">
        <v>28.471555907420154</v>
      </c>
      <c r="AY13" s="166">
        <v>54.001415271364479</v>
      </c>
      <c r="BA13" s="166"/>
    </row>
    <row r="14" spans="1:53" ht="60">
      <c r="A14" s="95" t="s">
        <v>655</v>
      </c>
      <c r="B14" s="87" t="s">
        <v>1157</v>
      </c>
      <c r="C14" s="246" t="s">
        <v>10</v>
      </c>
      <c r="D14" s="253" t="s">
        <v>1414</v>
      </c>
      <c r="E14" s="246" t="s">
        <v>103</v>
      </c>
      <c r="F14" s="253" t="s">
        <v>126</v>
      </c>
      <c r="G14" s="253" t="s">
        <v>1460</v>
      </c>
      <c r="H14" s="246" t="s">
        <v>109</v>
      </c>
      <c r="I14" s="246" t="s">
        <v>142</v>
      </c>
      <c r="J14" s="246" t="s">
        <v>47</v>
      </c>
      <c r="K14" s="246" t="s">
        <v>49</v>
      </c>
      <c r="L14" s="250" t="s">
        <v>18</v>
      </c>
      <c r="M14" s="87">
        <v>0.5</v>
      </c>
      <c r="N14" s="251">
        <v>0.25</v>
      </c>
      <c r="O14" s="92">
        <v>0.75</v>
      </c>
      <c r="P14" s="93">
        <v>27.099613778523121</v>
      </c>
      <c r="Q14" s="93">
        <v>13.549806889261561</v>
      </c>
      <c r="R14" s="93">
        <v>74.908145703770415</v>
      </c>
      <c r="S14" s="104">
        <v>37.454072851885208</v>
      </c>
      <c r="T14" s="246" t="s">
        <v>18</v>
      </c>
      <c r="U14" s="90">
        <v>0.5</v>
      </c>
      <c r="V14" s="251">
        <v>0.25</v>
      </c>
      <c r="W14" s="92">
        <v>0.75</v>
      </c>
      <c r="X14" s="89">
        <v>27.099613778523121</v>
      </c>
      <c r="Y14" s="89">
        <v>13.549806889261561</v>
      </c>
      <c r="Z14" s="147">
        <v>74.908145703770415</v>
      </c>
      <c r="AA14" s="147">
        <v>37.454072851885208</v>
      </c>
      <c r="AB14" s="254" t="s">
        <v>107</v>
      </c>
      <c r="AC14" s="87">
        <v>0</v>
      </c>
      <c r="AD14" s="251">
        <v>0</v>
      </c>
      <c r="AE14" s="88">
        <v>0</v>
      </c>
      <c r="AF14" s="89">
        <v>0</v>
      </c>
      <c r="AG14" s="115">
        <v>0</v>
      </c>
      <c r="AH14" s="115">
        <v>0</v>
      </c>
      <c r="AI14" s="149">
        <v>0</v>
      </c>
      <c r="AJ14" s="248" t="s">
        <v>142</v>
      </c>
      <c r="AK14" s="251"/>
      <c r="AL14" s="93">
        <v>16.428905134271321</v>
      </c>
      <c r="AM14" s="104">
        <v>21.663352004005684</v>
      </c>
      <c r="AN14" s="246" t="s">
        <v>0</v>
      </c>
      <c r="AO14" s="246">
        <v>0</v>
      </c>
      <c r="AP14" s="93">
        <v>0</v>
      </c>
      <c r="AQ14" s="93">
        <v>0</v>
      </c>
      <c r="AR14" s="114">
        <v>0</v>
      </c>
      <c r="AS14" s="93">
        <v>0</v>
      </c>
      <c r="AT14" s="261">
        <v>0.19999999999999996</v>
      </c>
      <c r="AU14" s="260">
        <v>0.8</v>
      </c>
      <c r="AV14" s="93">
        <v>29.402892374530929</v>
      </c>
      <c r="AW14" s="104">
        <v>62.275569025466794</v>
      </c>
      <c r="AX14" s="93">
        <v>29.402892374530929</v>
      </c>
      <c r="AY14" s="166">
        <v>62.275569025466794</v>
      </c>
      <c r="BA14" s="166"/>
    </row>
    <row r="15" spans="1:53" ht="60">
      <c r="A15" s="95" t="s">
        <v>657</v>
      </c>
      <c r="B15" s="87" t="s">
        <v>654</v>
      </c>
      <c r="C15" s="246" t="s">
        <v>10</v>
      </c>
      <c r="D15" s="253" t="s">
        <v>1414</v>
      </c>
      <c r="E15" s="246" t="s">
        <v>117</v>
      </c>
      <c r="F15" s="253" t="s">
        <v>389</v>
      </c>
      <c r="G15" s="253" t="s">
        <v>105</v>
      </c>
      <c r="H15" s="246" t="s">
        <v>109</v>
      </c>
      <c r="I15" s="246" t="s">
        <v>142</v>
      </c>
      <c r="J15" s="246" t="s">
        <v>47</v>
      </c>
      <c r="K15" s="246" t="s">
        <v>49</v>
      </c>
      <c r="L15" s="250" t="s">
        <v>18</v>
      </c>
      <c r="M15" s="87">
        <v>0.5</v>
      </c>
      <c r="N15" s="251">
        <v>0.25</v>
      </c>
      <c r="O15" s="90">
        <v>0.75</v>
      </c>
      <c r="P15" s="93">
        <v>27.099613778523121</v>
      </c>
      <c r="Q15" s="93">
        <v>13.549806889261561</v>
      </c>
      <c r="R15" s="93">
        <v>74.908145703770415</v>
      </c>
      <c r="S15" s="104">
        <v>37.454072851885208</v>
      </c>
      <c r="T15" s="250" t="s">
        <v>18</v>
      </c>
      <c r="U15" s="87">
        <v>0.5</v>
      </c>
      <c r="V15" s="251">
        <v>0.25</v>
      </c>
      <c r="W15" s="92">
        <v>0.75</v>
      </c>
      <c r="X15" s="89">
        <v>27.099613778523121</v>
      </c>
      <c r="Y15" s="89">
        <v>13.549806889261561</v>
      </c>
      <c r="Z15" s="147">
        <v>74.908145703770415</v>
      </c>
      <c r="AA15" s="147">
        <v>37.454072851885208</v>
      </c>
      <c r="AB15" s="254" t="s">
        <v>107</v>
      </c>
      <c r="AC15" s="87">
        <v>0</v>
      </c>
      <c r="AD15" s="251">
        <v>0</v>
      </c>
      <c r="AE15" s="88">
        <v>0</v>
      </c>
      <c r="AF15" s="89">
        <v>0</v>
      </c>
      <c r="AG15" s="115">
        <v>0</v>
      </c>
      <c r="AH15" s="115">
        <v>0</v>
      </c>
      <c r="AI15" s="149">
        <v>0</v>
      </c>
      <c r="AJ15" s="248" t="s">
        <v>142</v>
      </c>
      <c r="AK15" s="251"/>
      <c r="AL15" s="93">
        <v>32.807009696080456</v>
      </c>
      <c r="AM15" s="104">
        <v>43.25971776186416</v>
      </c>
      <c r="AN15" s="246" t="s">
        <v>0</v>
      </c>
      <c r="AO15" s="246">
        <v>0</v>
      </c>
      <c r="AP15" s="93">
        <v>0</v>
      </c>
      <c r="AQ15" s="93">
        <v>0</v>
      </c>
      <c r="AR15" s="114">
        <v>0</v>
      </c>
      <c r="AS15" s="93">
        <v>0</v>
      </c>
      <c r="AT15" s="261">
        <v>0.19999999999999996</v>
      </c>
      <c r="AU15" s="260">
        <v>0.8</v>
      </c>
      <c r="AV15" s="93">
        <v>42.505376023978236</v>
      </c>
      <c r="AW15" s="104">
        <v>79.55266163175358</v>
      </c>
      <c r="AX15" s="93">
        <v>42.505376023978236</v>
      </c>
      <c r="AY15" s="166">
        <v>79.55266163175358</v>
      </c>
      <c r="BA15" s="166"/>
    </row>
    <row r="16" spans="1:53" ht="60">
      <c r="A16" s="95" t="s">
        <v>658</v>
      </c>
      <c r="B16" s="87" t="s">
        <v>1158</v>
      </c>
      <c r="C16" s="246" t="s">
        <v>10</v>
      </c>
      <c r="D16" s="253" t="s">
        <v>1414</v>
      </c>
      <c r="E16" s="246" t="s">
        <v>117</v>
      </c>
      <c r="F16" s="253" t="s">
        <v>389</v>
      </c>
      <c r="G16" s="253" t="s">
        <v>111</v>
      </c>
      <c r="H16" s="246" t="s">
        <v>109</v>
      </c>
      <c r="I16" s="246" t="s">
        <v>142</v>
      </c>
      <c r="J16" s="246" t="s">
        <v>47</v>
      </c>
      <c r="K16" s="246" t="s">
        <v>49</v>
      </c>
      <c r="L16" s="250" t="s">
        <v>18</v>
      </c>
      <c r="M16" s="87">
        <v>0.5</v>
      </c>
      <c r="N16" s="251">
        <v>0.41666666666666669</v>
      </c>
      <c r="O16" s="92">
        <v>0.91666666666666674</v>
      </c>
      <c r="P16" s="93">
        <v>27.099613778523121</v>
      </c>
      <c r="Q16" s="93">
        <v>22.583011482102602</v>
      </c>
      <c r="R16" s="93">
        <v>74.908145703770415</v>
      </c>
      <c r="S16" s="104">
        <v>62.423454753142011</v>
      </c>
      <c r="T16" s="250" t="s">
        <v>18</v>
      </c>
      <c r="U16" s="87">
        <v>0.5</v>
      </c>
      <c r="V16" s="251">
        <v>0.41666666666666669</v>
      </c>
      <c r="W16" s="92">
        <v>0.91666666666666674</v>
      </c>
      <c r="X16" s="89">
        <v>27.099613778523121</v>
      </c>
      <c r="Y16" s="89">
        <v>22.583011482102602</v>
      </c>
      <c r="Z16" s="147">
        <v>74.908145703770415</v>
      </c>
      <c r="AA16" s="147">
        <v>62.423454753142011</v>
      </c>
      <c r="AB16" s="254" t="s">
        <v>107</v>
      </c>
      <c r="AC16" s="87">
        <v>0</v>
      </c>
      <c r="AD16" s="251">
        <v>0</v>
      </c>
      <c r="AE16" s="88">
        <v>0</v>
      </c>
      <c r="AF16" s="89">
        <v>0</v>
      </c>
      <c r="AG16" s="115">
        <v>0</v>
      </c>
      <c r="AH16" s="115">
        <v>0</v>
      </c>
      <c r="AI16" s="149">
        <v>0</v>
      </c>
      <c r="AJ16" s="248" t="s">
        <v>142</v>
      </c>
      <c r="AK16" s="246"/>
      <c r="AL16" s="93">
        <v>32.807009696080456</v>
      </c>
      <c r="AM16" s="104">
        <v>43.25971776186416</v>
      </c>
      <c r="AN16" s="246" t="s">
        <v>0</v>
      </c>
      <c r="AO16" s="246">
        <v>0</v>
      </c>
      <c r="AP16" s="93">
        <v>0</v>
      </c>
      <c r="AQ16" s="93">
        <v>0</v>
      </c>
      <c r="AR16" s="114">
        <v>0</v>
      </c>
      <c r="AS16" s="93">
        <v>0</v>
      </c>
      <c r="AT16" s="261">
        <v>0.19999999999999996</v>
      </c>
      <c r="AU16" s="260">
        <v>0.8</v>
      </c>
      <c r="AV16" s="93">
        <v>46.118657861114656</v>
      </c>
      <c r="AW16" s="104">
        <v>89.540414392256295</v>
      </c>
      <c r="AX16" s="93">
        <v>46.118657861114656</v>
      </c>
      <c r="AY16" s="166">
        <v>89.540414392256295</v>
      </c>
      <c r="BA16" s="166"/>
    </row>
    <row r="17" spans="1:53" ht="60">
      <c r="A17" s="95" t="s">
        <v>659</v>
      </c>
      <c r="B17" s="87" t="s">
        <v>655</v>
      </c>
      <c r="C17" s="246" t="s">
        <v>10</v>
      </c>
      <c r="D17" s="253" t="s">
        <v>1414</v>
      </c>
      <c r="E17" s="246" t="s">
        <v>117</v>
      </c>
      <c r="F17" s="253" t="s">
        <v>389</v>
      </c>
      <c r="G17" s="253" t="s">
        <v>112</v>
      </c>
      <c r="H17" s="246" t="s">
        <v>109</v>
      </c>
      <c r="I17" s="246" t="s">
        <v>142</v>
      </c>
      <c r="J17" s="246" t="s">
        <v>113</v>
      </c>
      <c r="K17" s="246" t="s">
        <v>49</v>
      </c>
      <c r="L17" s="250" t="s">
        <v>18</v>
      </c>
      <c r="M17" s="87">
        <v>0.5</v>
      </c>
      <c r="N17" s="251">
        <v>0.25</v>
      </c>
      <c r="O17" s="90">
        <v>0.75</v>
      </c>
      <c r="P17" s="93">
        <v>37.951648559259922</v>
      </c>
      <c r="Q17" s="93">
        <v>18.975824279629961</v>
      </c>
      <c r="R17" s="93">
        <v>104.90509729066193</v>
      </c>
      <c r="S17" s="104">
        <v>52.452548645330964</v>
      </c>
      <c r="T17" s="250" t="s">
        <v>18</v>
      </c>
      <c r="U17" s="87">
        <v>0.5</v>
      </c>
      <c r="V17" s="251">
        <v>0.25</v>
      </c>
      <c r="W17" s="92">
        <v>0.75</v>
      </c>
      <c r="X17" s="89">
        <v>37.951648559259922</v>
      </c>
      <c r="Y17" s="89">
        <v>18.975824279629961</v>
      </c>
      <c r="Z17" s="147">
        <v>104.90509729066193</v>
      </c>
      <c r="AA17" s="147">
        <v>52.452548645330964</v>
      </c>
      <c r="AB17" s="254" t="s">
        <v>107</v>
      </c>
      <c r="AC17" s="87">
        <v>0</v>
      </c>
      <c r="AD17" s="251">
        <v>0</v>
      </c>
      <c r="AE17" s="88">
        <v>0</v>
      </c>
      <c r="AF17" s="89">
        <v>0</v>
      </c>
      <c r="AG17" s="115">
        <v>0</v>
      </c>
      <c r="AH17" s="115">
        <v>0</v>
      </c>
      <c r="AI17" s="149">
        <v>0</v>
      </c>
      <c r="AJ17" s="248" t="s">
        <v>142</v>
      </c>
      <c r="AK17" s="251"/>
      <c r="AL17" s="93">
        <v>42.649112604904595</v>
      </c>
      <c r="AM17" s="104">
        <v>56.237633090423408</v>
      </c>
      <c r="AN17" s="246" t="s">
        <v>0</v>
      </c>
      <c r="AO17" s="246">
        <v>0</v>
      </c>
      <c r="AP17" s="93">
        <v>0</v>
      </c>
      <c r="AQ17" s="93">
        <v>0</v>
      </c>
      <c r="AR17" s="114">
        <v>0</v>
      </c>
      <c r="AS17" s="93">
        <v>0</v>
      </c>
      <c r="AT17" s="261">
        <v>0.19999999999999996</v>
      </c>
      <c r="AU17" s="260">
        <v>0.8</v>
      </c>
      <c r="AV17" s="93">
        <v>56.890279219479623</v>
      </c>
      <c r="AW17" s="104">
        <v>107.93316484673588</v>
      </c>
      <c r="AX17" s="93">
        <v>56.890279219479623</v>
      </c>
      <c r="AY17" s="166">
        <v>107.93316484673588</v>
      </c>
      <c r="BA17" s="166"/>
    </row>
    <row r="18" spans="1:53" ht="60">
      <c r="A18" s="95" t="s">
        <v>660</v>
      </c>
      <c r="B18" s="87" t="s">
        <v>656</v>
      </c>
      <c r="C18" s="246" t="s">
        <v>10</v>
      </c>
      <c r="D18" s="253" t="s">
        <v>1414</v>
      </c>
      <c r="E18" s="246" t="s">
        <v>117</v>
      </c>
      <c r="F18" s="253" t="s">
        <v>389</v>
      </c>
      <c r="G18" s="253" t="s">
        <v>121</v>
      </c>
      <c r="H18" s="246" t="s">
        <v>109</v>
      </c>
      <c r="I18" s="246" t="s">
        <v>142</v>
      </c>
      <c r="J18" s="246" t="s">
        <v>113</v>
      </c>
      <c r="K18" s="246" t="s">
        <v>49</v>
      </c>
      <c r="L18" s="250" t="s">
        <v>18</v>
      </c>
      <c r="M18" s="87">
        <v>0.5</v>
      </c>
      <c r="N18" s="251">
        <v>0.41666666666666669</v>
      </c>
      <c r="O18" s="92">
        <v>0.91666666666666674</v>
      </c>
      <c r="P18" s="93">
        <v>37.951648559259922</v>
      </c>
      <c r="Q18" s="93">
        <v>31.62637379938327</v>
      </c>
      <c r="R18" s="93">
        <v>104.90509729066193</v>
      </c>
      <c r="S18" s="104">
        <v>87.420914408884926</v>
      </c>
      <c r="T18" s="250" t="s">
        <v>18</v>
      </c>
      <c r="U18" s="87">
        <v>0.5</v>
      </c>
      <c r="V18" s="251">
        <v>0.41666666666666669</v>
      </c>
      <c r="W18" s="92">
        <v>0.91666666666666674</v>
      </c>
      <c r="X18" s="89">
        <v>37.951648559259922</v>
      </c>
      <c r="Y18" s="89">
        <v>31.62637379938327</v>
      </c>
      <c r="Z18" s="147">
        <v>104.90509729066193</v>
      </c>
      <c r="AA18" s="147">
        <v>87.420914408884926</v>
      </c>
      <c r="AB18" s="254" t="s">
        <v>107</v>
      </c>
      <c r="AC18" s="87">
        <v>0</v>
      </c>
      <c r="AD18" s="251">
        <v>0</v>
      </c>
      <c r="AE18" s="88">
        <v>0</v>
      </c>
      <c r="AF18" s="89">
        <v>0</v>
      </c>
      <c r="AG18" s="115">
        <v>0</v>
      </c>
      <c r="AH18" s="115">
        <v>0</v>
      </c>
      <c r="AI18" s="149">
        <v>0</v>
      </c>
      <c r="AJ18" s="248" t="s">
        <v>142</v>
      </c>
      <c r="AK18" s="246"/>
      <c r="AL18" s="93">
        <v>42.649112604904595</v>
      </c>
      <c r="AM18" s="104">
        <v>56.237633090423408</v>
      </c>
      <c r="AN18" s="246" t="s">
        <v>0</v>
      </c>
      <c r="AO18" s="246">
        <v>0</v>
      </c>
      <c r="AP18" s="93">
        <v>0</v>
      </c>
      <c r="AQ18" s="93">
        <v>0</v>
      </c>
      <c r="AR18" s="114">
        <v>0</v>
      </c>
      <c r="AS18" s="93">
        <v>0</v>
      </c>
      <c r="AT18" s="261">
        <v>0.19999999999999996</v>
      </c>
      <c r="AU18" s="260">
        <v>0.8</v>
      </c>
      <c r="AV18" s="93">
        <v>61.950499027380957</v>
      </c>
      <c r="AW18" s="104">
        <v>121.92051115215745</v>
      </c>
      <c r="AX18" s="93">
        <v>61.950499027380957</v>
      </c>
      <c r="AY18" s="166">
        <v>121.92051115215745</v>
      </c>
      <c r="BA18" s="166"/>
    </row>
    <row r="19" spans="1:53" ht="60">
      <c r="A19" s="95" t="s">
        <v>661</v>
      </c>
      <c r="B19" s="87" t="s">
        <v>657</v>
      </c>
      <c r="C19" s="246" t="s">
        <v>10</v>
      </c>
      <c r="D19" s="253" t="s">
        <v>1414</v>
      </c>
      <c r="E19" s="246" t="s">
        <v>117</v>
      </c>
      <c r="F19" s="253" t="s">
        <v>389</v>
      </c>
      <c r="G19" s="253" t="s">
        <v>119</v>
      </c>
      <c r="H19" s="246" t="s">
        <v>109</v>
      </c>
      <c r="I19" s="246" t="s">
        <v>142</v>
      </c>
      <c r="J19" s="246" t="s">
        <v>113</v>
      </c>
      <c r="K19" s="246" t="s">
        <v>49</v>
      </c>
      <c r="L19" s="250" t="s">
        <v>18</v>
      </c>
      <c r="M19" s="87">
        <v>0.5</v>
      </c>
      <c r="N19" s="251">
        <v>0.25</v>
      </c>
      <c r="O19" s="90">
        <v>0.75</v>
      </c>
      <c r="P19" s="93">
        <v>37.951648559259922</v>
      </c>
      <c r="Q19" s="93">
        <v>18.975824279629961</v>
      </c>
      <c r="R19" s="93">
        <v>104.90509729066193</v>
      </c>
      <c r="S19" s="104">
        <v>52.452548645330964</v>
      </c>
      <c r="T19" s="250" t="s">
        <v>18</v>
      </c>
      <c r="U19" s="87">
        <v>0.5</v>
      </c>
      <c r="V19" s="251">
        <v>0.25</v>
      </c>
      <c r="W19" s="92">
        <v>0.75</v>
      </c>
      <c r="X19" s="89">
        <v>37.951648559259922</v>
      </c>
      <c r="Y19" s="89">
        <v>18.975824279629961</v>
      </c>
      <c r="Z19" s="147">
        <v>104.90509729066193</v>
      </c>
      <c r="AA19" s="147">
        <v>52.452548645330964</v>
      </c>
      <c r="AB19" s="254" t="s">
        <v>107</v>
      </c>
      <c r="AC19" s="87">
        <v>0</v>
      </c>
      <c r="AD19" s="251">
        <v>0</v>
      </c>
      <c r="AE19" s="88">
        <v>0</v>
      </c>
      <c r="AF19" s="89">
        <v>0</v>
      </c>
      <c r="AG19" s="115">
        <v>0</v>
      </c>
      <c r="AH19" s="115">
        <v>0</v>
      </c>
      <c r="AI19" s="149">
        <v>0</v>
      </c>
      <c r="AJ19" s="248" t="s">
        <v>142</v>
      </c>
      <c r="AK19" s="251"/>
      <c r="AL19" s="93">
        <v>42.649112604904595</v>
      </c>
      <c r="AM19" s="104">
        <v>56.237633090423408</v>
      </c>
      <c r="AN19" s="246" t="s">
        <v>0</v>
      </c>
      <c r="AO19" s="246">
        <v>0</v>
      </c>
      <c r="AP19" s="93">
        <v>0</v>
      </c>
      <c r="AQ19" s="93">
        <v>0</v>
      </c>
      <c r="AR19" s="114">
        <v>0</v>
      </c>
      <c r="AS19" s="93">
        <v>0</v>
      </c>
      <c r="AT19" s="261">
        <v>0.19999999999999996</v>
      </c>
      <c r="AU19" s="260">
        <v>0.8</v>
      </c>
      <c r="AV19" s="93">
        <v>56.890279219479623</v>
      </c>
      <c r="AW19" s="104">
        <v>107.93316484673588</v>
      </c>
      <c r="AX19" s="93">
        <v>56.890279219479623</v>
      </c>
      <c r="AY19" s="166">
        <v>107.93316484673588</v>
      </c>
      <c r="BA19" s="166"/>
    </row>
    <row r="20" spans="1:53" ht="60">
      <c r="A20" s="95" t="s">
        <v>662</v>
      </c>
      <c r="B20" s="87" t="s">
        <v>658</v>
      </c>
      <c r="C20" s="246" t="s">
        <v>10</v>
      </c>
      <c r="D20" s="253" t="s">
        <v>1414</v>
      </c>
      <c r="E20" s="246" t="s">
        <v>117</v>
      </c>
      <c r="F20" s="253" t="s">
        <v>389</v>
      </c>
      <c r="G20" s="253" t="s">
        <v>123</v>
      </c>
      <c r="H20" s="246" t="s">
        <v>109</v>
      </c>
      <c r="I20" s="246" t="s">
        <v>142</v>
      </c>
      <c r="J20" s="246" t="s">
        <v>113</v>
      </c>
      <c r="K20" s="246" t="s">
        <v>49</v>
      </c>
      <c r="L20" s="250" t="s">
        <v>18</v>
      </c>
      <c r="M20" s="87">
        <v>0.5</v>
      </c>
      <c r="N20" s="251">
        <v>0.41666666666666669</v>
      </c>
      <c r="O20" s="92">
        <v>0.91666666666666674</v>
      </c>
      <c r="P20" s="93">
        <v>37.951648559259922</v>
      </c>
      <c r="Q20" s="93">
        <v>31.62637379938327</v>
      </c>
      <c r="R20" s="93">
        <v>104.90509729066193</v>
      </c>
      <c r="S20" s="104">
        <v>87.420914408884926</v>
      </c>
      <c r="T20" s="250" t="s">
        <v>18</v>
      </c>
      <c r="U20" s="87">
        <v>0.5</v>
      </c>
      <c r="V20" s="251">
        <v>0.41666666666666669</v>
      </c>
      <c r="W20" s="92">
        <v>0.91666666666666674</v>
      </c>
      <c r="X20" s="89">
        <v>37.951648559259922</v>
      </c>
      <c r="Y20" s="89">
        <v>31.62637379938327</v>
      </c>
      <c r="Z20" s="147">
        <v>104.90509729066193</v>
      </c>
      <c r="AA20" s="147">
        <v>87.420914408884926</v>
      </c>
      <c r="AB20" s="254" t="s">
        <v>107</v>
      </c>
      <c r="AC20" s="87">
        <v>0</v>
      </c>
      <c r="AD20" s="251">
        <v>0</v>
      </c>
      <c r="AE20" s="88">
        <v>0</v>
      </c>
      <c r="AF20" s="89">
        <v>0</v>
      </c>
      <c r="AG20" s="115">
        <v>0</v>
      </c>
      <c r="AH20" s="115">
        <v>0</v>
      </c>
      <c r="AI20" s="149">
        <v>0</v>
      </c>
      <c r="AJ20" s="248" t="s">
        <v>142</v>
      </c>
      <c r="AK20" s="246"/>
      <c r="AL20" s="93">
        <v>42.649112604904595</v>
      </c>
      <c r="AM20" s="104">
        <v>56.237633090423408</v>
      </c>
      <c r="AN20" s="246" t="s">
        <v>0</v>
      </c>
      <c r="AO20" s="246">
        <v>0</v>
      </c>
      <c r="AP20" s="93">
        <v>0</v>
      </c>
      <c r="AQ20" s="93">
        <v>0</v>
      </c>
      <c r="AR20" s="114">
        <v>0</v>
      </c>
      <c r="AS20" s="93">
        <v>0</v>
      </c>
      <c r="AT20" s="261">
        <v>0.19999999999999996</v>
      </c>
      <c r="AU20" s="260">
        <v>0.8</v>
      </c>
      <c r="AV20" s="93">
        <v>61.950499027380957</v>
      </c>
      <c r="AW20" s="104">
        <v>121.92051115215745</v>
      </c>
      <c r="AX20" s="93">
        <v>61.950499027380957</v>
      </c>
      <c r="AY20" s="166">
        <v>121.92051115215745</v>
      </c>
      <c r="BA20" s="166"/>
    </row>
    <row r="21" spans="1:53" ht="60">
      <c r="A21" s="95" t="s">
        <v>663</v>
      </c>
      <c r="B21" s="87" t="s">
        <v>659</v>
      </c>
      <c r="C21" s="246" t="s">
        <v>10</v>
      </c>
      <c r="D21" s="253" t="s">
        <v>1414</v>
      </c>
      <c r="E21" s="246" t="s">
        <v>117</v>
      </c>
      <c r="F21" s="253" t="s">
        <v>390</v>
      </c>
      <c r="G21" s="253" t="s">
        <v>127</v>
      </c>
      <c r="H21" s="246" t="s">
        <v>109</v>
      </c>
      <c r="I21" s="246" t="s">
        <v>142</v>
      </c>
      <c r="J21" s="246" t="s">
        <v>47</v>
      </c>
      <c r="K21" s="246" t="s">
        <v>49</v>
      </c>
      <c r="L21" s="250" t="s">
        <v>18</v>
      </c>
      <c r="M21" s="87">
        <v>0.5</v>
      </c>
      <c r="N21" s="251">
        <v>0.25</v>
      </c>
      <c r="O21" s="90">
        <v>0.75</v>
      </c>
      <c r="P21" s="93">
        <v>27.099613778523121</v>
      </c>
      <c r="Q21" s="93">
        <v>13.549806889261561</v>
      </c>
      <c r="R21" s="93">
        <v>74.908145703770415</v>
      </c>
      <c r="S21" s="104">
        <v>37.454072851885208</v>
      </c>
      <c r="T21" s="246" t="s">
        <v>107</v>
      </c>
      <c r="U21" s="87">
        <v>0</v>
      </c>
      <c r="V21" s="246">
        <v>0</v>
      </c>
      <c r="W21" s="92">
        <v>0</v>
      </c>
      <c r="X21" s="89">
        <v>0</v>
      </c>
      <c r="Y21" s="89">
        <v>0</v>
      </c>
      <c r="Z21" s="147">
        <v>0</v>
      </c>
      <c r="AA21" s="147">
        <v>0</v>
      </c>
      <c r="AB21" s="254" t="s">
        <v>107</v>
      </c>
      <c r="AC21" s="87">
        <v>0</v>
      </c>
      <c r="AD21" s="251">
        <v>0</v>
      </c>
      <c r="AE21" s="88">
        <v>0</v>
      </c>
      <c r="AF21" s="89">
        <v>0</v>
      </c>
      <c r="AG21" s="115">
        <v>0</v>
      </c>
      <c r="AH21" s="115">
        <v>0</v>
      </c>
      <c r="AI21" s="149">
        <v>0</v>
      </c>
      <c r="AJ21" s="248" t="s">
        <v>142</v>
      </c>
      <c r="AK21" s="246"/>
      <c r="AL21" s="93">
        <v>11.704451895287917</v>
      </c>
      <c r="AM21" s="104">
        <v>15.433631112315735</v>
      </c>
      <c r="AN21" s="246" t="s">
        <v>0</v>
      </c>
      <c r="AO21" s="246">
        <v>0</v>
      </c>
      <c r="AP21" s="93">
        <v>0</v>
      </c>
      <c r="AQ21" s="93">
        <v>0</v>
      </c>
      <c r="AR21" s="114">
        <v>0</v>
      </c>
      <c r="AS21" s="93">
        <v>0</v>
      </c>
      <c r="AT21" s="261">
        <v>9.9999999999988987E-5</v>
      </c>
      <c r="AU21" s="260">
        <v>0.99990000000000001</v>
      </c>
      <c r="AV21" s="93">
        <v>11.707346392165167</v>
      </c>
      <c r="AW21" s="104">
        <v>15.443323971060067</v>
      </c>
      <c r="AX21" s="93">
        <v>11.707346392165167</v>
      </c>
      <c r="AY21" s="166">
        <v>15.443323971060067</v>
      </c>
      <c r="BA21" s="166"/>
    </row>
    <row r="22" spans="1:53" ht="60">
      <c r="A22" s="95" t="s">
        <v>664</v>
      </c>
      <c r="B22" s="87" t="s">
        <v>660</v>
      </c>
      <c r="C22" s="246" t="s">
        <v>10</v>
      </c>
      <c r="D22" s="253" t="s">
        <v>1414</v>
      </c>
      <c r="E22" s="246" t="s">
        <v>117</v>
      </c>
      <c r="F22" s="253" t="s">
        <v>390</v>
      </c>
      <c r="G22" s="253" t="s">
        <v>122</v>
      </c>
      <c r="H22" s="246" t="s">
        <v>109</v>
      </c>
      <c r="I22" s="246" t="s">
        <v>142</v>
      </c>
      <c r="J22" s="246" t="s">
        <v>113</v>
      </c>
      <c r="K22" s="246" t="s">
        <v>49</v>
      </c>
      <c r="L22" s="250" t="s">
        <v>18</v>
      </c>
      <c r="M22" s="87">
        <v>0.5</v>
      </c>
      <c r="N22" s="251">
        <v>0.25</v>
      </c>
      <c r="O22" s="90">
        <v>0.75</v>
      </c>
      <c r="P22" s="93">
        <v>37.951648559259922</v>
      </c>
      <c r="Q22" s="93">
        <v>18.975824279629961</v>
      </c>
      <c r="R22" s="93">
        <v>104.90509729066193</v>
      </c>
      <c r="S22" s="104">
        <v>52.452548645330964</v>
      </c>
      <c r="T22" s="246" t="s">
        <v>107</v>
      </c>
      <c r="U22" s="87">
        <v>0</v>
      </c>
      <c r="V22" s="246">
        <v>0</v>
      </c>
      <c r="W22" s="92">
        <v>0</v>
      </c>
      <c r="X22" s="89">
        <v>0</v>
      </c>
      <c r="Y22" s="89">
        <v>0</v>
      </c>
      <c r="Z22" s="147">
        <v>0</v>
      </c>
      <c r="AA22" s="147">
        <v>0</v>
      </c>
      <c r="AB22" s="254" t="s">
        <v>107</v>
      </c>
      <c r="AC22" s="87">
        <v>0</v>
      </c>
      <c r="AD22" s="251">
        <v>0</v>
      </c>
      <c r="AE22" s="88">
        <v>0</v>
      </c>
      <c r="AF22" s="89">
        <v>0</v>
      </c>
      <c r="AG22" s="115">
        <v>0</v>
      </c>
      <c r="AH22" s="115">
        <v>0</v>
      </c>
      <c r="AI22" s="149">
        <v>0</v>
      </c>
      <c r="AJ22" s="248" t="s">
        <v>142</v>
      </c>
      <c r="AK22" s="246"/>
      <c r="AL22" s="93">
        <v>38.425553010398353</v>
      </c>
      <c r="AM22" s="104">
        <v>50.668396585744887</v>
      </c>
      <c r="AN22" s="246" t="s">
        <v>0</v>
      </c>
      <c r="AO22" s="246">
        <v>0</v>
      </c>
      <c r="AP22" s="93">
        <v>0</v>
      </c>
      <c r="AQ22" s="93">
        <v>0</v>
      </c>
      <c r="AR22" s="114">
        <v>0</v>
      </c>
      <c r="AS22" s="93">
        <v>0</v>
      </c>
      <c r="AT22" s="261">
        <v>0.30000000000000004</v>
      </c>
      <c r="AU22" s="260">
        <v>0.7</v>
      </c>
      <c r="AV22" s="93">
        <v>43.976128958945807</v>
      </c>
      <c r="AW22" s="104">
        <v>82.675171390819287</v>
      </c>
      <c r="AX22" s="93">
        <v>43.976128958945807</v>
      </c>
      <c r="AY22" s="166">
        <v>82.675171390819287</v>
      </c>
      <c r="BA22" s="166"/>
    </row>
    <row r="23" spans="1:53" ht="60">
      <c r="A23" s="95" t="s">
        <v>665</v>
      </c>
      <c r="B23" s="87" t="s">
        <v>661</v>
      </c>
      <c r="C23" s="246" t="s">
        <v>10</v>
      </c>
      <c r="D23" s="253" t="s">
        <v>1414</v>
      </c>
      <c r="E23" s="246" t="s">
        <v>117</v>
      </c>
      <c r="F23" s="253" t="s">
        <v>390</v>
      </c>
      <c r="G23" s="253" t="s">
        <v>128</v>
      </c>
      <c r="H23" s="246" t="s">
        <v>109</v>
      </c>
      <c r="I23" s="246" t="s">
        <v>142</v>
      </c>
      <c r="J23" s="246" t="s">
        <v>113</v>
      </c>
      <c r="K23" s="246" t="s">
        <v>49</v>
      </c>
      <c r="L23" s="250" t="s">
        <v>18</v>
      </c>
      <c r="M23" s="87">
        <v>0.5</v>
      </c>
      <c r="N23" s="251">
        <v>0.25</v>
      </c>
      <c r="O23" s="90">
        <v>0.75</v>
      </c>
      <c r="P23" s="93">
        <v>37.951648559259922</v>
      </c>
      <c r="Q23" s="93">
        <v>18.975824279629961</v>
      </c>
      <c r="R23" s="93">
        <v>104.90509729066193</v>
      </c>
      <c r="S23" s="104">
        <v>52.452548645330964</v>
      </c>
      <c r="T23" s="246" t="s">
        <v>107</v>
      </c>
      <c r="U23" s="87">
        <v>0</v>
      </c>
      <c r="V23" s="246">
        <v>0</v>
      </c>
      <c r="W23" s="92">
        <v>0</v>
      </c>
      <c r="X23" s="89">
        <v>0</v>
      </c>
      <c r="Y23" s="89">
        <v>0</v>
      </c>
      <c r="Z23" s="147">
        <v>0</v>
      </c>
      <c r="AA23" s="147">
        <v>0</v>
      </c>
      <c r="AB23" s="254" t="s">
        <v>107</v>
      </c>
      <c r="AC23" s="87">
        <v>0</v>
      </c>
      <c r="AD23" s="251">
        <v>0</v>
      </c>
      <c r="AE23" s="88">
        <v>0</v>
      </c>
      <c r="AF23" s="89">
        <v>0</v>
      </c>
      <c r="AG23" s="115">
        <v>0</v>
      </c>
      <c r="AH23" s="115">
        <v>0</v>
      </c>
      <c r="AI23" s="149">
        <v>0</v>
      </c>
      <c r="AJ23" s="248" t="s">
        <v>142</v>
      </c>
      <c r="AK23" s="246"/>
      <c r="AL23" s="93">
        <v>38.425553010398353</v>
      </c>
      <c r="AM23" s="104">
        <v>50.668396585744887</v>
      </c>
      <c r="AN23" s="246" t="s">
        <v>0</v>
      </c>
      <c r="AO23" s="246">
        <v>0</v>
      </c>
      <c r="AP23" s="93">
        <v>0</v>
      </c>
      <c r="AQ23" s="93">
        <v>0</v>
      </c>
      <c r="AR23" s="114">
        <v>0</v>
      </c>
      <c r="AS23" s="93">
        <v>0</v>
      </c>
      <c r="AT23" s="261">
        <v>0.30000000000000004</v>
      </c>
      <c r="AU23" s="260">
        <v>0.7</v>
      </c>
      <c r="AV23" s="93">
        <v>43.976128958945807</v>
      </c>
      <c r="AW23" s="104">
        <v>82.675171390819287</v>
      </c>
      <c r="AX23" s="93">
        <v>43.976128958945807</v>
      </c>
      <c r="AY23" s="166">
        <v>82.675171390819287</v>
      </c>
      <c r="BA23" s="166"/>
    </row>
    <row r="24" spans="1:53" ht="60">
      <c r="A24" s="95" t="s">
        <v>668</v>
      </c>
      <c r="B24" s="87" t="s">
        <v>665</v>
      </c>
      <c r="C24" s="246" t="s">
        <v>10</v>
      </c>
      <c r="D24" s="253" t="s">
        <v>1414</v>
      </c>
      <c r="E24" s="246" t="s">
        <v>117</v>
      </c>
      <c r="F24" s="253" t="s">
        <v>390</v>
      </c>
      <c r="G24" s="253" t="s">
        <v>1460</v>
      </c>
      <c r="H24" s="246" t="s">
        <v>109</v>
      </c>
      <c r="I24" s="246" t="s">
        <v>142</v>
      </c>
      <c r="J24" s="246" t="s">
        <v>47</v>
      </c>
      <c r="K24" s="246" t="s">
        <v>49</v>
      </c>
      <c r="L24" s="250" t="s">
        <v>18</v>
      </c>
      <c r="M24" s="87">
        <v>0.5</v>
      </c>
      <c r="N24" s="251">
        <v>0.25</v>
      </c>
      <c r="O24" s="90">
        <v>0.75</v>
      </c>
      <c r="P24" s="93">
        <v>27.099613778523121</v>
      </c>
      <c r="Q24" s="93">
        <v>13.549806889261561</v>
      </c>
      <c r="R24" s="93">
        <v>74.908145703770415</v>
      </c>
      <c r="S24" s="104">
        <v>37.454072851885208</v>
      </c>
      <c r="T24" s="246" t="s">
        <v>18</v>
      </c>
      <c r="U24" s="87">
        <v>0.5</v>
      </c>
      <c r="V24" s="246">
        <v>0.25</v>
      </c>
      <c r="W24" s="92">
        <v>0.75</v>
      </c>
      <c r="X24" s="89">
        <v>27.099613778523121</v>
      </c>
      <c r="Y24" s="89">
        <v>13.549806889261561</v>
      </c>
      <c r="Z24" s="147">
        <v>74.908145703770415</v>
      </c>
      <c r="AA24" s="147">
        <v>37.454072851885208</v>
      </c>
      <c r="AB24" s="254" t="s">
        <v>107</v>
      </c>
      <c r="AC24" s="87">
        <v>0</v>
      </c>
      <c r="AD24" s="251">
        <v>0</v>
      </c>
      <c r="AE24" s="88">
        <v>0</v>
      </c>
      <c r="AF24" s="89">
        <v>0</v>
      </c>
      <c r="AG24" s="115">
        <v>0</v>
      </c>
      <c r="AH24" s="115">
        <v>0</v>
      </c>
      <c r="AI24" s="149">
        <v>0</v>
      </c>
      <c r="AJ24" s="248" t="s">
        <v>142</v>
      </c>
      <c r="AK24" s="246"/>
      <c r="AL24" s="93">
        <v>57.729770546029457</v>
      </c>
      <c r="AM24" s="104">
        <v>76.123170121682293</v>
      </c>
      <c r="AN24" s="246" t="s">
        <v>0</v>
      </c>
      <c r="AO24" s="246">
        <v>0</v>
      </c>
      <c r="AP24" s="93">
        <v>0</v>
      </c>
      <c r="AQ24" s="93">
        <v>0</v>
      </c>
      <c r="AR24" s="114">
        <v>0</v>
      </c>
      <c r="AS24" s="93">
        <v>0</v>
      </c>
      <c r="AT24" s="261">
        <v>0.30000000000000004</v>
      </c>
      <c r="AU24" s="260">
        <v>0.7</v>
      </c>
      <c r="AV24" s="93">
        <v>64.800491782891427</v>
      </c>
      <c r="AW24" s="104">
        <v>120.703550218571</v>
      </c>
      <c r="AX24" s="93">
        <v>64.800491782891427</v>
      </c>
      <c r="AY24" s="166">
        <v>120.703550218571</v>
      </c>
      <c r="BA24" s="166"/>
    </row>
    <row r="25" spans="1:53" ht="60">
      <c r="A25" s="95" t="s">
        <v>670</v>
      </c>
      <c r="B25" s="87" t="s">
        <v>666</v>
      </c>
      <c r="C25" s="246" t="s">
        <v>10</v>
      </c>
      <c r="D25" s="253" t="s">
        <v>1414</v>
      </c>
      <c r="E25" s="246" t="s">
        <v>117</v>
      </c>
      <c r="F25" s="253" t="s">
        <v>381</v>
      </c>
      <c r="G25" s="253" t="s">
        <v>105</v>
      </c>
      <c r="H25" s="246" t="s">
        <v>109</v>
      </c>
      <c r="I25" s="246" t="s">
        <v>142</v>
      </c>
      <c r="J25" s="246" t="s">
        <v>47</v>
      </c>
      <c r="K25" s="246" t="s">
        <v>49</v>
      </c>
      <c r="L25" s="250" t="s">
        <v>18</v>
      </c>
      <c r="M25" s="87">
        <v>0.5</v>
      </c>
      <c r="N25" s="251">
        <v>0.5</v>
      </c>
      <c r="O25" s="90">
        <v>1</v>
      </c>
      <c r="P25" s="93">
        <v>27.099613778523121</v>
      </c>
      <c r="Q25" s="93">
        <v>27.099613778523121</v>
      </c>
      <c r="R25" s="93">
        <v>74.908145703770415</v>
      </c>
      <c r="S25" s="104">
        <v>74.908145703770415</v>
      </c>
      <c r="T25" s="246" t="s">
        <v>107</v>
      </c>
      <c r="U25" s="90">
        <v>0</v>
      </c>
      <c r="V25" s="246">
        <v>0</v>
      </c>
      <c r="W25" s="92">
        <v>0</v>
      </c>
      <c r="X25" s="89">
        <v>0</v>
      </c>
      <c r="Y25" s="89">
        <v>0</v>
      </c>
      <c r="Z25" s="147">
        <v>0</v>
      </c>
      <c r="AA25" s="147">
        <v>0</v>
      </c>
      <c r="AB25" s="254" t="s">
        <v>107</v>
      </c>
      <c r="AC25" s="87">
        <v>0</v>
      </c>
      <c r="AD25" s="251">
        <v>0</v>
      </c>
      <c r="AE25" s="88">
        <v>0</v>
      </c>
      <c r="AF25" s="89">
        <v>0</v>
      </c>
      <c r="AG25" s="115">
        <v>0</v>
      </c>
      <c r="AH25" s="115">
        <v>0</v>
      </c>
      <c r="AI25" s="149">
        <v>0</v>
      </c>
      <c r="AJ25" s="248" t="s">
        <v>142</v>
      </c>
      <c r="AK25" s="246"/>
      <c r="AL25" s="93">
        <v>94.219821745618489</v>
      </c>
      <c r="AM25" s="104">
        <v>124.23939072921873</v>
      </c>
      <c r="AN25" s="246" t="s">
        <v>0</v>
      </c>
      <c r="AO25" s="246">
        <v>0</v>
      </c>
      <c r="AP25" s="93">
        <v>0</v>
      </c>
      <c r="AQ25" s="93">
        <v>0</v>
      </c>
      <c r="AR25" s="114">
        <v>0</v>
      </c>
      <c r="AS25" s="93">
        <v>0</v>
      </c>
      <c r="AT25" s="261">
        <v>0.19999999999999996</v>
      </c>
      <c r="AU25" s="260">
        <v>0.8</v>
      </c>
      <c r="AV25" s="93">
        <v>86.215702907904046</v>
      </c>
      <c r="AW25" s="104">
        <v>129.35477086488316</v>
      </c>
      <c r="AX25" s="93">
        <v>86.215702907904046</v>
      </c>
      <c r="AY25" s="166">
        <v>129.35477086488316</v>
      </c>
      <c r="BA25" s="166"/>
    </row>
    <row r="26" spans="1:53" ht="60">
      <c r="A26" s="95" t="s">
        <v>671</v>
      </c>
      <c r="B26" s="87" t="s">
        <v>667</v>
      </c>
      <c r="C26" s="246" t="s">
        <v>10</v>
      </c>
      <c r="D26" s="253" t="s">
        <v>1414</v>
      </c>
      <c r="E26" s="246" t="s">
        <v>117</v>
      </c>
      <c r="F26" s="253" t="s">
        <v>381</v>
      </c>
      <c r="G26" s="253" t="s">
        <v>111</v>
      </c>
      <c r="H26" s="246" t="s">
        <v>109</v>
      </c>
      <c r="I26" s="246" t="s">
        <v>142</v>
      </c>
      <c r="J26" s="246" t="s">
        <v>47</v>
      </c>
      <c r="K26" s="246" t="s">
        <v>49</v>
      </c>
      <c r="L26" s="250" t="s">
        <v>18</v>
      </c>
      <c r="M26" s="87">
        <v>0.5</v>
      </c>
      <c r="N26" s="251">
        <v>0.75</v>
      </c>
      <c r="O26" s="90">
        <v>1.25</v>
      </c>
      <c r="P26" s="93">
        <v>27.099613778523121</v>
      </c>
      <c r="Q26" s="93">
        <v>40.649420667784682</v>
      </c>
      <c r="R26" s="93">
        <v>74.908145703770415</v>
      </c>
      <c r="S26" s="104">
        <v>112.3622185556556</v>
      </c>
      <c r="T26" s="250" t="s">
        <v>18</v>
      </c>
      <c r="U26" s="90">
        <v>0.5</v>
      </c>
      <c r="V26" s="251">
        <v>0.75</v>
      </c>
      <c r="W26" s="92">
        <v>1.25</v>
      </c>
      <c r="X26" s="89">
        <v>27.099613778523121</v>
      </c>
      <c r="Y26" s="89">
        <v>40.649420667784682</v>
      </c>
      <c r="Z26" s="147">
        <v>74.908145703770415</v>
      </c>
      <c r="AA26" s="147">
        <v>112.3622185556556</v>
      </c>
      <c r="AB26" s="254" t="s">
        <v>107</v>
      </c>
      <c r="AC26" s="87">
        <v>0</v>
      </c>
      <c r="AD26" s="251">
        <v>0</v>
      </c>
      <c r="AE26" s="88">
        <v>0</v>
      </c>
      <c r="AF26" s="89">
        <v>0</v>
      </c>
      <c r="AG26" s="115">
        <v>0</v>
      </c>
      <c r="AH26" s="115">
        <v>0</v>
      </c>
      <c r="AI26" s="149">
        <v>0</v>
      </c>
      <c r="AJ26" s="248" t="s">
        <v>142</v>
      </c>
      <c r="AK26" s="251"/>
      <c r="AL26" s="93">
        <v>94.219821745618489</v>
      </c>
      <c r="AM26" s="104">
        <v>124.23939072921873</v>
      </c>
      <c r="AN26" s="246" t="s">
        <v>0</v>
      </c>
      <c r="AO26" s="246">
        <v>0</v>
      </c>
      <c r="AP26" s="93">
        <v>0</v>
      </c>
      <c r="AQ26" s="93">
        <v>0</v>
      </c>
      <c r="AR26" s="114">
        <v>0</v>
      </c>
      <c r="AS26" s="93">
        <v>0</v>
      </c>
      <c r="AT26" s="261">
        <v>0.6</v>
      </c>
      <c r="AU26" s="260">
        <v>0.4</v>
      </c>
      <c r="AV26" s="93">
        <v>118.98677003381675</v>
      </c>
      <c r="AW26" s="104">
        <v>274.42019340299868</v>
      </c>
      <c r="AX26" s="93">
        <v>118.98677003381675</v>
      </c>
      <c r="AY26" s="166">
        <v>274.42019340299868</v>
      </c>
      <c r="BA26" s="166"/>
    </row>
    <row r="27" spans="1:53" ht="60">
      <c r="A27" s="95" t="s">
        <v>672</v>
      </c>
      <c r="B27" s="87" t="s">
        <v>668</v>
      </c>
      <c r="C27" s="246" t="s">
        <v>10</v>
      </c>
      <c r="D27" s="253" t="s">
        <v>1414</v>
      </c>
      <c r="E27" s="246" t="s">
        <v>117</v>
      </c>
      <c r="F27" s="253" t="s">
        <v>381</v>
      </c>
      <c r="G27" s="253" t="s">
        <v>112</v>
      </c>
      <c r="H27" s="246" t="s">
        <v>109</v>
      </c>
      <c r="I27" s="246" t="s">
        <v>142</v>
      </c>
      <c r="J27" s="246" t="s">
        <v>113</v>
      </c>
      <c r="K27" s="246" t="s">
        <v>49</v>
      </c>
      <c r="L27" s="250" t="s">
        <v>18</v>
      </c>
      <c r="M27" s="87">
        <v>0.5</v>
      </c>
      <c r="N27" s="251">
        <v>0.5</v>
      </c>
      <c r="O27" s="90">
        <v>1</v>
      </c>
      <c r="P27" s="93">
        <v>37.951648559259922</v>
      </c>
      <c r="Q27" s="93">
        <v>37.951648559259922</v>
      </c>
      <c r="R27" s="93">
        <v>104.90509729066193</v>
      </c>
      <c r="S27" s="104">
        <v>104.90509729066193</v>
      </c>
      <c r="T27" s="246" t="s">
        <v>107</v>
      </c>
      <c r="U27" s="90">
        <v>0</v>
      </c>
      <c r="V27" s="246">
        <v>0</v>
      </c>
      <c r="W27" s="92">
        <v>0</v>
      </c>
      <c r="X27" s="89">
        <v>0</v>
      </c>
      <c r="Y27" s="89">
        <v>0</v>
      </c>
      <c r="Z27" s="147">
        <v>0</v>
      </c>
      <c r="AA27" s="147">
        <v>0</v>
      </c>
      <c r="AB27" s="254" t="s">
        <v>107</v>
      </c>
      <c r="AC27" s="87">
        <v>0</v>
      </c>
      <c r="AD27" s="251">
        <v>0</v>
      </c>
      <c r="AE27" s="88">
        <v>0</v>
      </c>
      <c r="AF27" s="89">
        <v>0</v>
      </c>
      <c r="AG27" s="115">
        <v>0</v>
      </c>
      <c r="AH27" s="115">
        <v>0</v>
      </c>
      <c r="AI27" s="149">
        <v>0</v>
      </c>
      <c r="AJ27" s="248" t="s">
        <v>142</v>
      </c>
      <c r="AK27" s="246"/>
      <c r="AL27" s="93">
        <v>94.219821745618489</v>
      </c>
      <c r="AM27" s="104">
        <v>124.23939072921873</v>
      </c>
      <c r="AN27" s="246" t="s">
        <v>0</v>
      </c>
      <c r="AO27" s="246">
        <v>0</v>
      </c>
      <c r="AP27" s="93">
        <v>0</v>
      </c>
      <c r="AQ27" s="93">
        <v>0</v>
      </c>
      <c r="AR27" s="114">
        <v>0</v>
      </c>
      <c r="AS27" s="93">
        <v>0</v>
      </c>
      <c r="AT27" s="261">
        <v>0.30000000000000004</v>
      </c>
      <c r="AU27" s="260">
        <v>0.7</v>
      </c>
      <c r="AV27" s="93">
        <v>88.724864357488883</v>
      </c>
      <c r="AW27" s="104">
        <v>149.91063188485026</v>
      </c>
      <c r="AX27" s="93">
        <v>88.724864357488883</v>
      </c>
      <c r="AY27" s="166">
        <v>149.91063188485026</v>
      </c>
      <c r="BA27" s="166"/>
    </row>
    <row r="28" spans="1:53" ht="60">
      <c r="A28" s="95" t="s">
        <v>673</v>
      </c>
      <c r="B28" s="87" t="s">
        <v>669</v>
      </c>
      <c r="C28" s="246" t="s">
        <v>10</v>
      </c>
      <c r="D28" s="253" t="s">
        <v>1414</v>
      </c>
      <c r="E28" s="246" t="s">
        <v>117</v>
      </c>
      <c r="F28" s="253" t="s">
        <v>381</v>
      </c>
      <c r="G28" s="253" t="s">
        <v>121</v>
      </c>
      <c r="H28" s="246" t="s">
        <v>109</v>
      </c>
      <c r="I28" s="246" t="s">
        <v>142</v>
      </c>
      <c r="J28" s="246" t="s">
        <v>113</v>
      </c>
      <c r="K28" s="246" t="s">
        <v>49</v>
      </c>
      <c r="L28" s="250" t="s">
        <v>18</v>
      </c>
      <c r="M28" s="87">
        <v>0.5</v>
      </c>
      <c r="N28" s="251">
        <v>0.75</v>
      </c>
      <c r="O28" s="90">
        <v>1.25</v>
      </c>
      <c r="P28" s="93">
        <v>37.951648559259922</v>
      </c>
      <c r="Q28" s="93">
        <v>56.927472838889884</v>
      </c>
      <c r="R28" s="93">
        <v>104.90509729066193</v>
      </c>
      <c r="S28" s="104">
        <v>157.35764593599291</v>
      </c>
      <c r="T28" s="250" t="s">
        <v>18</v>
      </c>
      <c r="U28" s="90">
        <v>0.5</v>
      </c>
      <c r="V28" s="251">
        <v>0.75</v>
      </c>
      <c r="W28" s="92">
        <v>1.25</v>
      </c>
      <c r="X28" s="89">
        <v>37.951648559259922</v>
      </c>
      <c r="Y28" s="89">
        <v>56.927472838889884</v>
      </c>
      <c r="Z28" s="147">
        <v>104.90509729066193</v>
      </c>
      <c r="AA28" s="147">
        <v>157.35764593599291</v>
      </c>
      <c r="AB28" s="254" t="s">
        <v>107</v>
      </c>
      <c r="AC28" s="87">
        <v>0</v>
      </c>
      <c r="AD28" s="251">
        <v>0</v>
      </c>
      <c r="AE28" s="88">
        <v>0</v>
      </c>
      <c r="AF28" s="89">
        <v>0</v>
      </c>
      <c r="AG28" s="115">
        <v>0</v>
      </c>
      <c r="AH28" s="115">
        <v>0</v>
      </c>
      <c r="AI28" s="149">
        <v>0</v>
      </c>
      <c r="AJ28" s="248" t="s">
        <v>142</v>
      </c>
      <c r="AK28" s="251"/>
      <c r="AL28" s="93">
        <v>94.219821745618489</v>
      </c>
      <c r="AM28" s="104">
        <v>124.23939072921873</v>
      </c>
      <c r="AN28" s="246" t="s">
        <v>0</v>
      </c>
      <c r="AO28" s="246">
        <v>0</v>
      </c>
      <c r="AP28" s="93">
        <v>0</v>
      </c>
      <c r="AQ28" s="93">
        <v>0</v>
      </c>
      <c r="AR28" s="114">
        <v>0</v>
      </c>
      <c r="AS28" s="93">
        <v>0</v>
      </c>
      <c r="AT28" s="261">
        <v>0.6</v>
      </c>
      <c r="AU28" s="260">
        <v>0.4</v>
      </c>
      <c r="AV28" s="93">
        <v>151.54287437602716</v>
      </c>
      <c r="AW28" s="104">
        <v>364.41104816367329</v>
      </c>
      <c r="AX28" s="93">
        <v>151.54287437602716</v>
      </c>
      <c r="AY28" s="166">
        <v>364.41104816367329</v>
      </c>
      <c r="BA28" s="166"/>
    </row>
    <row r="29" spans="1:53" ht="60">
      <c r="A29" s="95" t="s">
        <v>674</v>
      </c>
      <c r="B29" s="87" t="s">
        <v>670</v>
      </c>
      <c r="C29" s="246" t="s">
        <v>10</v>
      </c>
      <c r="D29" s="253" t="s">
        <v>1414</v>
      </c>
      <c r="E29" s="246" t="s">
        <v>117</v>
      </c>
      <c r="F29" s="253" t="s">
        <v>381</v>
      </c>
      <c r="G29" s="253" t="s">
        <v>119</v>
      </c>
      <c r="H29" s="246" t="s">
        <v>109</v>
      </c>
      <c r="I29" s="246" t="s">
        <v>142</v>
      </c>
      <c r="J29" s="246" t="s">
        <v>113</v>
      </c>
      <c r="K29" s="246" t="s">
        <v>49</v>
      </c>
      <c r="L29" s="250" t="s">
        <v>18</v>
      </c>
      <c r="M29" s="87">
        <v>0.5</v>
      </c>
      <c r="N29" s="251">
        <v>0.5</v>
      </c>
      <c r="O29" s="90">
        <v>1</v>
      </c>
      <c r="P29" s="93">
        <v>37.951648559259922</v>
      </c>
      <c r="Q29" s="93">
        <v>37.951648559259922</v>
      </c>
      <c r="R29" s="93">
        <v>104.90509729066193</v>
      </c>
      <c r="S29" s="104">
        <v>104.90509729066193</v>
      </c>
      <c r="T29" s="246" t="s">
        <v>107</v>
      </c>
      <c r="U29" s="90">
        <v>0</v>
      </c>
      <c r="V29" s="246">
        <v>0</v>
      </c>
      <c r="W29" s="92">
        <v>0</v>
      </c>
      <c r="X29" s="89">
        <v>0</v>
      </c>
      <c r="Y29" s="89">
        <v>0</v>
      </c>
      <c r="Z29" s="147">
        <v>0</v>
      </c>
      <c r="AA29" s="147">
        <v>0</v>
      </c>
      <c r="AB29" s="254" t="s">
        <v>107</v>
      </c>
      <c r="AC29" s="87">
        <v>0</v>
      </c>
      <c r="AD29" s="251">
        <v>0</v>
      </c>
      <c r="AE29" s="88">
        <v>0</v>
      </c>
      <c r="AF29" s="89">
        <v>0</v>
      </c>
      <c r="AG29" s="115">
        <v>0</v>
      </c>
      <c r="AH29" s="115">
        <v>0</v>
      </c>
      <c r="AI29" s="149">
        <v>0</v>
      </c>
      <c r="AJ29" s="248" t="s">
        <v>142</v>
      </c>
      <c r="AK29" s="246"/>
      <c r="AL29" s="93">
        <v>94.219821745618489</v>
      </c>
      <c r="AM29" s="104">
        <v>124.23939072921873</v>
      </c>
      <c r="AN29" s="246" t="s">
        <v>0</v>
      </c>
      <c r="AO29" s="246">
        <v>0</v>
      </c>
      <c r="AP29" s="93">
        <v>0</v>
      </c>
      <c r="AQ29" s="93">
        <v>0</v>
      </c>
      <c r="AR29" s="114">
        <v>0</v>
      </c>
      <c r="AS29" s="93">
        <v>0</v>
      </c>
      <c r="AT29" s="261">
        <v>0.30000000000000004</v>
      </c>
      <c r="AU29" s="260">
        <v>0.7</v>
      </c>
      <c r="AV29" s="93">
        <v>88.724864357488883</v>
      </c>
      <c r="AW29" s="104">
        <v>149.91063188485026</v>
      </c>
      <c r="AX29" s="93">
        <v>88.724864357488883</v>
      </c>
      <c r="AY29" s="166">
        <v>149.91063188485026</v>
      </c>
      <c r="BA29" s="166"/>
    </row>
    <row r="30" spans="1:53" ht="60">
      <c r="A30" s="95" t="s">
        <v>675</v>
      </c>
      <c r="B30" s="87" t="s">
        <v>671</v>
      </c>
      <c r="C30" s="246" t="s">
        <v>10</v>
      </c>
      <c r="D30" s="253" t="s">
        <v>1414</v>
      </c>
      <c r="E30" s="246" t="s">
        <v>117</v>
      </c>
      <c r="F30" s="253" t="s">
        <v>381</v>
      </c>
      <c r="G30" s="253" t="s">
        <v>123</v>
      </c>
      <c r="H30" s="246" t="s">
        <v>109</v>
      </c>
      <c r="I30" s="246" t="s">
        <v>142</v>
      </c>
      <c r="J30" s="246" t="s">
        <v>113</v>
      </c>
      <c r="K30" s="246" t="s">
        <v>49</v>
      </c>
      <c r="L30" s="250" t="s">
        <v>18</v>
      </c>
      <c r="M30" s="87">
        <v>0.5</v>
      </c>
      <c r="N30" s="251">
        <v>0.75</v>
      </c>
      <c r="O30" s="90">
        <v>1.25</v>
      </c>
      <c r="P30" s="93">
        <v>37.951648559259922</v>
      </c>
      <c r="Q30" s="93">
        <v>56.927472838889884</v>
      </c>
      <c r="R30" s="93">
        <v>104.90509729066193</v>
      </c>
      <c r="S30" s="104">
        <v>157.35764593599291</v>
      </c>
      <c r="T30" s="250" t="s">
        <v>18</v>
      </c>
      <c r="U30" s="90">
        <v>0.5</v>
      </c>
      <c r="V30" s="251">
        <v>0.75</v>
      </c>
      <c r="W30" s="92">
        <v>1.25</v>
      </c>
      <c r="X30" s="89">
        <v>37.951648559259922</v>
      </c>
      <c r="Y30" s="89">
        <v>56.927472838889884</v>
      </c>
      <c r="Z30" s="147">
        <v>104.90509729066193</v>
      </c>
      <c r="AA30" s="147">
        <v>157.35764593599291</v>
      </c>
      <c r="AB30" s="254" t="s">
        <v>107</v>
      </c>
      <c r="AC30" s="87">
        <v>0</v>
      </c>
      <c r="AD30" s="251">
        <v>0</v>
      </c>
      <c r="AE30" s="88">
        <v>0</v>
      </c>
      <c r="AF30" s="89">
        <v>0</v>
      </c>
      <c r="AG30" s="115">
        <v>0</v>
      </c>
      <c r="AH30" s="115">
        <v>0</v>
      </c>
      <c r="AI30" s="149">
        <v>0</v>
      </c>
      <c r="AJ30" s="248" t="s">
        <v>142</v>
      </c>
      <c r="AK30" s="251"/>
      <c r="AL30" s="93">
        <v>94.219821745618489</v>
      </c>
      <c r="AM30" s="104">
        <v>124.23939072921873</v>
      </c>
      <c r="AN30" s="246" t="s">
        <v>0</v>
      </c>
      <c r="AO30" s="246">
        <v>0</v>
      </c>
      <c r="AP30" s="93">
        <v>0</v>
      </c>
      <c r="AQ30" s="93">
        <v>0</v>
      </c>
      <c r="AR30" s="114">
        <v>0</v>
      </c>
      <c r="AS30" s="93">
        <v>0</v>
      </c>
      <c r="AT30" s="261">
        <v>0.6</v>
      </c>
      <c r="AU30" s="260">
        <v>0.4</v>
      </c>
      <c r="AV30" s="93">
        <v>151.54287437602716</v>
      </c>
      <c r="AW30" s="104">
        <v>364.41104816367329</v>
      </c>
      <c r="AX30" s="93">
        <v>151.54287437602716</v>
      </c>
      <c r="AY30" s="166">
        <v>364.41104816367329</v>
      </c>
      <c r="BA30" s="166"/>
    </row>
    <row r="31" spans="1:53" ht="60">
      <c r="A31" s="95" t="s">
        <v>676</v>
      </c>
      <c r="B31" s="87" t="s">
        <v>672</v>
      </c>
      <c r="C31" s="246" t="s">
        <v>10</v>
      </c>
      <c r="D31" s="253" t="s">
        <v>1414</v>
      </c>
      <c r="E31" s="246" t="s">
        <v>117</v>
      </c>
      <c r="F31" s="253" t="s">
        <v>130</v>
      </c>
      <c r="G31" s="253" t="s">
        <v>105</v>
      </c>
      <c r="H31" s="246" t="s">
        <v>109</v>
      </c>
      <c r="I31" s="246" t="s">
        <v>142</v>
      </c>
      <c r="J31" s="246" t="s">
        <v>47</v>
      </c>
      <c r="K31" s="246" t="s">
        <v>49</v>
      </c>
      <c r="L31" s="250" t="s">
        <v>18</v>
      </c>
      <c r="M31" s="87">
        <v>0.5</v>
      </c>
      <c r="N31" s="251">
        <v>0.5</v>
      </c>
      <c r="O31" s="90">
        <v>1</v>
      </c>
      <c r="P31" s="93">
        <v>27.099613778523121</v>
      </c>
      <c r="Q31" s="93">
        <v>27.099613778523121</v>
      </c>
      <c r="R31" s="93">
        <v>74.908145703770415</v>
      </c>
      <c r="S31" s="104">
        <v>74.908145703770415</v>
      </c>
      <c r="T31" s="246" t="s">
        <v>107</v>
      </c>
      <c r="U31" s="87">
        <v>0</v>
      </c>
      <c r="V31" s="246">
        <v>0</v>
      </c>
      <c r="W31" s="92">
        <v>0</v>
      </c>
      <c r="X31" s="89">
        <v>0</v>
      </c>
      <c r="Y31" s="89">
        <v>0</v>
      </c>
      <c r="Z31" s="147">
        <v>0</v>
      </c>
      <c r="AA31" s="147">
        <v>0</v>
      </c>
      <c r="AB31" s="254" t="s">
        <v>107</v>
      </c>
      <c r="AC31" s="87">
        <v>0</v>
      </c>
      <c r="AD31" s="251">
        <v>0</v>
      </c>
      <c r="AE31" s="88">
        <v>0</v>
      </c>
      <c r="AF31" s="89">
        <v>0</v>
      </c>
      <c r="AG31" s="115">
        <v>0</v>
      </c>
      <c r="AH31" s="115">
        <v>0</v>
      </c>
      <c r="AI31" s="149">
        <v>0</v>
      </c>
      <c r="AJ31" s="248" t="s">
        <v>49</v>
      </c>
      <c r="AK31" s="246"/>
      <c r="AL31" s="93">
        <v>94.219821745618489</v>
      </c>
      <c r="AM31" s="104">
        <v>124.23939072921873</v>
      </c>
      <c r="AN31" s="246" t="s">
        <v>0</v>
      </c>
      <c r="AO31" s="246">
        <v>0</v>
      </c>
      <c r="AP31" s="93">
        <v>0</v>
      </c>
      <c r="AQ31" s="93">
        <v>0</v>
      </c>
      <c r="AR31" s="114">
        <v>0</v>
      </c>
      <c r="AS31" s="93">
        <v>0</v>
      </c>
      <c r="AT31" s="261">
        <v>0.19999999999999996</v>
      </c>
      <c r="AU31" s="260">
        <v>0.8</v>
      </c>
      <c r="AV31" s="93">
        <v>86.215702907904046</v>
      </c>
      <c r="AW31" s="104">
        <v>129.35477086488316</v>
      </c>
      <c r="AX31" s="93">
        <v>86.215702907904046</v>
      </c>
      <c r="AY31" s="166">
        <v>129.35477086488316</v>
      </c>
      <c r="BA31" s="166"/>
    </row>
    <row r="32" spans="1:53" ht="60">
      <c r="A32" s="95" t="s">
        <v>677</v>
      </c>
      <c r="B32" s="87" t="s">
        <v>673</v>
      </c>
      <c r="C32" s="246" t="s">
        <v>10</v>
      </c>
      <c r="D32" s="253" t="s">
        <v>1414</v>
      </c>
      <c r="E32" s="246" t="s">
        <v>117</v>
      </c>
      <c r="F32" s="253" t="s">
        <v>130</v>
      </c>
      <c r="G32" s="253" t="s">
        <v>112</v>
      </c>
      <c r="H32" s="246" t="s">
        <v>109</v>
      </c>
      <c r="I32" s="246" t="s">
        <v>142</v>
      </c>
      <c r="J32" s="246" t="s">
        <v>113</v>
      </c>
      <c r="K32" s="246" t="s">
        <v>49</v>
      </c>
      <c r="L32" s="250" t="s">
        <v>18</v>
      </c>
      <c r="M32" s="87">
        <v>0.5</v>
      </c>
      <c r="N32" s="251">
        <v>0.5</v>
      </c>
      <c r="O32" s="90">
        <v>1</v>
      </c>
      <c r="P32" s="93">
        <v>37.951648559259922</v>
      </c>
      <c r="Q32" s="93">
        <v>37.951648559259922</v>
      </c>
      <c r="R32" s="93">
        <v>104.90509729066193</v>
      </c>
      <c r="S32" s="104">
        <v>104.90509729066193</v>
      </c>
      <c r="T32" s="246" t="s">
        <v>107</v>
      </c>
      <c r="U32" s="87">
        <v>0</v>
      </c>
      <c r="V32" s="246">
        <v>0</v>
      </c>
      <c r="W32" s="92">
        <v>0</v>
      </c>
      <c r="X32" s="89">
        <v>0</v>
      </c>
      <c r="Y32" s="89">
        <v>0</v>
      </c>
      <c r="Z32" s="147">
        <v>0</v>
      </c>
      <c r="AA32" s="147">
        <v>0</v>
      </c>
      <c r="AB32" s="254" t="s">
        <v>107</v>
      </c>
      <c r="AC32" s="87">
        <v>0</v>
      </c>
      <c r="AD32" s="251">
        <v>0</v>
      </c>
      <c r="AE32" s="88">
        <v>0</v>
      </c>
      <c r="AF32" s="89">
        <v>0</v>
      </c>
      <c r="AG32" s="115">
        <v>0</v>
      </c>
      <c r="AH32" s="115">
        <v>0</v>
      </c>
      <c r="AI32" s="149">
        <v>0</v>
      </c>
      <c r="AJ32" s="248" t="s">
        <v>49</v>
      </c>
      <c r="AK32" s="246"/>
      <c r="AL32" s="93">
        <v>122.48576826930405</v>
      </c>
      <c r="AM32" s="104">
        <v>161.51120794798436</v>
      </c>
      <c r="AN32" s="246" t="s">
        <v>0</v>
      </c>
      <c r="AO32" s="246">
        <v>0</v>
      </c>
      <c r="AP32" s="93">
        <v>0</v>
      </c>
      <c r="AQ32" s="93">
        <v>0</v>
      </c>
      <c r="AR32" s="114">
        <v>0</v>
      </c>
      <c r="AS32" s="93">
        <v>0</v>
      </c>
      <c r="AT32" s="261">
        <v>0.19999999999999996</v>
      </c>
      <c r="AU32" s="260">
        <v>0.8</v>
      </c>
      <c r="AV32" s="93">
        <v>113.16927403914721</v>
      </c>
      <c r="AW32" s="104">
        <v>171.17100527465226</v>
      </c>
      <c r="AX32" s="93">
        <v>113.16927403914721</v>
      </c>
      <c r="AY32" s="166">
        <v>171.17100527465226</v>
      </c>
      <c r="BA32" s="166"/>
    </row>
    <row r="33" spans="1:53" ht="60">
      <c r="A33" s="95" t="s">
        <v>678</v>
      </c>
      <c r="B33" s="87" t="s">
        <v>674</v>
      </c>
      <c r="C33" s="246" t="s">
        <v>10</v>
      </c>
      <c r="D33" s="253" t="s">
        <v>1414</v>
      </c>
      <c r="E33" s="246" t="s">
        <v>117</v>
      </c>
      <c r="F33" s="253" t="s">
        <v>130</v>
      </c>
      <c r="G33" s="253" t="s">
        <v>119</v>
      </c>
      <c r="H33" s="246" t="s">
        <v>109</v>
      </c>
      <c r="I33" s="246" t="s">
        <v>142</v>
      </c>
      <c r="J33" s="246" t="s">
        <v>113</v>
      </c>
      <c r="K33" s="246" t="s">
        <v>49</v>
      </c>
      <c r="L33" s="250" t="s">
        <v>18</v>
      </c>
      <c r="M33" s="87">
        <v>0.5</v>
      </c>
      <c r="N33" s="251">
        <v>0.5</v>
      </c>
      <c r="O33" s="90">
        <v>1</v>
      </c>
      <c r="P33" s="93">
        <v>37.951648559259922</v>
      </c>
      <c r="Q33" s="93">
        <v>37.951648559259922</v>
      </c>
      <c r="R33" s="93">
        <v>104.90509729066193</v>
      </c>
      <c r="S33" s="104">
        <v>104.90509729066193</v>
      </c>
      <c r="T33" s="246" t="s">
        <v>107</v>
      </c>
      <c r="U33" s="87">
        <v>0</v>
      </c>
      <c r="V33" s="246">
        <v>0</v>
      </c>
      <c r="W33" s="92">
        <v>0</v>
      </c>
      <c r="X33" s="89">
        <v>0</v>
      </c>
      <c r="Y33" s="89">
        <v>0</v>
      </c>
      <c r="Z33" s="147">
        <v>0</v>
      </c>
      <c r="AA33" s="147">
        <v>0</v>
      </c>
      <c r="AB33" s="254" t="s">
        <v>107</v>
      </c>
      <c r="AC33" s="87">
        <v>0</v>
      </c>
      <c r="AD33" s="251">
        <v>0</v>
      </c>
      <c r="AE33" s="88">
        <v>0</v>
      </c>
      <c r="AF33" s="89">
        <v>0</v>
      </c>
      <c r="AG33" s="115">
        <v>0</v>
      </c>
      <c r="AH33" s="115">
        <v>0</v>
      </c>
      <c r="AI33" s="149">
        <v>0</v>
      </c>
      <c r="AJ33" s="248" t="s">
        <v>49</v>
      </c>
      <c r="AK33" s="246"/>
      <c r="AL33" s="93">
        <v>122.48576826930405</v>
      </c>
      <c r="AM33" s="104">
        <v>161.51120794798436</v>
      </c>
      <c r="AN33" s="246" t="s">
        <v>0</v>
      </c>
      <c r="AO33" s="246">
        <v>0</v>
      </c>
      <c r="AP33" s="93">
        <v>0</v>
      </c>
      <c r="AQ33" s="93">
        <v>0</v>
      </c>
      <c r="AR33" s="114">
        <v>0</v>
      </c>
      <c r="AS33" s="93">
        <v>0</v>
      </c>
      <c r="AT33" s="261">
        <v>0.19999999999999996</v>
      </c>
      <c r="AU33" s="260">
        <v>0.8</v>
      </c>
      <c r="AV33" s="93">
        <v>113.16927403914721</v>
      </c>
      <c r="AW33" s="104">
        <v>171.17100527465226</v>
      </c>
      <c r="AX33" s="93">
        <v>113.16927403914721</v>
      </c>
      <c r="AY33" s="166">
        <v>171.17100527465226</v>
      </c>
      <c r="BA33" s="166"/>
    </row>
    <row r="34" spans="1:53" ht="60">
      <c r="A34" s="95" t="s">
        <v>679</v>
      </c>
      <c r="B34" s="87" t="s">
        <v>675</v>
      </c>
      <c r="C34" s="246" t="s">
        <v>10</v>
      </c>
      <c r="D34" s="253" t="s">
        <v>1414</v>
      </c>
      <c r="E34" s="246" t="s">
        <v>117</v>
      </c>
      <c r="F34" s="253" t="s">
        <v>130</v>
      </c>
      <c r="G34" s="253" t="s">
        <v>111</v>
      </c>
      <c r="H34" s="246" t="s">
        <v>109</v>
      </c>
      <c r="I34" s="246" t="s">
        <v>142</v>
      </c>
      <c r="J34" s="246" t="s">
        <v>47</v>
      </c>
      <c r="K34" s="246" t="s">
        <v>49</v>
      </c>
      <c r="L34" s="250" t="s">
        <v>18</v>
      </c>
      <c r="M34" s="87">
        <v>0.5</v>
      </c>
      <c r="N34" s="251">
        <v>0.75</v>
      </c>
      <c r="O34" s="90">
        <v>1.25</v>
      </c>
      <c r="P34" s="93">
        <v>27.099613778523121</v>
      </c>
      <c r="Q34" s="93">
        <v>40.649420667784682</v>
      </c>
      <c r="R34" s="93">
        <v>74.908145703770415</v>
      </c>
      <c r="S34" s="104">
        <v>112.3622185556556</v>
      </c>
      <c r="T34" s="250" t="s">
        <v>18</v>
      </c>
      <c r="U34" s="87">
        <v>0.5</v>
      </c>
      <c r="V34" s="246">
        <v>0.75</v>
      </c>
      <c r="W34" s="92">
        <v>1.25</v>
      </c>
      <c r="X34" s="89">
        <v>27.099613778523121</v>
      </c>
      <c r="Y34" s="89">
        <v>40.649420667784682</v>
      </c>
      <c r="Z34" s="147">
        <v>74.908145703770415</v>
      </c>
      <c r="AA34" s="147">
        <v>112.3622185556556</v>
      </c>
      <c r="AB34" s="254" t="s">
        <v>107</v>
      </c>
      <c r="AC34" s="87">
        <v>0</v>
      </c>
      <c r="AD34" s="251">
        <v>0</v>
      </c>
      <c r="AE34" s="88">
        <v>0</v>
      </c>
      <c r="AF34" s="89">
        <v>0</v>
      </c>
      <c r="AG34" s="115">
        <v>0</v>
      </c>
      <c r="AH34" s="115">
        <v>0</v>
      </c>
      <c r="AI34" s="149">
        <v>0</v>
      </c>
      <c r="AJ34" s="248" t="s">
        <v>49</v>
      </c>
      <c r="AK34" s="251"/>
      <c r="AL34" s="93">
        <v>94.219821745618489</v>
      </c>
      <c r="AM34" s="104">
        <v>124.23939072921873</v>
      </c>
      <c r="AN34" s="246" t="s">
        <v>0</v>
      </c>
      <c r="AO34" s="246">
        <v>0</v>
      </c>
      <c r="AP34" s="93">
        <v>0</v>
      </c>
      <c r="AQ34" s="93">
        <v>0</v>
      </c>
      <c r="AR34" s="114">
        <v>0</v>
      </c>
      <c r="AS34" s="93">
        <v>0</v>
      </c>
      <c r="AT34" s="261">
        <v>0.6</v>
      </c>
      <c r="AU34" s="260">
        <v>0.4</v>
      </c>
      <c r="AV34" s="93">
        <v>118.98677003381675</v>
      </c>
      <c r="AW34" s="104">
        <v>274.42019340299868</v>
      </c>
      <c r="AX34" s="93">
        <v>118.98677003381675</v>
      </c>
      <c r="AY34" s="166">
        <v>274.42019340299868</v>
      </c>
      <c r="BA34" s="166"/>
    </row>
    <row r="35" spans="1:53" ht="60">
      <c r="A35" s="95" t="s">
        <v>680</v>
      </c>
      <c r="B35" s="87" t="s">
        <v>676</v>
      </c>
      <c r="C35" s="246" t="s">
        <v>10</v>
      </c>
      <c r="D35" s="253" t="s">
        <v>1414</v>
      </c>
      <c r="E35" s="246" t="s">
        <v>117</v>
      </c>
      <c r="F35" s="253" t="s">
        <v>130</v>
      </c>
      <c r="G35" s="253" t="s">
        <v>121</v>
      </c>
      <c r="H35" s="246" t="s">
        <v>109</v>
      </c>
      <c r="I35" s="246" t="s">
        <v>142</v>
      </c>
      <c r="J35" s="246" t="s">
        <v>113</v>
      </c>
      <c r="K35" s="246" t="s">
        <v>49</v>
      </c>
      <c r="L35" s="250" t="s">
        <v>18</v>
      </c>
      <c r="M35" s="87">
        <v>0.5</v>
      </c>
      <c r="N35" s="251">
        <v>0.75</v>
      </c>
      <c r="O35" s="90">
        <v>1.25</v>
      </c>
      <c r="P35" s="93">
        <v>37.951648559259922</v>
      </c>
      <c r="Q35" s="93">
        <v>56.927472838889884</v>
      </c>
      <c r="R35" s="93">
        <v>104.90509729066193</v>
      </c>
      <c r="S35" s="104">
        <v>157.35764593599291</v>
      </c>
      <c r="T35" s="250" t="s">
        <v>18</v>
      </c>
      <c r="U35" s="87">
        <v>0.5</v>
      </c>
      <c r="V35" s="246">
        <v>0.75</v>
      </c>
      <c r="W35" s="92">
        <v>1.25</v>
      </c>
      <c r="X35" s="89">
        <v>37.951648559259922</v>
      </c>
      <c r="Y35" s="89">
        <v>56.927472838889884</v>
      </c>
      <c r="Z35" s="147">
        <v>104.90509729066193</v>
      </c>
      <c r="AA35" s="147">
        <v>157.35764593599291</v>
      </c>
      <c r="AB35" s="254" t="s">
        <v>107</v>
      </c>
      <c r="AC35" s="87">
        <v>0</v>
      </c>
      <c r="AD35" s="251">
        <v>0</v>
      </c>
      <c r="AE35" s="88">
        <v>0</v>
      </c>
      <c r="AF35" s="89">
        <v>0</v>
      </c>
      <c r="AG35" s="115">
        <v>0</v>
      </c>
      <c r="AH35" s="115">
        <v>0</v>
      </c>
      <c r="AI35" s="149">
        <v>0</v>
      </c>
      <c r="AJ35" s="248" t="s">
        <v>49</v>
      </c>
      <c r="AK35" s="251"/>
      <c r="AL35" s="93">
        <v>122.48576826930405</v>
      </c>
      <c r="AM35" s="104">
        <v>161.51120794798436</v>
      </c>
      <c r="AN35" s="246" t="s">
        <v>0</v>
      </c>
      <c r="AO35" s="246">
        <v>0</v>
      </c>
      <c r="AP35" s="93">
        <v>0</v>
      </c>
      <c r="AQ35" s="93">
        <v>0</v>
      </c>
      <c r="AR35" s="114">
        <v>0</v>
      </c>
      <c r="AS35" s="93">
        <v>0</v>
      </c>
      <c r="AT35" s="261">
        <v>0.6</v>
      </c>
      <c r="AU35" s="260">
        <v>0.4</v>
      </c>
      <c r="AV35" s="93">
        <v>162.84925298550138</v>
      </c>
      <c r="AW35" s="104">
        <v>379.31977505117959</v>
      </c>
      <c r="AX35" s="93">
        <v>162.84925298550138</v>
      </c>
      <c r="AY35" s="166">
        <v>379.31977505117959</v>
      </c>
      <c r="BA35" s="166"/>
    </row>
    <row r="36" spans="1:53" ht="60">
      <c r="A36" s="95" t="s">
        <v>681</v>
      </c>
      <c r="B36" s="87" t="s">
        <v>677</v>
      </c>
      <c r="C36" s="246" t="s">
        <v>10</v>
      </c>
      <c r="D36" s="253" t="s">
        <v>1414</v>
      </c>
      <c r="E36" s="246" t="s">
        <v>117</v>
      </c>
      <c r="F36" s="253" t="s">
        <v>130</v>
      </c>
      <c r="G36" s="253" t="s">
        <v>123</v>
      </c>
      <c r="H36" s="246" t="s">
        <v>109</v>
      </c>
      <c r="I36" s="246" t="s">
        <v>142</v>
      </c>
      <c r="J36" s="246" t="s">
        <v>113</v>
      </c>
      <c r="K36" s="246" t="s">
        <v>49</v>
      </c>
      <c r="L36" s="250" t="s">
        <v>18</v>
      </c>
      <c r="M36" s="87">
        <v>0.5</v>
      </c>
      <c r="N36" s="251">
        <v>0.75</v>
      </c>
      <c r="O36" s="90">
        <v>1.25</v>
      </c>
      <c r="P36" s="93">
        <v>37.951648559259922</v>
      </c>
      <c r="Q36" s="93">
        <v>56.927472838889884</v>
      </c>
      <c r="R36" s="93">
        <v>104.90509729066193</v>
      </c>
      <c r="S36" s="104">
        <v>157.35764593599291</v>
      </c>
      <c r="T36" s="250" t="s">
        <v>18</v>
      </c>
      <c r="U36" s="87">
        <v>0.5</v>
      </c>
      <c r="V36" s="246">
        <v>0.75</v>
      </c>
      <c r="W36" s="92">
        <v>1.25</v>
      </c>
      <c r="X36" s="89">
        <v>37.951648559259922</v>
      </c>
      <c r="Y36" s="89">
        <v>56.927472838889884</v>
      </c>
      <c r="Z36" s="147">
        <v>104.90509729066193</v>
      </c>
      <c r="AA36" s="147">
        <v>157.35764593599291</v>
      </c>
      <c r="AB36" s="254" t="s">
        <v>107</v>
      </c>
      <c r="AC36" s="87">
        <v>0</v>
      </c>
      <c r="AD36" s="251">
        <v>0</v>
      </c>
      <c r="AE36" s="88">
        <v>0</v>
      </c>
      <c r="AF36" s="89">
        <v>0</v>
      </c>
      <c r="AG36" s="115">
        <v>0</v>
      </c>
      <c r="AH36" s="115">
        <v>0</v>
      </c>
      <c r="AI36" s="149">
        <v>0</v>
      </c>
      <c r="AJ36" s="248" t="s">
        <v>49</v>
      </c>
      <c r="AK36" s="251"/>
      <c r="AL36" s="93">
        <v>122.48576826930405</v>
      </c>
      <c r="AM36" s="104">
        <v>161.51120794798436</v>
      </c>
      <c r="AN36" s="246" t="s">
        <v>0</v>
      </c>
      <c r="AO36" s="246">
        <v>0</v>
      </c>
      <c r="AP36" s="93">
        <v>0</v>
      </c>
      <c r="AQ36" s="93">
        <v>0</v>
      </c>
      <c r="AR36" s="114">
        <v>0</v>
      </c>
      <c r="AS36" s="93">
        <v>0</v>
      </c>
      <c r="AT36" s="261">
        <v>0.6</v>
      </c>
      <c r="AU36" s="260">
        <v>0.4</v>
      </c>
      <c r="AV36" s="93">
        <v>162.84925298550138</v>
      </c>
      <c r="AW36" s="104">
        <v>379.31977505117959</v>
      </c>
      <c r="AX36" s="93">
        <v>162.84925298550138</v>
      </c>
      <c r="AY36" s="166">
        <v>379.31977505117959</v>
      </c>
      <c r="BA36" s="166"/>
    </row>
    <row r="37" spans="1:53" ht="76.5" customHeight="1">
      <c r="A37" s="95" t="s">
        <v>682</v>
      </c>
      <c r="B37" s="87" t="s">
        <v>678</v>
      </c>
      <c r="C37" s="246" t="s">
        <v>10</v>
      </c>
      <c r="D37" s="253" t="s">
        <v>1414</v>
      </c>
      <c r="E37" s="253" t="s">
        <v>154</v>
      </c>
      <c r="F37" s="253" t="s">
        <v>1357</v>
      </c>
      <c r="G37" s="253" t="s">
        <v>147</v>
      </c>
      <c r="H37" s="246" t="s">
        <v>109</v>
      </c>
      <c r="I37" s="246" t="s">
        <v>142</v>
      </c>
      <c r="J37" s="246" t="s">
        <v>47</v>
      </c>
      <c r="K37" s="246" t="s">
        <v>49</v>
      </c>
      <c r="L37" s="250" t="s">
        <v>18</v>
      </c>
      <c r="M37" s="87">
        <v>0.5</v>
      </c>
      <c r="N37" s="251">
        <v>0.67</v>
      </c>
      <c r="O37" s="92">
        <v>1.17</v>
      </c>
      <c r="P37" s="93">
        <v>27.099613778523121</v>
      </c>
      <c r="Q37" s="93">
        <v>36.313482463220986</v>
      </c>
      <c r="R37" s="93">
        <v>74.908145703770415</v>
      </c>
      <c r="S37" s="104">
        <v>100.37691524305235</v>
      </c>
      <c r="T37" s="253" t="s">
        <v>18</v>
      </c>
      <c r="U37" s="87">
        <v>0.5</v>
      </c>
      <c r="V37" s="246">
        <v>0.67</v>
      </c>
      <c r="W37" s="92">
        <v>1.17</v>
      </c>
      <c r="X37" s="89">
        <v>27.099613778523121</v>
      </c>
      <c r="Y37" s="89">
        <v>36.313482463220986</v>
      </c>
      <c r="Z37" s="147">
        <v>74.908145703770415</v>
      </c>
      <c r="AA37" s="147">
        <v>100.37691524305235</v>
      </c>
      <c r="AB37" s="254" t="s">
        <v>107</v>
      </c>
      <c r="AC37" s="87">
        <v>0</v>
      </c>
      <c r="AD37" s="251">
        <v>0</v>
      </c>
      <c r="AE37" s="88">
        <v>0</v>
      </c>
      <c r="AF37" s="89">
        <v>0</v>
      </c>
      <c r="AG37" s="115">
        <v>0</v>
      </c>
      <c r="AH37" s="115">
        <v>0</v>
      </c>
      <c r="AI37" s="149">
        <v>0</v>
      </c>
      <c r="AJ37" s="248" t="s">
        <v>49</v>
      </c>
      <c r="AK37" s="246"/>
      <c r="AL37" s="93">
        <v>0</v>
      </c>
      <c r="AM37" s="104">
        <v>0</v>
      </c>
      <c r="AN37" s="246" t="s">
        <v>0</v>
      </c>
      <c r="AO37" s="246">
        <v>0</v>
      </c>
      <c r="AP37" s="93">
        <v>0</v>
      </c>
      <c r="AQ37" s="93">
        <v>0</v>
      </c>
      <c r="AR37" s="114">
        <v>0</v>
      </c>
      <c r="AS37" s="93">
        <v>0</v>
      </c>
      <c r="AT37" s="261">
        <v>1</v>
      </c>
      <c r="AU37" s="260">
        <v>0</v>
      </c>
      <c r="AV37" s="93">
        <v>126.82619248348823</v>
      </c>
      <c r="AW37" s="104">
        <v>350.57012189364553</v>
      </c>
      <c r="AX37" s="93">
        <v>126.82619248348823</v>
      </c>
      <c r="AY37" s="166">
        <v>350.57012189364553</v>
      </c>
      <c r="BA37" s="166"/>
    </row>
    <row r="38" spans="1:53" ht="90">
      <c r="A38" s="95" t="s">
        <v>683</v>
      </c>
      <c r="B38" s="87" t="s">
        <v>679</v>
      </c>
      <c r="C38" s="246" t="s">
        <v>10</v>
      </c>
      <c r="D38" s="253" t="s">
        <v>1414</v>
      </c>
      <c r="E38" s="253" t="s">
        <v>154</v>
      </c>
      <c r="F38" s="253" t="s">
        <v>1357</v>
      </c>
      <c r="G38" s="253" t="s">
        <v>148</v>
      </c>
      <c r="H38" s="246" t="s">
        <v>109</v>
      </c>
      <c r="I38" s="246" t="s">
        <v>142</v>
      </c>
      <c r="J38" s="246" t="s">
        <v>113</v>
      </c>
      <c r="K38" s="246" t="s">
        <v>49</v>
      </c>
      <c r="L38" s="250" t="s">
        <v>18</v>
      </c>
      <c r="M38" s="87">
        <v>0.5</v>
      </c>
      <c r="N38" s="251">
        <v>0.67</v>
      </c>
      <c r="O38" s="92">
        <v>1.17</v>
      </c>
      <c r="P38" s="93">
        <v>37.951648559259922</v>
      </c>
      <c r="Q38" s="93">
        <v>50.855209069408296</v>
      </c>
      <c r="R38" s="93">
        <v>104.90509729066193</v>
      </c>
      <c r="S38" s="104">
        <v>140.57283036948698</v>
      </c>
      <c r="T38" s="253" t="s">
        <v>18</v>
      </c>
      <c r="U38" s="87">
        <v>0.5</v>
      </c>
      <c r="V38" s="246">
        <v>0.67</v>
      </c>
      <c r="W38" s="92">
        <v>1.17</v>
      </c>
      <c r="X38" s="89">
        <v>37.951648559259922</v>
      </c>
      <c r="Y38" s="89">
        <v>50.855209069408296</v>
      </c>
      <c r="Z38" s="147">
        <v>104.90509729066193</v>
      </c>
      <c r="AA38" s="147">
        <v>140.57283036948698</v>
      </c>
      <c r="AB38" s="254" t="s">
        <v>107</v>
      </c>
      <c r="AC38" s="87">
        <v>0</v>
      </c>
      <c r="AD38" s="251">
        <v>0</v>
      </c>
      <c r="AE38" s="88">
        <v>0</v>
      </c>
      <c r="AF38" s="89">
        <v>0</v>
      </c>
      <c r="AG38" s="115">
        <v>0</v>
      </c>
      <c r="AH38" s="115">
        <v>0</v>
      </c>
      <c r="AI38" s="149">
        <v>0</v>
      </c>
      <c r="AJ38" s="248" t="s">
        <v>49</v>
      </c>
      <c r="AK38" s="246"/>
      <c r="AL38" s="93">
        <v>0</v>
      </c>
      <c r="AM38" s="104">
        <v>0</v>
      </c>
      <c r="AN38" s="246" t="s">
        <v>0</v>
      </c>
      <c r="AO38" s="246">
        <v>0</v>
      </c>
      <c r="AP38" s="93">
        <v>0</v>
      </c>
      <c r="AQ38" s="93">
        <v>0</v>
      </c>
      <c r="AR38" s="114">
        <v>0</v>
      </c>
      <c r="AS38" s="93">
        <v>0</v>
      </c>
      <c r="AT38" s="261">
        <v>1</v>
      </c>
      <c r="AU38" s="260">
        <v>0</v>
      </c>
      <c r="AV38" s="93">
        <v>177.61371525733642</v>
      </c>
      <c r="AW38" s="104">
        <v>490.95585532029781</v>
      </c>
      <c r="AX38" s="93">
        <v>177.61371525733642</v>
      </c>
      <c r="AY38" s="166">
        <v>490.95585532029781</v>
      </c>
      <c r="BA38" s="166"/>
    </row>
    <row r="39" spans="1:53" ht="75" customHeight="1">
      <c r="A39" s="95" t="s">
        <v>684</v>
      </c>
      <c r="B39" s="87" t="s">
        <v>680</v>
      </c>
      <c r="C39" s="246" t="s">
        <v>10</v>
      </c>
      <c r="D39" s="253" t="s">
        <v>1414</v>
      </c>
      <c r="E39" s="253" t="s">
        <v>154</v>
      </c>
      <c r="F39" s="253" t="s">
        <v>181</v>
      </c>
      <c r="G39" s="253" t="s">
        <v>419</v>
      </c>
      <c r="H39" s="246" t="s">
        <v>109</v>
      </c>
      <c r="I39" s="246" t="s">
        <v>142</v>
      </c>
      <c r="J39" s="246" t="s">
        <v>47</v>
      </c>
      <c r="K39" s="246" t="s">
        <v>49</v>
      </c>
      <c r="L39" s="250" t="s">
        <v>18</v>
      </c>
      <c r="M39" s="87">
        <v>0.5</v>
      </c>
      <c r="N39" s="251">
        <v>2</v>
      </c>
      <c r="O39" s="90">
        <v>2.5</v>
      </c>
      <c r="P39" s="93">
        <v>27.099613778523121</v>
      </c>
      <c r="Q39" s="93">
        <v>108.39845511409249</v>
      </c>
      <c r="R39" s="93">
        <v>74.908145703770415</v>
      </c>
      <c r="S39" s="104">
        <v>299.63258281508166</v>
      </c>
      <c r="T39" s="253" t="s">
        <v>18</v>
      </c>
      <c r="U39" s="87">
        <v>0.5</v>
      </c>
      <c r="V39" s="251">
        <v>2</v>
      </c>
      <c r="W39" s="92">
        <v>2.5</v>
      </c>
      <c r="X39" s="89">
        <v>27.099613778523121</v>
      </c>
      <c r="Y39" s="89">
        <v>108.39845511409249</v>
      </c>
      <c r="Z39" s="147">
        <v>74.908145703770415</v>
      </c>
      <c r="AA39" s="147">
        <v>299.63258281508166</v>
      </c>
      <c r="AB39" s="254" t="s">
        <v>107</v>
      </c>
      <c r="AC39" s="87">
        <v>0</v>
      </c>
      <c r="AD39" s="251">
        <v>0</v>
      </c>
      <c r="AE39" s="88">
        <v>0</v>
      </c>
      <c r="AF39" s="89">
        <v>0</v>
      </c>
      <c r="AG39" s="115">
        <v>0</v>
      </c>
      <c r="AH39" s="115">
        <v>0</v>
      </c>
      <c r="AI39" s="149">
        <v>0</v>
      </c>
      <c r="AJ39" s="248" t="s">
        <v>49</v>
      </c>
      <c r="AK39" s="246"/>
      <c r="AL39" s="93">
        <v>0</v>
      </c>
      <c r="AM39" s="104">
        <v>0</v>
      </c>
      <c r="AN39" s="246" t="s">
        <v>0</v>
      </c>
      <c r="AO39" s="246">
        <v>0</v>
      </c>
      <c r="AP39" s="93">
        <v>0</v>
      </c>
      <c r="AQ39" s="93">
        <v>0</v>
      </c>
      <c r="AR39" s="114">
        <v>0</v>
      </c>
      <c r="AS39" s="93">
        <v>0</v>
      </c>
      <c r="AT39" s="261">
        <v>1</v>
      </c>
      <c r="AU39" s="260">
        <v>0</v>
      </c>
      <c r="AV39" s="93">
        <v>270.99613778523121</v>
      </c>
      <c r="AW39" s="104">
        <v>749.08145703770413</v>
      </c>
      <c r="AX39" s="93">
        <v>270.99613778523121</v>
      </c>
      <c r="AY39" s="166">
        <v>749.08145703770413</v>
      </c>
      <c r="BA39" s="166"/>
    </row>
    <row r="40" spans="1:53" ht="90">
      <c r="A40" s="95" t="s">
        <v>685</v>
      </c>
      <c r="B40" s="87" t="s">
        <v>681</v>
      </c>
      <c r="C40" s="246" t="s">
        <v>10</v>
      </c>
      <c r="D40" s="253" t="s">
        <v>1414</v>
      </c>
      <c r="E40" s="253" t="s">
        <v>154</v>
      </c>
      <c r="F40" s="253" t="s">
        <v>181</v>
      </c>
      <c r="G40" s="253" t="s">
        <v>420</v>
      </c>
      <c r="H40" s="246" t="s">
        <v>109</v>
      </c>
      <c r="I40" s="246" t="s">
        <v>142</v>
      </c>
      <c r="J40" s="246" t="s">
        <v>47</v>
      </c>
      <c r="K40" s="246" t="s">
        <v>49</v>
      </c>
      <c r="L40" s="250" t="s">
        <v>18</v>
      </c>
      <c r="M40" s="87">
        <v>0.5</v>
      </c>
      <c r="N40" s="251">
        <v>2.5</v>
      </c>
      <c r="O40" s="90">
        <v>3</v>
      </c>
      <c r="P40" s="93">
        <v>27.099613778523121</v>
      </c>
      <c r="Q40" s="93">
        <v>135.49806889261561</v>
      </c>
      <c r="R40" s="93">
        <v>74.908145703770415</v>
      </c>
      <c r="S40" s="104">
        <v>374.54072851885206</v>
      </c>
      <c r="T40" s="253" t="s">
        <v>18</v>
      </c>
      <c r="U40" s="87">
        <v>0.5</v>
      </c>
      <c r="V40" s="251">
        <v>2.5</v>
      </c>
      <c r="W40" s="92">
        <v>3</v>
      </c>
      <c r="X40" s="89">
        <v>27.099613778523121</v>
      </c>
      <c r="Y40" s="89">
        <v>135.49806889261561</v>
      </c>
      <c r="Z40" s="147">
        <v>74.908145703770415</v>
      </c>
      <c r="AA40" s="147">
        <v>374.54072851885206</v>
      </c>
      <c r="AB40" s="254" t="s">
        <v>107</v>
      </c>
      <c r="AC40" s="87">
        <v>0</v>
      </c>
      <c r="AD40" s="251">
        <v>0</v>
      </c>
      <c r="AE40" s="88">
        <v>0</v>
      </c>
      <c r="AF40" s="89">
        <v>0</v>
      </c>
      <c r="AG40" s="115">
        <v>0</v>
      </c>
      <c r="AH40" s="115">
        <v>0</v>
      </c>
      <c r="AI40" s="149">
        <v>0</v>
      </c>
      <c r="AJ40" s="248" t="s">
        <v>49</v>
      </c>
      <c r="AK40" s="246"/>
      <c r="AL40" s="93">
        <v>0</v>
      </c>
      <c r="AM40" s="104">
        <v>0</v>
      </c>
      <c r="AN40" s="246" t="s">
        <v>0</v>
      </c>
      <c r="AO40" s="246">
        <v>0</v>
      </c>
      <c r="AP40" s="93">
        <v>0</v>
      </c>
      <c r="AQ40" s="93">
        <v>0</v>
      </c>
      <c r="AR40" s="114">
        <v>0</v>
      </c>
      <c r="AS40" s="93">
        <v>0</v>
      </c>
      <c r="AT40" s="261">
        <v>1</v>
      </c>
      <c r="AU40" s="260">
        <v>0</v>
      </c>
      <c r="AV40" s="93">
        <v>325.19536534227746</v>
      </c>
      <c r="AW40" s="104">
        <v>898.89774844524504</v>
      </c>
      <c r="AX40" s="93">
        <v>325.19536534227746</v>
      </c>
      <c r="AY40" s="166">
        <v>898.89774844524504</v>
      </c>
      <c r="BA40" s="166"/>
    </row>
    <row r="41" spans="1:53" ht="90">
      <c r="A41" s="95" t="s">
        <v>686</v>
      </c>
      <c r="B41" s="87" t="s">
        <v>682</v>
      </c>
      <c r="C41" s="246" t="s">
        <v>10</v>
      </c>
      <c r="D41" s="253" t="s">
        <v>1414</v>
      </c>
      <c r="E41" s="253" t="s">
        <v>154</v>
      </c>
      <c r="F41" s="253" t="s">
        <v>181</v>
      </c>
      <c r="G41" s="253" t="s">
        <v>421</v>
      </c>
      <c r="H41" s="246" t="s">
        <v>109</v>
      </c>
      <c r="I41" s="246" t="s">
        <v>142</v>
      </c>
      <c r="J41" s="246" t="s">
        <v>47</v>
      </c>
      <c r="K41" s="246" t="s">
        <v>142</v>
      </c>
      <c r="L41" s="250" t="s">
        <v>18</v>
      </c>
      <c r="M41" s="87">
        <v>0.5</v>
      </c>
      <c r="N41" s="251">
        <v>2</v>
      </c>
      <c r="O41" s="90">
        <v>2.5</v>
      </c>
      <c r="P41" s="93">
        <v>27.099613778523121</v>
      </c>
      <c r="Q41" s="93">
        <v>108.39845511409249</v>
      </c>
      <c r="R41" s="93">
        <v>74.908145703770415</v>
      </c>
      <c r="S41" s="104">
        <v>299.63258281508166</v>
      </c>
      <c r="T41" s="253" t="s">
        <v>18</v>
      </c>
      <c r="U41" s="87">
        <v>0.5</v>
      </c>
      <c r="V41" s="251">
        <v>2</v>
      </c>
      <c r="W41" s="92">
        <v>2.5</v>
      </c>
      <c r="X41" s="89">
        <v>27.099613778523121</v>
      </c>
      <c r="Y41" s="89">
        <v>108.39845511409249</v>
      </c>
      <c r="Z41" s="147">
        <v>74.908145703770415</v>
      </c>
      <c r="AA41" s="147">
        <v>299.63258281508166</v>
      </c>
      <c r="AB41" s="254" t="s">
        <v>107</v>
      </c>
      <c r="AC41" s="87">
        <v>0</v>
      </c>
      <c r="AD41" s="251">
        <v>0</v>
      </c>
      <c r="AE41" s="88">
        <v>0</v>
      </c>
      <c r="AF41" s="89">
        <v>0</v>
      </c>
      <c r="AG41" s="115">
        <v>0</v>
      </c>
      <c r="AH41" s="115">
        <v>0</v>
      </c>
      <c r="AI41" s="149">
        <v>0</v>
      </c>
      <c r="AJ41" s="248" t="s">
        <v>49</v>
      </c>
      <c r="AK41" s="246"/>
      <c r="AL41" s="93">
        <v>0</v>
      </c>
      <c r="AM41" s="104">
        <v>0</v>
      </c>
      <c r="AN41" s="246" t="s">
        <v>0</v>
      </c>
      <c r="AO41" s="246">
        <v>0</v>
      </c>
      <c r="AP41" s="93">
        <v>0</v>
      </c>
      <c r="AQ41" s="93">
        <v>0</v>
      </c>
      <c r="AR41" s="114">
        <v>557.32438020070174</v>
      </c>
      <c r="AS41" s="93">
        <v>606.48040436208578</v>
      </c>
      <c r="AT41" s="261">
        <v>1</v>
      </c>
      <c r="AU41" s="260">
        <v>0</v>
      </c>
      <c r="AV41" s="93">
        <v>270.99613778523121</v>
      </c>
      <c r="AW41" s="104">
        <v>749.08145703770413</v>
      </c>
      <c r="AX41" s="93">
        <v>828.32051798593295</v>
      </c>
      <c r="AY41" s="166">
        <v>1355.5618613997899</v>
      </c>
      <c r="BA41" s="166"/>
    </row>
    <row r="42" spans="1:53" ht="90">
      <c r="A42" s="95" t="s">
        <v>687</v>
      </c>
      <c r="B42" s="87" t="s">
        <v>683</v>
      </c>
      <c r="C42" s="246" t="s">
        <v>10</v>
      </c>
      <c r="D42" s="253" t="s">
        <v>1414</v>
      </c>
      <c r="E42" s="253" t="s">
        <v>154</v>
      </c>
      <c r="F42" s="253" t="s">
        <v>181</v>
      </c>
      <c r="G42" s="253" t="s">
        <v>422</v>
      </c>
      <c r="H42" s="246" t="s">
        <v>109</v>
      </c>
      <c r="I42" s="246" t="s">
        <v>142</v>
      </c>
      <c r="J42" s="246" t="s">
        <v>47</v>
      </c>
      <c r="K42" s="246" t="s">
        <v>142</v>
      </c>
      <c r="L42" s="250" t="s">
        <v>18</v>
      </c>
      <c r="M42" s="87">
        <v>0.5</v>
      </c>
      <c r="N42" s="251">
        <v>2.5</v>
      </c>
      <c r="O42" s="90">
        <v>3</v>
      </c>
      <c r="P42" s="93">
        <v>27.099613778523121</v>
      </c>
      <c r="Q42" s="93">
        <v>135.49806889261561</v>
      </c>
      <c r="R42" s="93">
        <v>74.908145703770415</v>
      </c>
      <c r="S42" s="104">
        <v>374.54072851885206</v>
      </c>
      <c r="T42" s="253" t="s">
        <v>18</v>
      </c>
      <c r="U42" s="87">
        <v>0.5</v>
      </c>
      <c r="V42" s="251">
        <v>2.5</v>
      </c>
      <c r="W42" s="92">
        <v>3</v>
      </c>
      <c r="X42" s="89">
        <v>27.099613778523121</v>
      </c>
      <c r="Y42" s="89">
        <v>135.49806889261561</v>
      </c>
      <c r="Z42" s="147">
        <v>74.908145703770415</v>
      </c>
      <c r="AA42" s="147">
        <v>374.54072851885206</v>
      </c>
      <c r="AB42" s="254" t="s">
        <v>107</v>
      </c>
      <c r="AC42" s="87">
        <v>0</v>
      </c>
      <c r="AD42" s="251">
        <v>0</v>
      </c>
      <c r="AE42" s="88">
        <v>0</v>
      </c>
      <c r="AF42" s="89">
        <v>0</v>
      </c>
      <c r="AG42" s="115">
        <v>0</v>
      </c>
      <c r="AH42" s="115">
        <v>0</v>
      </c>
      <c r="AI42" s="149">
        <v>0</v>
      </c>
      <c r="AJ42" s="248" t="s">
        <v>49</v>
      </c>
      <c r="AK42" s="246"/>
      <c r="AL42" s="93">
        <v>0</v>
      </c>
      <c r="AM42" s="104">
        <v>0</v>
      </c>
      <c r="AN42" s="246" t="s">
        <v>0</v>
      </c>
      <c r="AO42" s="246">
        <v>0</v>
      </c>
      <c r="AP42" s="93">
        <v>0</v>
      </c>
      <c r="AQ42" s="93">
        <v>0</v>
      </c>
      <c r="AR42" s="114">
        <v>557.32438020070174</v>
      </c>
      <c r="AS42" s="93">
        <v>606.48040436208578</v>
      </c>
      <c r="AT42" s="261">
        <v>1</v>
      </c>
      <c r="AU42" s="260">
        <v>0</v>
      </c>
      <c r="AV42" s="93">
        <v>325.19536534227746</v>
      </c>
      <c r="AW42" s="104">
        <v>898.89774844524504</v>
      </c>
      <c r="AX42" s="93">
        <v>882.51974554297919</v>
      </c>
      <c r="AY42" s="166">
        <v>1505.3781528073309</v>
      </c>
      <c r="BA42" s="166"/>
    </row>
    <row r="43" spans="1:53" ht="90">
      <c r="A43" s="95" t="s">
        <v>688</v>
      </c>
      <c r="B43" s="87" t="s">
        <v>1159</v>
      </c>
      <c r="C43" s="246" t="s">
        <v>10</v>
      </c>
      <c r="D43" s="253" t="s">
        <v>1414</v>
      </c>
      <c r="E43" s="253" t="s">
        <v>154</v>
      </c>
      <c r="F43" s="253" t="s">
        <v>181</v>
      </c>
      <c r="G43" s="253" t="s">
        <v>423</v>
      </c>
      <c r="H43" s="246" t="s">
        <v>109</v>
      </c>
      <c r="I43" s="246" t="s">
        <v>142</v>
      </c>
      <c r="J43" s="246" t="s">
        <v>113</v>
      </c>
      <c r="K43" s="246" t="s">
        <v>49</v>
      </c>
      <c r="L43" s="250" t="s">
        <v>18</v>
      </c>
      <c r="M43" s="87">
        <v>0.5</v>
      </c>
      <c r="N43" s="251">
        <v>2</v>
      </c>
      <c r="O43" s="90">
        <v>2.5</v>
      </c>
      <c r="P43" s="93">
        <v>37.951648559259922</v>
      </c>
      <c r="Q43" s="93">
        <v>151.80659423703969</v>
      </c>
      <c r="R43" s="93">
        <v>104.90509729066193</v>
      </c>
      <c r="S43" s="104">
        <v>419.62038916264771</v>
      </c>
      <c r="T43" s="253" t="s">
        <v>18</v>
      </c>
      <c r="U43" s="87">
        <v>0.5</v>
      </c>
      <c r="V43" s="246">
        <v>2</v>
      </c>
      <c r="W43" s="92">
        <v>2.5</v>
      </c>
      <c r="X43" s="89">
        <v>37.951648559259922</v>
      </c>
      <c r="Y43" s="89">
        <v>151.80659423703969</v>
      </c>
      <c r="Z43" s="147">
        <v>104.90509729066193</v>
      </c>
      <c r="AA43" s="147">
        <v>419.62038916264771</v>
      </c>
      <c r="AB43" s="254" t="s">
        <v>107</v>
      </c>
      <c r="AC43" s="87">
        <v>0</v>
      </c>
      <c r="AD43" s="251">
        <v>0</v>
      </c>
      <c r="AE43" s="88">
        <v>0</v>
      </c>
      <c r="AF43" s="89">
        <v>0</v>
      </c>
      <c r="AG43" s="115">
        <v>0</v>
      </c>
      <c r="AH43" s="115">
        <v>0</v>
      </c>
      <c r="AI43" s="149">
        <v>0</v>
      </c>
      <c r="AJ43" s="248" t="s">
        <v>49</v>
      </c>
      <c r="AK43" s="246"/>
      <c r="AL43" s="93">
        <v>0</v>
      </c>
      <c r="AM43" s="104">
        <v>0</v>
      </c>
      <c r="AN43" s="246" t="s">
        <v>0</v>
      </c>
      <c r="AO43" s="246">
        <v>0</v>
      </c>
      <c r="AP43" s="93">
        <v>0</v>
      </c>
      <c r="AQ43" s="93">
        <v>0</v>
      </c>
      <c r="AR43" s="114">
        <v>0</v>
      </c>
      <c r="AS43" s="93">
        <v>0</v>
      </c>
      <c r="AT43" s="261">
        <v>1</v>
      </c>
      <c r="AU43" s="260">
        <v>0</v>
      </c>
      <c r="AV43" s="93">
        <v>379.51648559259922</v>
      </c>
      <c r="AW43" s="104">
        <v>1049.0509729066193</v>
      </c>
      <c r="AX43" s="93">
        <v>379.51648559259922</v>
      </c>
      <c r="AY43" s="166">
        <v>1049.0509729066193</v>
      </c>
      <c r="BA43" s="166"/>
    </row>
    <row r="44" spans="1:53" ht="90">
      <c r="A44" s="95" t="s">
        <v>689</v>
      </c>
      <c r="B44" s="87" t="s">
        <v>684</v>
      </c>
      <c r="C44" s="246" t="s">
        <v>10</v>
      </c>
      <c r="D44" s="253" t="s">
        <v>1414</v>
      </c>
      <c r="E44" s="253" t="s">
        <v>154</v>
      </c>
      <c r="F44" s="253" t="s">
        <v>181</v>
      </c>
      <c r="G44" s="253" t="s">
        <v>424</v>
      </c>
      <c r="H44" s="246" t="s">
        <v>109</v>
      </c>
      <c r="I44" s="246" t="s">
        <v>142</v>
      </c>
      <c r="J44" s="246" t="s">
        <v>113</v>
      </c>
      <c r="K44" s="246" t="s">
        <v>49</v>
      </c>
      <c r="L44" s="250" t="s">
        <v>18</v>
      </c>
      <c r="M44" s="87">
        <v>0.5</v>
      </c>
      <c r="N44" s="251">
        <v>2.5</v>
      </c>
      <c r="O44" s="90">
        <v>3</v>
      </c>
      <c r="P44" s="93">
        <v>37.951648559259922</v>
      </c>
      <c r="Q44" s="93">
        <v>189.75824279629961</v>
      </c>
      <c r="R44" s="93">
        <v>104.90509729066193</v>
      </c>
      <c r="S44" s="104">
        <v>524.52548645330967</v>
      </c>
      <c r="T44" s="253" t="s">
        <v>18</v>
      </c>
      <c r="U44" s="87">
        <v>0.5</v>
      </c>
      <c r="V44" s="251">
        <v>2.5</v>
      </c>
      <c r="W44" s="92">
        <v>3</v>
      </c>
      <c r="X44" s="89">
        <v>37.951648559259922</v>
      </c>
      <c r="Y44" s="89">
        <v>189.75824279629961</v>
      </c>
      <c r="Z44" s="147">
        <v>104.90509729066193</v>
      </c>
      <c r="AA44" s="147">
        <v>524.52548645330967</v>
      </c>
      <c r="AB44" s="254" t="s">
        <v>107</v>
      </c>
      <c r="AC44" s="87">
        <v>0</v>
      </c>
      <c r="AD44" s="251">
        <v>0</v>
      </c>
      <c r="AE44" s="88">
        <v>0</v>
      </c>
      <c r="AF44" s="89">
        <v>0</v>
      </c>
      <c r="AG44" s="115">
        <v>0</v>
      </c>
      <c r="AH44" s="115">
        <v>0</v>
      </c>
      <c r="AI44" s="149">
        <v>0</v>
      </c>
      <c r="AJ44" s="248" t="s">
        <v>49</v>
      </c>
      <c r="AK44" s="246"/>
      <c r="AL44" s="93">
        <v>0</v>
      </c>
      <c r="AM44" s="104">
        <v>0</v>
      </c>
      <c r="AN44" s="246" t="s">
        <v>0</v>
      </c>
      <c r="AO44" s="246">
        <v>0</v>
      </c>
      <c r="AP44" s="93">
        <v>0</v>
      </c>
      <c r="AQ44" s="93">
        <v>0</v>
      </c>
      <c r="AR44" s="114">
        <v>0</v>
      </c>
      <c r="AS44" s="93">
        <v>0</v>
      </c>
      <c r="AT44" s="261">
        <v>1</v>
      </c>
      <c r="AU44" s="260">
        <v>0</v>
      </c>
      <c r="AV44" s="93">
        <v>455.41978271111907</v>
      </c>
      <c r="AW44" s="104">
        <v>1258.8611674879432</v>
      </c>
      <c r="AX44" s="93">
        <v>455.41978271111907</v>
      </c>
      <c r="AY44" s="166">
        <v>1258.8611674879432</v>
      </c>
      <c r="BA44" s="166"/>
    </row>
    <row r="45" spans="1:53" ht="90">
      <c r="A45" s="95" t="s">
        <v>690</v>
      </c>
      <c r="B45" s="87" t="s">
        <v>685</v>
      </c>
      <c r="C45" s="246" t="s">
        <v>10</v>
      </c>
      <c r="D45" s="253" t="s">
        <v>1414</v>
      </c>
      <c r="E45" s="253" t="s">
        <v>154</v>
      </c>
      <c r="F45" s="253" t="s">
        <v>181</v>
      </c>
      <c r="G45" s="253" t="s">
        <v>429</v>
      </c>
      <c r="H45" s="246" t="s">
        <v>109</v>
      </c>
      <c r="I45" s="246" t="s">
        <v>142</v>
      </c>
      <c r="J45" s="246" t="s">
        <v>113</v>
      </c>
      <c r="K45" s="246" t="s">
        <v>142</v>
      </c>
      <c r="L45" s="250" t="s">
        <v>18</v>
      </c>
      <c r="M45" s="87">
        <v>0.5</v>
      </c>
      <c r="N45" s="251">
        <v>2</v>
      </c>
      <c r="O45" s="90">
        <v>2.5</v>
      </c>
      <c r="P45" s="93">
        <v>37.951648559259922</v>
      </c>
      <c r="Q45" s="93">
        <v>151.80659423703969</v>
      </c>
      <c r="R45" s="93">
        <v>104.90509729066193</v>
      </c>
      <c r="S45" s="104">
        <v>419.62038916264771</v>
      </c>
      <c r="T45" s="253" t="s">
        <v>18</v>
      </c>
      <c r="U45" s="90">
        <v>0.5</v>
      </c>
      <c r="V45" s="246">
        <v>2</v>
      </c>
      <c r="W45" s="92">
        <v>2.5</v>
      </c>
      <c r="X45" s="89">
        <v>37.951648559259922</v>
      </c>
      <c r="Y45" s="89">
        <v>151.80659423703969</v>
      </c>
      <c r="Z45" s="147">
        <v>104.90509729066193</v>
      </c>
      <c r="AA45" s="147">
        <v>419.62038916264771</v>
      </c>
      <c r="AB45" s="254" t="s">
        <v>107</v>
      </c>
      <c r="AC45" s="87">
        <v>0</v>
      </c>
      <c r="AD45" s="251">
        <v>0</v>
      </c>
      <c r="AE45" s="88">
        <v>0</v>
      </c>
      <c r="AF45" s="89">
        <v>0</v>
      </c>
      <c r="AG45" s="115">
        <v>0</v>
      </c>
      <c r="AH45" s="115">
        <v>0</v>
      </c>
      <c r="AI45" s="149">
        <v>0</v>
      </c>
      <c r="AJ45" s="248" t="s">
        <v>49</v>
      </c>
      <c r="AK45" s="246"/>
      <c r="AL45" s="93">
        <v>0</v>
      </c>
      <c r="AM45" s="104">
        <v>0</v>
      </c>
      <c r="AN45" s="246" t="s">
        <v>0</v>
      </c>
      <c r="AO45" s="246">
        <v>0</v>
      </c>
      <c r="AP45" s="93">
        <v>0</v>
      </c>
      <c r="AQ45" s="93">
        <v>0</v>
      </c>
      <c r="AR45" s="114">
        <v>557.32438020070174</v>
      </c>
      <c r="AS45" s="93">
        <v>606.48040436208578</v>
      </c>
      <c r="AT45" s="261">
        <v>1</v>
      </c>
      <c r="AU45" s="260">
        <v>0</v>
      </c>
      <c r="AV45" s="93">
        <v>379.51648559259922</v>
      </c>
      <c r="AW45" s="104">
        <v>1049.0509729066193</v>
      </c>
      <c r="AX45" s="93">
        <v>936.84086579330096</v>
      </c>
      <c r="AY45" s="166">
        <v>1655.531377268705</v>
      </c>
      <c r="BA45" s="166"/>
    </row>
    <row r="46" spans="1:53" ht="90">
      <c r="A46" s="95" t="s">
        <v>691</v>
      </c>
      <c r="B46" s="87" t="s">
        <v>686</v>
      </c>
      <c r="C46" s="246" t="s">
        <v>10</v>
      </c>
      <c r="D46" s="253" t="s">
        <v>1414</v>
      </c>
      <c r="E46" s="253" t="s">
        <v>154</v>
      </c>
      <c r="F46" s="253" t="s">
        <v>181</v>
      </c>
      <c r="G46" s="253" t="s">
        <v>430</v>
      </c>
      <c r="H46" s="246" t="s">
        <v>109</v>
      </c>
      <c r="I46" s="246" t="s">
        <v>142</v>
      </c>
      <c r="J46" s="246" t="s">
        <v>113</v>
      </c>
      <c r="K46" s="246" t="s">
        <v>142</v>
      </c>
      <c r="L46" s="250" t="s">
        <v>18</v>
      </c>
      <c r="M46" s="87">
        <v>0.5</v>
      </c>
      <c r="N46" s="251">
        <v>2.5</v>
      </c>
      <c r="O46" s="90">
        <v>3</v>
      </c>
      <c r="P46" s="93">
        <v>37.951648559259922</v>
      </c>
      <c r="Q46" s="93">
        <v>189.75824279629961</v>
      </c>
      <c r="R46" s="93">
        <v>104.90509729066193</v>
      </c>
      <c r="S46" s="104">
        <v>524.52548645330967</v>
      </c>
      <c r="T46" s="253" t="s">
        <v>18</v>
      </c>
      <c r="U46" s="90">
        <v>0.5</v>
      </c>
      <c r="V46" s="251">
        <v>2.5</v>
      </c>
      <c r="W46" s="92">
        <v>3</v>
      </c>
      <c r="X46" s="89">
        <v>37.951648559259922</v>
      </c>
      <c r="Y46" s="89">
        <v>189.75824279629961</v>
      </c>
      <c r="Z46" s="147">
        <v>104.90509729066193</v>
      </c>
      <c r="AA46" s="147">
        <v>524.52548645330967</v>
      </c>
      <c r="AB46" s="254" t="s">
        <v>107</v>
      </c>
      <c r="AC46" s="87">
        <v>0</v>
      </c>
      <c r="AD46" s="251">
        <v>0</v>
      </c>
      <c r="AE46" s="88">
        <v>0</v>
      </c>
      <c r="AF46" s="89">
        <v>0</v>
      </c>
      <c r="AG46" s="115">
        <v>0</v>
      </c>
      <c r="AH46" s="115">
        <v>0</v>
      </c>
      <c r="AI46" s="149">
        <v>0</v>
      </c>
      <c r="AJ46" s="248" t="s">
        <v>49</v>
      </c>
      <c r="AK46" s="246"/>
      <c r="AL46" s="93">
        <v>0</v>
      </c>
      <c r="AM46" s="104">
        <v>0</v>
      </c>
      <c r="AN46" s="246" t="s">
        <v>0</v>
      </c>
      <c r="AO46" s="246">
        <v>0</v>
      </c>
      <c r="AP46" s="93">
        <v>0</v>
      </c>
      <c r="AQ46" s="93">
        <v>0</v>
      </c>
      <c r="AR46" s="114">
        <v>557.32438020070174</v>
      </c>
      <c r="AS46" s="93">
        <v>606.48040436208578</v>
      </c>
      <c r="AT46" s="261">
        <v>1</v>
      </c>
      <c r="AU46" s="260">
        <v>0</v>
      </c>
      <c r="AV46" s="93">
        <v>455.41978271111907</v>
      </c>
      <c r="AW46" s="104">
        <v>1258.8611674879432</v>
      </c>
      <c r="AX46" s="93">
        <v>1012.7441629118208</v>
      </c>
      <c r="AY46" s="166">
        <v>1865.3415718500291</v>
      </c>
      <c r="BA46" s="166"/>
    </row>
    <row r="47" spans="1:53" s="90" customFormat="1" ht="60">
      <c r="A47" s="96" t="s">
        <v>692</v>
      </c>
      <c r="B47" s="87" t="s">
        <v>687</v>
      </c>
      <c r="C47" s="246" t="s">
        <v>10</v>
      </c>
      <c r="D47" s="253" t="s">
        <v>1414</v>
      </c>
      <c r="E47" s="253" t="s">
        <v>193</v>
      </c>
      <c r="F47" s="253" t="s">
        <v>1437</v>
      </c>
      <c r="G47" s="253" t="s">
        <v>105</v>
      </c>
      <c r="H47" s="246" t="s">
        <v>109</v>
      </c>
      <c r="I47" s="246" t="s">
        <v>142</v>
      </c>
      <c r="J47" s="246" t="s">
        <v>47</v>
      </c>
      <c r="K47" s="246" t="s">
        <v>49</v>
      </c>
      <c r="L47" s="250" t="s">
        <v>18</v>
      </c>
      <c r="M47" s="90">
        <v>0.5</v>
      </c>
      <c r="N47" s="251">
        <v>2.5</v>
      </c>
      <c r="O47" s="90">
        <v>3</v>
      </c>
      <c r="P47" s="93">
        <v>27.099613778523121</v>
      </c>
      <c r="Q47" s="93">
        <v>135.49806889261561</v>
      </c>
      <c r="R47" s="93">
        <v>74.908145703770415</v>
      </c>
      <c r="S47" s="104">
        <v>374.54072851885206</v>
      </c>
      <c r="T47" s="253" t="s">
        <v>18</v>
      </c>
      <c r="U47" s="90">
        <v>0.5</v>
      </c>
      <c r="V47" s="251">
        <v>2.5</v>
      </c>
      <c r="W47" s="92">
        <v>3</v>
      </c>
      <c r="X47" s="89">
        <v>27.099613778523121</v>
      </c>
      <c r="Y47" s="89">
        <v>135.49806889261561</v>
      </c>
      <c r="Z47" s="147">
        <v>74.908145703770415</v>
      </c>
      <c r="AA47" s="147">
        <v>374.54072851885206</v>
      </c>
      <c r="AB47" s="254" t="s">
        <v>107</v>
      </c>
      <c r="AC47" s="90">
        <v>0</v>
      </c>
      <c r="AD47" s="251">
        <v>0</v>
      </c>
      <c r="AE47" s="92">
        <v>0</v>
      </c>
      <c r="AF47" s="89">
        <v>0</v>
      </c>
      <c r="AG47" s="115">
        <v>0</v>
      </c>
      <c r="AH47" s="116">
        <v>0</v>
      </c>
      <c r="AI47" s="150">
        <v>0</v>
      </c>
      <c r="AJ47" s="248" t="s">
        <v>49</v>
      </c>
      <c r="AK47" s="246"/>
      <c r="AL47" s="93">
        <v>0</v>
      </c>
      <c r="AM47" s="104">
        <v>0</v>
      </c>
      <c r="AN47" s="246" t="s">
        <v>0</v>
      </c>
      <c r="AO47" s="246">
        <v>0</v>
      </c>
      <c r="AP47" s="93">
        <v>0</v>
      </c>
      <c r="AQ47" s="93">
        <v>0</v>
      </c>
      <c r="AR47" s="114">
        <v>0</v>
      </c>
      <c r="AS47" s="93">
        <v>0</v>
      </c>
      <c r="AT47" s="261">
        <v>1</v>
      </c>
      <c r="AU47" s="260">
        <v>0</v>
      </c>
      <c r="AV47" s="93">
        <v>325.19536534227746</v>
      </c>
      <c r="AW47" s="104">
        <v>898.89774844524504</v>
      </c>
      <c r="AX47" s="93">
        <v>325.19536534227746</v>
      </c>
      <c r="AY47" s="166">
        <v>898.89774844524504</v>
      </c>
      <c r="BA47" s="166"/>
    </row>
    <row r="48" spans="1:53" s="90" customFormat="1" ht="60">
      <c r="A48" s="96" t="s">
        <v>693</v>
      </c>
      <c r="B48" s="87" t="s">
        <v>688</v>
      </c>
      <c r="C48" s="246" t="s">
        <v>10</v>
      </c>
      <c r="D48" s="253" t="s">
        <v>1414</v>
      </c>
      <c r="E48" s="253" t="s">
        <v>193</v>
      </c>
      <c r="F48" s="253" t="s">
        <v>1437</v>
      </c>
      <c r="G48" s="253" t="s">
        <v>112</v>
      </c>
      <c r="H48" s="246" t="s">
        <v>109</v>
      </c>
      <c r="I48" s="246" t="s">
        <v>142</v>
      </c>
      <c r="J48" s="246" t="s">
        <v>113</v>
      </c>
      <c r="K48" s="246" t="s">
        <v>49</v>
      </c>
      <c r="L48" s="250" t="s">
        <v>18</v>
      </c>
      <c r="M48" s="90">
        <v>0.5</v>
      </c>
      <c r="N48" s="251">
        <v>2.5</v>
      </c>
      <c r="O48" s="90">
        <v>3</v>
      </c>
      <c r="P48" s="93">
        <v>37.951648559259922</v>
      </c>
      <c r="Q48" s="93">
        <v>189.75824279629961</v>
      </c>
      <c r="R48" s="93">
        <v>104.90509729066193</v>
      </c>
      <c r="S48" s="104">
        <v>524.52548645330967</v>
      </c>
      <c r="T48" s="253" t="s">
        <v>18</v>
      </c>
      <c r="U48" s="90">
        <v>0.5</v>
      </c>
      <c r="V48" s="251">
        <v>2.5</v>
      </c>
      <c r="W48" s="92">
        <v>3</v>
      </c>
      <c r="X48" s="89">
        <v>37.951648559259922</v>
      </c>
      <c r="Y48" s="89">
        <v>189.75824279629961</v>
      </c>
      <c r="Z48" s="147">
        <v>104.90509729066193</v>
      </c>
      <c r="AA48" s="147">
        <v>524.52548645330967</v>
      </c>
      <c r="AB48" s="254" t="s">
        <v>107</v>
      </c>
      <c r="AC48" s="90">
        <v>0</v>
      </c>
      <c r="AD48" s="251">
        <v>0</v>
      </c>
      <c r="AE48" s="92">
        <v>0</v>
      </c>
      <c r="AF48" s="89">
        <v>0</v>
      </c>
      <c r="AG48" s="115">
        <v>0</v>
      </c>
      <c r="AH48" s="116">
        <v>0</v>
      </c>
      <c r="AI48" s="150">
        <v>0</v>
      </c>
      <c r="AJ48" s="248" t="s">
        <v>49</v>
      </c>
      <c r="AK48" s="246"/>
      <c r="AL48" s="93">
        <v>0</v>
      </c>
      <c r="AM48" s="104">
        <v>0</v>
      </c>
      <c r="AN48" s="246" t="s">
        <v>0</v>
      </c>
      <c r="AO48" s="246">
        <v>0</v>
      </c>
      <c r="AP48" s="93">
        <v>0</v>
      </c>
      <c r="AQ48" s="93">
        <v>0</v>
      </c>
      <c r="AR48" s="114">
        <v>0</v>
      </c>
      <c r="AS48" s="93">
        <v>0</v>
      </c>
      <c r="AT48" s="261">
        <v>1</v>
      </c>
      <c r="AU48" s="260">
        <v>0</v>
      </c>
      <c r="AV48" s="93">
        <v>455.41978271111907</v>
      </c>
      <c r="AW48" s="104">
        <v>1258.8611674879432</v>
      </c>
      <c r="AX48" s="93">
        <v>455.41978271111907</v>
      </c>
      <c r="AY48" s="166">
        <v>1258.8611674879432</v>
      </c>
      <c r="BA48" s="166"/>
    </row>
    <row r="49" spans="1:53" s="90" customFormat="1" ht="60">
      <c r="A49" s="96" t="s">
        <v>694</v>
      </c>
      <c r="B49" s="87" t="s">
        <v>689</v>
      </c>
      <c r="C49" s="246" t="s">
        <v>10</v>
      </c>
      <c r="D49" s="253" t="s">
        <v>1414</v>
      </c>
      <c r="E49" s="253" t="s">
        <v>193</v>
      </c>
      <c r="F49" s="253" t="s">
        <v>1437</v>
      </c>
      <c r="G49" s="253" t="s">
        <v>111</v>
      </c>
      <c r="H49" s="246" t="s">
        <v>109</v>
      </c>
      <c r="I49" s="246" t="s">
        <v>142</v>
      </c>
      <c r="J49" s="246" t="s">
        <v>47</v>
      </c>
      <c r="K49" s="246" t="s">
        <v>49</v>
      </c>
      <c r="L49" s="250" t="s">
        <v>18</v>
      </c>
      <c r="M49" s="90">
        <v>0.5</v>
      </c>
      <c r="N49" s="251">
        <v>4.5</v>
      </c>
      <c r="O49" s="90">
        <v>5</v>
      </c>
      <c r="P49" s="93">
        <v>27.099613778523121</v>
      </c>
      <c r="Q49" s="93">
        <v>243.89652400670809</v>
      </c>
      <c r="R49" s="93">
        <v>74.908145703770415</v>
      </c>
      <c r="S49" s="104">
        <v>674.17331133393361</v>
      </c>
      <c r="T49" s="253" t="s">
        <v>18</v>
      </c>
      <c r="U49" s="90">
        <v>0.5</v>
      </c>
      <c r="V49" s="251">
        <v>4.5</v>
      </c>
      <c r="W49" s="92">
        <v>5</v>
      </c>
      <c r="X49" s="89">
        <v>27.099613778523121</v>
      </c>
      <c r="Y49" s="89">
        <v>243.89652400670809</v>
      </c>
      <c r="Z49" s="147">
        <v>74.908145703770415</v>
      </c>
      <c r="AA49" s="147">
        <v>674.17331133393361</v>
      </c>
      <c r="AB49" s="254" t="s">
        <v>107</v>
      </c>
      <c r="AC49" s="90">
        <v>0</v>
      </c>
      <c r="AD49" s="251">
        <v>0</v>
      </c>
      <c r="AE49" s="92">
        <v>0</v>
      </c>
      <c r="AF49" s="89">
        <v>0</v>
      </c>
      <c r="AG49" s="115">
        <v>0</v>
      </c>
      <c r="AH49" s="116">
        <v>0</v>
      </c>
      <c r="AI49" s="150">
        <v>0</v>
      </c>
      <c r="AJ49" s="248" t="s">
        <v>49</v>
      </c>
      <c r="AK49" s="246"/>
      <c r="AL49" s="93">
        <v>0</v>
      </c>
      <c r="AM49" s="104">
        <v>0</v>
      </c>
      <c r="AN49" s="246" t="s">
        <v>0</v>
      </c>
      <c r="AO49" s="246">
        <v>0</v>
      </c>
      <c r="AP49" s="93">
        <v>0</v>
      </c>
      <c r="AQ49" s="93">
        <v>0</v>
      </c>
      <c r="AR49" s="114">
        <v>0</v>
      </c>
      <c r="AS49" s="93">
        <v>0</v>
      </c>
      <c r="AT49" s="261">
        <v>1</v>
      </c>
      <c r="AU49" s="260">
        <v>0</v>
      </c>
      <c r="AV49" s="93">
        <v>541.99227557046243</v>
      </c>
      <c r="AW49" s="104">
        <v>1498.162914075408</v>
      </c>
      <c r="AX49" s="93">
        <v>541.99227557046243</v>
      </c>
      <c r="AY49" s="166">
        <v>1498.162914075408</v>
      </c>
      <c r="BA49" s="166"/>
    </row>
    <row r="50" spans="1:53" s="90" customFormat="1" ht="60">
      <c r="A50" s="96" t="s">
        <v>695</v>
      </c>
      <c r="B50" s="87" t="s">
        <v>690</v>
      </c>
      <c r="C50" s="246" t="s">
        <v>10</v>
      </c>
      <c r="D50" s="253" t="s">
        <v>1414</v>
      </c>
      <c r="E50" s="253" t="s">
        <v>193</v>
      </c>
      <c r="F50" s="253" t="s">
        <v>1437</v>
      </c>
      <c r="G50" s="253" t="s">
        <v>121</v>
      </c>
      <c r="H50" s="246" t="s">
        <v>109</v>
      </c>
      <c r="I50" s="246" t="s">
        <v>142</v>
      </c>
      <c r="J50" s="246" t="s">
        <v>113</v>
      </c>
      <c r="K50" s="246" t="s">
        <v>49</v>
      </c>
      <c r="L50" s="250" t="s">
        <v>18</v>
      </c>
      <c r="M50" s="90">
        <v>0.5</v>
      </c>
      <c r="N50" s="251">
        <v>4.5</v>
      </c>
      <c r="O50" s="90">
        <v>5</v>
      </c>
      <c r="P50" s="93">
        <v>37.951648559259922</v>
      </c>
      <c r="Q50" s="93">
        <v>341.5648370333393</v>
      </c>
      <c r="R50" s="93">
        <v>104.90509729066193</v>
      </c>
      <c r="S50" s="104">
        <v>944.14587561595715</v>
      </c>
      <c r="T50" s="253" t="s">
        <v>18</v>
      </c>
      <c r="U50" s="90">
        <v>0.5</v>
      </c>
      <c r="V50" s="251">
        <v>4.5</v>
      </c>
      <c r="W50" s="92">
        <v>5</v>
      </c>
      <c r="X50" s="89">
        <v>37.951648559259922</v>
      </c>
      <c r="Y50" s="89">
        <v>341.5648370333393</v>
      </c>
      <c r="Z50" s="147">
        <v>104.90509729066193</v>
      </c>
      <c r="AA50" s="147">
        <v>944.14587561595715</v>
      </c>
      <c r="AB50" s="254" t="s">
        <v>107</v>
      </c>
      <c r="AC50" s="90">
        <v>0</v>
      </c>
      <c r="AD50" s="251">
        <v>0</v>
      </c>
      <c r="AE50" s="92">
        <v>0</v>
      </c>
      <c r="AF50" s="89">
        <v>0</v>
      </c>
      <c r="AG50" s="115">
        <v>0</v>
      </c>
      <c r="AH50" s="116">
        <v>0</v>
      </c>
      <c r="AI50" s="150">
        <v>0</v>
      </c>
      <c r="AJ50" s="248" t="s">
        <v>49</v>
      </c>
      <c r="AK50" s="246"/>
      <c r="AL50" s="93">
        <v>0</v>
      </c>
      <c r="AM50" s="104">
        <v>0</v>
      </c>
      <c r="AN50" s="246" t="s">
        <v>0</v>
      </c>
      <c r="AO50" s="246">
        <v>0</v>
      </c>
      <c r="AP50" s="93">
        <v>0</v>
      </c>
      <c r="AQ50" s="93">
        <v>0</v>
      </c>
      <c r="AR50" s="114">
        <v>0</v>
      </c>
      <c r="AS50" s="93">
        <v>0</v>
      </c>
      <c r="AT50" s="261">
        <v>1</v>
      </c>
      <c r="AU50" s="260">
        <v>0</v>
      </c>
      <c r="AV50" s="93">
        <v>759.03297118519845</v>
      </c>
      <c r="AW50" s="104">
        <v>2098.1019458132382</v>
      </c>
      <c r="AX50" s="93">
        <v>759.03297118519845</v>
      </c>
      <c r="AY50" s="166">
        <v>2098.1019458132382</v>
      </c>
      <c r="BA50" s="166"/>
    </row>
    <row r="51" spans="1:53" ht="90">
      <c r="A51" s="113" t="s">
        <v>696</v>
      </c>
      <c r="B51" s="87" t="s">
        <v>691</v>
      </c>
      <c r="C51" s="246" t="s">
        <v>10</v>
      </c>
      <c r="D51" s="253" t="s">
        <v>1414</v>
      </c>
      <c r="E51" s="253" t="s">
        <v>155</v>
      </c>
      <c r="F51" s="253" t="s">
        <v>1453</v>
      </c>
      <c r="G51" s="253" t="s">
        <v>236</v>
      </c>
      <c r="H51" s="246" t="s">
        <v>109</v>
      </c>
      <c r="I51" s="246" t="s">
        <v>142</v>
      </c>
      <c r="J51" s="246" t="s">
        <v>47</v>
      </c>
      <c r="K51" s="256" t="s">
        <v>49</v>
      </c>
      <c r="L51" s="250" t="s">
        <v>18</v>
      </c>
      <c r="M51" s="90">
        <v>0.5</v>
      </c>
      <c r="N51" s="251">
        <v>1</v>
      </c>
      <c r="O51" s="90">
        <v>1.5</v>
      </c>
      <c r="P51" s="93">
        <v>27.099613778523121</v>
      </c>
      <c r="Q51" s="93">
        <v>54.199227557046243</v>
      </c>
      <c r="R51" s="93">
        <v>74.908145703770415</v>
      </c>
      <c r="S51" s="104">
        <v>149.81629140754083</v>
      </c>
      <c r="T51" s="250" t="s">
        <v>18</v>
      </c>
      <c r="U51" s="90">
        <v>0.5</v>
      </c>
      <c r="V51" s="251">
        <v>1</v>
      </c>
      <c r="W51" s="90">
        <v>1.5</v>
      </c>
      <c r="X51" s="89">
        <v>27.099613778523121</v>
      </c>
      <c r="Y51" s="89">
        <v>54.199227557046243</v>
      </c>
      <c r="Z51" s="147">
        <v>74.908145703770415</v>
      </c>
      <c r="AA51" s="147">
        <v>149.81629140754083</v>
      </c>
      <c r="AB51" s="250" t="s">
        <v>107</v>
      </c>
      <c r="AC51" s="90">
        <v>0</v>
      </c>
      <c r="AD51" s="251">
        <v>0</v>
      </c>
      <c r="AE51" s="97">
        <v>0</v>
      </c>
      <c r="AF51" s="89">
        <v>0</v>
      </c>
      <c r="AG51" s="115">
        <v>0</v>
      </c>
      <c r="AH51" s="93">
        <v>0</v>
      </c>
      <c r="AI51" s="104">
        <v>0</v>
      </c>
      <c r="AJ51" s="248" t="s">
        <v>49</v>
      </c>
      <c r="AK51" s="246"/>
      <c r="AL51" s="93">
        <v>0</v>
      </c>
      <c r="AM51" s="104">
        <v>0</v>
      </c>
      <c r="AN51" s="246" t="s">
        <v>0</v>
      </c>
      <c r="AO51" s="246">
        <v>0</v>
      </c>
      <c r="AP51" s="93">
        <v>0</v>
      </c>
      <c r="AQ51" s="112">
        <v>0</v>
      </c>
      <c r="AR51" s="114">
        <v>0</v>
      </c>
      <c r="AS51" s="93">
        <v>0</v>
      </c>
      <c r="AT51" s="261">
        <v>1</v>
      </c>
      <c r="AU51" s="260">
        <v>0</v>
      </c>
      <c r="AV51" s="93">
        <v>162.59768267113873</v>
      </c>
      <c r="AW51" s="104">
        <v>449.44887422262252</v>
      </c>
      <c r="AX51" s="93">
        <v>162.59768267113873</v>
      </c>
      <c r="AY51" s="166">
        <v>449.44887422262252</v>
      </c>
      <c r="BA51" s="166"/>
    </row>
    <row r="52" spans="1:53" ht="90">
      <c r="A52" s="113" t="s">
        <v>697</v>
      </c>
      <c r="B52" s="87" t="s">
        <v>1160</v>
      </c>
      <c r="C52" s="246" t="s">
        <v>10</v>
      </c>
      <c r="D52" s="253" t="s">
        <v>1414</v>
      </c>
      <c r="E52" s="253" t="s">
        <v>155</v>
      </c>
      <c r="F52" s="253" t="s">
        <v>1453</v>
      </c>
      <c r="G52" s="253" t="s">
        <v>397</v>
      </c>
      <c r="H52" s="246" t="s">
        <v>109</v>
      </c>
      <c r="I52" s="246" t="s">
        <v>142</v>
      </c>
      <c r="J52" s="246" t="s">
        <v>47</v>
      </c>
      <c r="K52" s="256" t="s">
        <v>142</v>
      </c>
      <c r="L52" s="250" t="s">
        <v>18</v>
      </c>
      <c r="M52" s="90">
        <v>0.5</v>
      </c>
      <c r="N52" s="251">
        <v>1</v>
      </c>
      <c r="O52" s="90">
        <v>1.5</v>
      </c>
      <c r="P52" s="93">
        <v>27.099613778523121</v>
      </c>
      <c r="Q52" s="93">
        <v>54.199227557046243</v>
      </c>
      <c r="R52" s="93">
        <v>74.908145703770415</v>
      </c>
      <c r="S52" s="104">
        <v>149.81629140754083</v>
      </c>
      <c r="T52" s="250" t="s">
        <v>18</v>
      </c>
      <c r="U52" s="90">
        <v>0.5</v>
      </c>
      <c r="V52" s="251">
        <v>1</v>
      </c>
      <c r="W52" s="90">
        <v>1.5</v>
      </c>
      <c r="X52" s="89">
        <v>27.099613778523121</v>
      </c>
      <c r="Y52" s="89">
        <v>54.199227557046243</v>
      </c>
      <c r="Z52" s="147">
        <v>74.908145703770415</v>
      </c>
      <c r="AA52" s="147">
        <v>149.81629140754083</v>
      </c>
      <c r="AB52" s="250" t="s">
        <v>107</v>
      </c>
      <c r="AC52" s="90">
        <v>0</v>
      </c>
      <c r="AD52" s="251">
        <v>0</v>
      </c>
      <c r="AE52" s="97">
        <v>0</v>
      </c>
      <c r="AF52" s="89">
        <v>0</v>
      </c>
      <c r="AG52" s="115">
        <v>0</v>
      </c>
      <c r="AH52" s="93">
        <v>0</v>
      </c>
      <c r="AI52" s="104">
        <v>0</v>
      </c>
      <c r="AJ52" s="248" t="s">
        <v>49</v>
      </c>
      <c r="AK52" s="246"/>
      <c r="AL52" s="93">
        <v>0</v>
      </c>
      <c r="AM52" s="104">
        <v>0</v>
      </c>
      <c r="AN52" s="246" t="s">
        <v>0</v>
      </c>
      <c r="AO52" s="246">
        <v>0</v>
      </c>
      <c r="AP52" s="93">
        <v>0</v>
      </c>
      <c r="AQ52" s="112">
        <v>0</v>
      </c>
      <c r="AR52" s="114">
        <v>557.32438020070174</v>
      </c>
      <c r="AS52" s="93">
        <v>606.48040436208578</v>
      </c>
      <c r="AT52" s="261">
        <v>1</v>
      </c>
      <c r="AU52" s="260">
        <v>0</v>
      </c>
      <c r="AV52" s="93">
        <v>162.59768267113873</v>
      </c>
      <c r="AW52" s="104">
        <v>449.44887422262252</v>
      </c>
      <c r="AX52" s="93">
        <v>719.92206287184047</v>
      </c>
      <c r="AY52" s="166">
        <v>1055.9292785847083</v>
      </c>
      <c r="BA52" s="166"/>
    </row>
    <row r="53" spans="1:53" ht="90">
      <c r="A53" s="113" t="s">
        <v>698</v>
      </c>
      <c r="B53" s="87" t="s">
        <v>1161</v>
      </c>
      <c r="C53" s="246" t="s">
        <v>10</v>
      </c>
      <c r="D53" s="253" t="s">
        <v>1414</v>
      </c>
      <c r="E53" s="253" t="s">
        <v>155</v>
      </c>
      <c r="F53" s="253" t="s">
        <v>1453</v>
      </c>
      <c r="G53" s="253" t="s">
        <v>237</v>
      </c>
      <c r="H53" s="246" t="s">
        <v>109</v>
      </c>
      <c r="I53" s="246" t="s">
        <v>142</v>
      </c>
      <c r="J53" s="246" t="s">
        <v>47</v>
      </c>
      <c r="K53" s="256" t="s">
        <v>49</v>
      </c>
      <c r="L53" s="250" t="s">
        <v>18</v>
      </c>
      <c r="M53" s="90">
        <v>0.5</v>
      </c>
      <c r="N53" s="251">
        <v>0.75</v>
      </c>
      <c r="O53" s="90">
        <v>1.25</v>
      </c>
      <c r="P53" s="93">
        <v>27.099613778523121</v>
      </c>
      <c r="Q53" s="93">
        <v>40.649420667784682</v>
      </c>
      <c r="R53" s="93">
        <v>74.908145703770415</v>
      </c>
      <c r="S53" s="104">
        <v>112.3622185556556</v>
      </c>
      <c r="T53" s="250" t="s">
        <v>18</v>
      </c>
      <c r="U53" s="90">
        <v>0.5</v>
      </c>
      <c r="V53" s="251">
        <v>0.75</v>
      </c>
      <c r="W53" s="90">
        <v>1.25</v>
      </c>
      <c r="X53" s="89">
        <v>27.099613778523121</v>
      </c>
      <c r="Y53" s="89">
        <v>40.649420667784682</v>
      </c>
      <c r="Z53" s="147">
        <v>74.908145703770415</v>
      </c>
      <c r="AA53" s="147">
        <v>112.3622185556556</v>
      </c>
      <c r="AB53" s="250" t="s">
        <v>107</v>
      </c>
      <c r="AC53" s="90">
        <v>0</v>
      </c>
      <c r="AD53" s="252">
        <v>0</v>
      </c>
      <c r="AE53" s="97">
        <v>0</v>
      </c>
      <c r="AF53" s="89">
        <v>0</v>
      </c>
      <c r="AG53" s="115">
        <v>0</v>
      </c>
      <c r="AH53" s="93">
        <v>0</v>
      </c>
      <c r="AI53" s="104">
        <v>0</v>
      </c>
      <c r="AJ53" s="248" t="s">
        <v>49</v>
      </c>
      <c r="AK53" s="246"/>
      <c r="AL53" s="93">
        <v>0</v>
      </c>
      <c r="AM53" s="104">
        <v>0</v>
      </c>
      <c r="AN53" s="246" t="s">
        <v>0</v>
      </c>
      <c r="AO53" s="246">
        <v>0</v>
      </c>
      <c r="AP53" s="93">
        <v>0</v>
      </c>
      <c r="AQ53" s="112">
        <v>0</v>
      </c>
      <c r="AR53" s="114">
        <v>0</v>
      </c>
      <c r="AS53" s="93">
        <v>0</v>
      </c>
      <c r="AT53" s="261">
        <v>1</v>
      </c>
      <c r="AU53" s="260">
        <v>0</v>
      </c>
      <c r="AV53" s="93">
        <v>135.49806889261561</v>
      </c>
      <c r="AW53" s="104">
        <v>374.54072851885201</v>
      </c>
      <c r="AX53" s="93">
        <v>135.49806889261561</v>
      </c>
      <c r="AY53" s="166">
        <v>374.54072851885201</v>
      </c>
      <c r="BA53" s="166"/>
    </row>
    <row r="54" spans="1:53" ht="90">
      <c r="A54" s="113" t="s">
        <v>699</v>
      </c>
      <c r="B54" s="87" t="s">
        <v>1162</v>
      </c>
      <c r="C54" s="246" t="s">
        <v>10</v>
      </c>
      <c r="D54" s="253" t="s">
        <v>1414</v>
      </c>
      <c r="E54" s="253" t="s">
        <v>155</v>
      </c>
      <c r="F54" s="253" t="s">
        <v>1453</v>
      </c>
      <c r="G54" s="253" t="s">
        <v>396</v>
      </c>
      <c r="H54" s="246" t="s">
        <v>109</v>
      </c>
      <c r="I54" s="246" t="s">
        <v>142</v>
      </c>
      <c r="J54" s="246" t="s">
        <v>47</v>
      </c>
      <c r="K54" s="256" t="s">
        <v>142</v>
      </c>
      <c r="L54" s="250" t="s">
        <v>18</v>
      </c>
      <c r="M54" s="90">
        <v>0.5</v>
      </c>
      <c r="N54" s="251">
        <v>0.75</v>
      </c>
      <c r="O54" s="90">
        <v>1.25</v>
      </c>
      <c r="P54" s="93">
        <v>27.099613778523121</v>
      </c>
      <c r="Q54" s="93">
        <v>40.649420667784682</v>
      </c>
      <c r="R54" s="93">
        <v>74.908145703770415</v>
      </c>
      <c r="S54" s="104">
        <v>112.3622185556556</v>
      </c>
      <c r="T54" s="250" t="s">
        <v>18</v>
      </c>
      <c r="U54" s="90">
        <v>0.5</v>
      </c>
      <c r="V54" s="251">
        <v>0.75</v>
      </c>
      <c r="W54" s="90">
        <v>1.25</v>
      </c>
      <c r="X54" s="89">
        <v>27.099613778523121</v>
      </c>
      <c r="Y54" s="89">
        <v>40.649420667784682</v>
      </c>
      <c r="Z54" s="147">
        <v>74.908145703770415</v>
      </c>
      <c r="AA54" s="147">
        <v>112.3622185556556</v>
      </c>
      <c r="AB54" s="250" t="s">
        <v>107</v>
      </c>
      <c r="AC54" s="90">
        <v>0</v>
      </c>
      <c r="AD54" s="252">
        <v>0</v>
      </c>
      <c r="AE54" s="97">
        <v>0</v>
      </c>
      <c r="AF54" s="89">
        <v>0</v>
      </c>
      <c r="AG54" s="115">
        <v>0</v>
      </c>
      <c r="AH54" s="93">
        <v>0</v>
      </c>
      <c r="AI54" s="104">
        <v>0</v>
      </c>
      <c r="AJ54" s="248" t="s">
        <v>49</v>
      </c>
      <c r="AK54" s="246"/>
      <c r="AL54" s="93">
        <v>0</v>
      </c>
      <c r="AM54" s="104">
        <v>0</v>
      </c>
      <c r="AN54" s="246" t="s">
        <v>0</v>
      </c>
      <c r="AO54" s="246">
        <v>0</v>
      </c>
      <c r="AP54" s="93">
        <v>0</v>
      </c>
      <c r="AQ54" s="112">
        <v>0</v>
      </c>
      <c r="AR54" s="114">
        <v>557.32438020070174</v>
      </c>
      <c r="AS54" s="93">
        <v>606.48040436208578</v>
      </c>
      <c r="AT54" s="261">
        <v>1</v>
      </c>
      <c r="AU54" s="260">
        <v>0</v>
      </c>
      <c r="AV54" s="93">
        <v>135.49806889261561</v>
      </c>
      <c r="AW54" s="104">
        <v>374.54072851885201</v>
      </c>
      <c r="AX54" s="93">
        <v>692.82244909331735</v>
      </c>
      <c r="AY54" s="166">
        <v>981.02113288093778</v>
      </c>
      <c r="BA54" s="166"/>
    </row>
    <row r="55" spans="1:53" ht="90">
      <c r="A55" s="113" t="s">
        <v>700</v>
      </c>
      <c r="B55" s="87" t="s">
        <v>1163</v>
      </c>
      <c r="C55" s="246" t="s">
        <v>10</v>
      </c>
      <c r="D55" s="253" t="s">
        <v>1414</v>
      </c>
      <c r="E55" s="253" t="s">
        <v>155</v>
      </c>
      <c r="F55" s="253" t="s">
        <v>1453</v>
      </c>
      <c r="G55" s="253" t="s">
        <v>238</v>
      </c>
      <c r="H55" s="246" t="s">
        <v>109</v>
      </c>
      <c r="I55" s="246" t="s">
        <v>142</v>
      </c>
      <c r="J55" s="246" t="s">
        <v>113</v>
      </c>
      <c r="K55" s="256" t="s">
        <v>49</v>
      </c>
      <c r="L55" s="250" t="s">
        <v>18</v>
      </c>
      <c r="M55" s="90">
        <v>0.5</v>
      </c>
      <c r="N55" s="251">
        <v>1</v>
      </c>
      <c r="O55" s="90">
        <v>1.5</v>
      </c>
      <c r="P55" s="93">
        <v>37.951648559259922</v>
      </c>
      <c r="Q55" s="93">
        <v>75.903297118519845</v>
      </c>
      <c r="R55" s="93">
        <v>104.90509729066193</v>
      </c>
      <c r="S55" s="104">
        <v>209.81019458132386</v>
      </c>
      <c r="T55" s="250" t="s">
        <v>18</v>
      </c>
      <c r="U55" s="90">
        <v>0.5</v>
      </c>
      <c r="V55" s="251">
        <v>1</v>
      </c>
      <c r="W55" s="90">
        <v>1.5</v>
      </c>
      <c r="X55" s="89">
        <v>37.951648559259922</v>
      </c>
      <c r="Y55" s="89">
        <v>75.903297118519845</v>
      </c>
      <c r="Z55" s="147">
        <v>104.90509729066193</v>
      </c>
      <c r="AA55" s="147">
        <v>209.81019458132386</v>
      </c>
      <c r="AB55" s="250" t="s">
        <v>107</v>
      </c>
      <c r="AC55" s="90">
        <v>0</v>
      </c>
      <c r="AD55" s="251">
        <v>0</v>
      </c>
      <c r="AE55" s="97">
        <v>0</v>
      </c>
      <c r="AF55" s="89">
        <v>0</v>
      </c>
      <c r="AG55" s="115">
        <v>0</v>
      </c>
      <c r="AH55" s="93">
        <v>0</v>
      </c>
      <c r="AI55" s="104">
        <v>0</v>
      </c>
      <c r="AJ55" s="248" t="s">
        <v>49</v>
      </c>
      <c r="AK55" s="246"/>
      <c r="AL55" s="93">
        <v>0</v>
      </c>
      <c r="AM55" s="104">
        <v>0</v>
      </c>
      <c r="AN55" s="246" t="s">
        <v>0</v>
      </c>
      <c r="AO55" s="246">
        <v>0</v>
      </c>
      <c r="AP55" s="93">
        <v>0</v>
      </c>
      <c r="AQ55" s="112">
        <v>0</v>
      </c>
      <c r="AR55" s="114">
        <v>0</v>
      </c>
      <c r="AS55" s="93">
        <v>0</v>
      </c>
      <c r="AT55" s="261">
        <v>1</v>
      </c>
      <c r="AU55" s="260">
        <v>0</v>
      </c>
      <c r="AV55" s="93">
        <v>227.70989135555953</v>
      </c>
      <c r="AW55" s="104">
        <v>629.43058374397151</v>
      </c>
      <c r="AX55" s="93">
        <v>227.70989135555953</v>
      </c>
      <c r="AY55" s="166">
        <v>629.43058374397151</v>
      </c>
      <c r="BA55" s="166"/>
    </row>
    <row r="56" spans="1:53" ht="90">
      <c r="A56" s="113" t="s">
        <v>701</v>
      </c>
      <c r="B56" s="87" t="s">
        <v>692</v>
      </c>
      <c r="C56" s="246" t="s">
        <v>10</v>
      </c>
      <c r="D56" s="253" t="s">
        <v>1414</v>
      </c>
      <c r="E56" s="253" t="s">
        <v>155</v>
      </c>
      <c r="F56" s="253" t="s">
        <v>1453</v>
      </c>
      <c r="G56" s="253" t="s">
        <v>394</v>
      </c>
      <c r="H56" s="246" t="s">
        <v>109</v>
      </c>
      <c r="I56" s="246" t="s">
        <v>142</v>
      </c>
      <c r="J56" s="246" t="s">
        <v>113</v>
      </c>
      <c r="K56" s="256" t="s">
        <v>142</v>
      </c>
      <c r="L56" s="250" t="s">
        <v>18</v>
      </c>
      <c r="M56" s="90">
        <v>0.5</v>
      </c>
      <c r="N56" s="251">
        <v>1</v>
      </c>
      <c r="O56" s="90">
        <v>1.5</v>
      </c>
      <c r="P56" s="93">
        <v>37.951648559259922</v>
      </c>
      <c r="Q56" s="93">
        <v>75.903297118519845</v>
      </c>
      <c r="R56" s="93">
        <v>104.90509729066193</v>
      </c>
      <c r="S56" s="104">
        <v>209.81019458132386</v>
      </c>
      <c r="T56" s="250" t="s">
        <v>18</v>
      </c>
      <c r="U56" s="90">
        <v>0.5</v>
      </c>
      <c r="V56" s="251">
        <v>1</v>
      </c>
      <c r="W56" s="90">
        <v>1.5</v>
      </c>
      <c r="X56" s="89">
        <v>37.951648559259922</v>
      </c>
      <c r="Y56" s="89">
        <v>75.903297118519845</v>
      </c>
      <c r="Z56" s="147">
        <v>104.90509729066193</v>
      </c>
      <c r="AA56" s="147">
        <v>209.81019458132386</v>
      </c>
      <c r="AB56" s="250" t="s">
        <v>107</v>
      </c>
      <c r="AC56" s="90">
        <v>0</v>
      </c>
      <c r="AD56" s="251">
        <v>0</v>
      </c>
      <c r="AE56" s="97">
        <v>0</v>
      </c>
      <c r="AF56" s="89">
        <v>0</v>
      </c>
      <c r="AG56" s="115">
        <v>0</v>
      </c>
      <c r="AH56" s="93">
        <v>0</v>
      </c>
      <c r="AI56" s="104">
        <v>0</v>
      </c>
      <c r="AJ56" s="248" t="s">
        <v>49</v>
      </c>
      <c r="AK56" s="246"/>
      <c r="AL56" s="93">
        <v>0</v>
      </c>
      <c r="AM56" s="104">
        <v>0</v>
      </c>
      <c r="AN56" s="246" t="s">
        <v>0</v>
      </c>
      <c r="AO56" s="246">
        <v>0</v>
      </c>
      <c r="AP56" s="93">
        <v>0</v>
      </c>
      <c r="AQ56" s="112">
        <v>0</v>
      </c>
      <c r="AR56" s="114">
        <v>557.32438020070174</v>
      </c>
      <c r="AS56" s="93">
        <v>606.48040436208578</v>
      </c>
      <c r="AT56" s="261">
        <v>1</v>
      </c>
      <c r="AU56" s="260">
        <v>0</v>
      </c>
      <c r="AV56" s="93">
        <v>227.70989135555953</v>
      </c>
      <c r="AW56" s="104">
        <v>629.43058374397151</v>
      </c>
      <c r="AX56" s="93">
        <v>785.03427155626127</v>
      </c>
      <c r="AY56" s="166">
        <v>1235.9109881060572</v>
      </c>
      <c r="BA56" s="166"/>
    </row>
    <row r="57" spans="1:53" ht="90">
      <c r="A57" s="113" t="s">
        <v>702</v>
      </c>
      <c r="B57" s="87" t="s">
        <v>693</v>
      </c>
      <c r="C57" s="246" t="s">
        <v>10</v>
      </c>
      <c r="D57" s="253" t="s">
        <v>1414</v>
      </c>
      <c r="E57" s="253" t="s">
        <v>155</v>
      </c>
      <c r="F57" s="253" t="s">
        <v>1453</v>
      </c>
      <c r="G57" s="253" t="s">
        <v>239</v>
      </c>
      <c r="H57" s="246" t="s">
        <v>109</v>
      </c>
      <c r="I57" s="246" t="s">
        <v>142</v>
      </c>
      <c r="J57" s="246" t="s">
        <v>113</v>
      </c>
      <c r="K57" s="256" t="s">
        <v>49</v>
      </c>
      <c r="L57" s="250" t="s">
        <v>18</v>
      </c>
      <c r="M57" s="90">
        <v>0.5</v>
      </c>
      <c r="N57" s="251">
        <v>0.75</v>
      </c>
      <c r="O57" s="90">
        <v>1.25</v>
      </c>
      <c r="P57" s="93">
        <v>37.951648559259922</v>
      </c>
      <c r="Q57" s="93">
        <v>56.927472838889884</v>
      </c>
      <c r="R57" s="93">
        <v>104.90509729066193</v>
      </c>
      <c r="S57" s="104">
        <v>157.35764593599291</v>
      </c>
      <c r="T57" s="250" t="s">
        <v>18</v>
      </c>
      <c r="U57" s="90">
        <v>0.5</v>
      </c>
      <c r="V57" s="251">
        <v>0.75</v>
      </c>
      <c r="W57" s="90">
        <v>1.25</v>
      </c>
      <c r="X57" s="89">
        <v>37.951648559259922</v>
      </c>
      <c r="Y57" s="89">
        <v>56.927472838889884</v>
      </c>
      <c r="Z57" s="147">
        <v>104.90509729066193</v>
      </c>
      <c r="AA57" s="147">
        <v>157.35764593599291</v>
      </c>
      <c r="AB57" s="250" t="s">
        <v>107</v>
      </c>
      <c r="AC57" s="90">
        <v>0</v>
      </c>
      <c r="AD57" s="252">
        <v>0</v>
      </c>
      <c r="AE57" s="97">
        <v>0</v>
      </c>
      <c r="AF57" s="89">
        <v>0</v>
      </c>
      <c r="AG57" s="115">
        <v>0</v>
      </c>
      <c r="AH57" s="93">
        <v>0</v>
      </c>
      <c r="AI57" s="104">
        <v>0</v>
      </c>
      <c r="AJ57" s="248" t="s">
        <v>49</v>
      </c>
      <c r="AK57" s="246"/>
      <c r="AL57" s="93">
        <v>0</v>
      </c>
      <c r="AM57" s="104">
        <v>0</v>
      </c>
      <c r="AN57" s="246" t="s">
        <v>0</v>
      </c>
      <c r="AO57" s="246">
        <v>0</v>
      </c>
      <c r="AP57" s="93">
        <v>0</v>
      </c>
      <c r="AQ57" s="112">
        <v>0</v>
      </c>
      <c r="AR57" s="114">
        <v>0</v>
      </c>
      <c r="AS57" s="93">
        <v>0</v>
      </c>
      <c r="AT57" s="261">
        <v>1</v>
      </c>
      <c r="AU57" s="260">
        <v>0</v>
      </c>
      <c r="AV57" s="93">
        <v>189.75824279629961</v>
      </c>
      <c r="AW57" s="104">
        <v>524.52548645330967</v>
      </c>
      <c r="AX57" s="93">
        <v>189.75824279629961</v>
      </c>
      <c r="AY57" s="166">
        <v>524.52548645330967</v>
      </c>
      <c r="BA57" s="166"/>
    </row>
    <row r="58" spans="1:53" ht="90">
      <c r="A58" s="113" t="s">
        <v>703</v>
      </c>
      <c r="B58" s="87" t="s">
        <v>1164</v>
      </c>
      <c r="C58" s="246" t="s">
        <v>10</v>
      </c>
      <c r="D58" s="253" t="s">
        <v>1414</v>
      </c>
      <c r="E58" s="253" t="s">
        <v>155</v>
      </c>
      <c r="F58" s="253" t="s">
        <v>1453</v>
      </c>
      <c r="G58" s="253" t="s">
        <v>395</v>
      </c>
      <c r="H58" s="246" t="s">
        <v>109</v>
      </c>
      <c r="I58" s="246" t="s">
        <v>142</v>
      </c>
      <c r="J58" s="246" t="s">
        <v>113</v>
      </c>
      <c r="K58" s="256" t="s">
        <v>142</v>
      </c>
      <c r="L58" s="250" t="s">
        <v>18</v>
      </c>
      <c r="M58" s="90">
        <v>0.5</v>
      </c>
      <c r="N58" s="251">
        <v>0.75</v>
      </c>
      <c r="O58" s="90">
        <v>1.25</v>
      </c>
      <c r="P58" s="93">
        <v>37.951648559259922</v>
      </c>
      <c r="Q58" s="93">
        <v>56.927472838889884</v>
      </c>
      <c r="R58" s="93">
        <v>104.90509729066193</v>
      </c>
      <c r="S58" s="104">
        <v>157.35764593599291</v>
      </c>
      <c r="T58" s="250" t="s">
        <v>18</v>
      </c>
      <c r="U58" s="90">
        <v>0.5</v>
      </c>
      <c r="V58" s="251">
        <v>0.75</v>
      </c>
      <c r="W58" s="90">
        <v>1.25</v>
      </c>
      <c r="X58" s="89">
        <v>37.951648559259922</v>
      </c>
      <c r="Y58" s="89">
        <v>56.927472838889884</v>
      </c>
      <c r="Z58" s="147">
        <v>104.90509729066193</v>
      </c>
      <c r="AA58" s="147">
        <v>157.35764593599291</v>
      </c>
      <c r="AB58" s="250" t="s">
        <v>107</v>
      </c>
      <c r="AC58" s="90">
        <v>0</v>
      </c>
      <c r="AD58" s="252">
        <v>0</v>
      </c>
      <c r="AE58" s="97">
        <v>0</v>
      </c>
      <c r="AF58" s="89">
        <v>0</v>
      </c>
      <c r="AG58" s="115">
        <v>0</v>
      </c>
      <c r="AH58" s="93">
        <v>0</v>
      </c>
      <c r="AI58" s="104">
        <v>0</v>
      </c>
      <c r="AJ58" s="248" t="s">
        <v>49</v>
      </c>
      <c r="AK58" s="246"/>
      <c r="AL58" s="93">
        <v>0</v>
      </c>
      <c r="AM58" s="104">
        <v>0</v>
      </c>
      <c r="AN58" s="246" t="s">
        <v>0</v>
      </c>
      <c r="AO58" s="246">
        <v>0</v>
      </c>
      <c r="AP58" s="93">
        <v>0</v>
      </c>
      <c r="AQ58" s="112">
        <v>0</v>
      </c>
      <c r="AR58" s="114">
        <v>557.32438020070174</v>
      </c>
      <c r="AS58" s="93">
        <v>606.48040436208578</v>
      </c>
      <c r="AT58" s="261">
        <v>1</v>
      </c>
      <c r="AU58" s="260">
        <v>0</v>
      </c>
      <c r="AV58" s="93">
        <v>189.75824279629961</v>
      </c>
      <c r="AW58" s="104">
        <v>524.52548645330967</v>
      </c>
      <c r="AX58" s="93">
        <v>747.08262299700141</v>
      </c>
      <c r="AY58" s="166">
        <v>1131.0058908153956</v>
      </c>
      <c r="BA58" s="166"/>
    </row>
    <row r="59" spans="1:53" ht="82.5" customHeight="1">
      <c r="A59" s="113" t="s">
        <v>704</v>
      </c>
      <c r="B59" s="87" t="s">
        <v>694</v>
      </c>
      <c r="C59" s="246" t="s">
        <v>10</v>
      </c>
      <c r="D59" s="253" t="s">
        <v>1414</v>
      </c>
      <c r="E59" s="253" t="s">
        <v>155</v>
      </c>
      <c r="F59" s="253" t="s">
        <v>1453</v>
      </c>
      <c r="G59" s="253" t="s">
        <v>411</v>
      </c>
      <c r="H59" s="246" t="s">
        <v>109</v>
      </c>
      <c r="I59" s="246" t="s">
        <v>142</v>
      </c>
      <c r="J59" s="246" t="s">
        <v>113</v>
      </c>
      <c r="K59" s="256" t="s">
        <v>49</v>
      </c>
      <c r="L59" s="250" t="s">
        <v>18</v>
      </c>
      <c r="M59" s="90">
        <v>0.5</v>
      </c>
      <c r="N59" s="251">
        <v>1</v>
      </c>
      <c r="O59" s="90">
        <v>1.5</v>
      </c>
      <c r="P59" s="93">
        <v>37.951648559259922</v>
      </c>
      <c r="Q59" s="93">
        <v>75.903297118519845</v>
      </c>
      <c r="R59" s="93">
        <v>104.90509729066193</v>
      </c>
      <c r="S59" s="104">
        <v>209.81019458132386</v>
      </c>
      <c r="T59" s="250" t="s">
        <v>18</v>
      </c>
      <c r="U59" s="90">
        <v>0.5</v>
      </c>
      <c r="V59" s="251">
        <v>1</v>
      </c>
      <c r="W59" s="90">
        <v>1.5</v>
      </c>
      <c r="X59" s="89">
        <v>37.951648559259922</v>
      </c>
      <c r="Y59" s="89">
        <v>75.903297118519845</v>
      </c>
      <c r="Z59" s="147">
        <v>104.90509729066193</v>
      </c>
      <c r="AA59" s="147">
        <v>209.81019458132386</v>
      </c>
      <c r="AB59" s="250" t="s">
        <v>107</v>
      </c>
      <c r="AC59" s="90">
        <v>0</v>
      </c>
      <c r="AD59" s="252">
        <v>0</v>
      </c>
      <c r="AE59" s="97">
        <v>0</v>
      </c>
      <c r="AF59" s="89">
        <v>0</v>
      </c>
      <c r="AG59" s="115">
        <v>0</v>
      </c>
      <c r="AH59" s="93">
        <v>0</v>
      </c>
      <c r="AI59" s="104">
        <v>0</v>
      </c>
      <c r="AJ59" s="248" t="s">
        <v>49</v>
      </c>
      <c r="AK59" s="246"/>
      <c r="AL59" s="93">
        <v>0</v>
      </c>
      <c r="AM59" s="104">
        <v>0</v>
      </c>
      <c r="AN59" s="246" t="s">
        <v>0</v>
      </c>
      <c r="AO59" s="246">
        <v>0</v>
      </c>
      <c r="AP59" s="93">
        <v>0</v>
      </c>
      <c r="AQ59" s="112">
        <v>0</v>
      </c>
      <c r="AR59" s="114">
        <v>0</v>
      </c>
      <c r="AS59" s="93">
        <v>0</v>
      </c>
      <c r="AT59" s="261">
        <v>1</v>
      </c>
      <c r="AU59" s="260">
        <v>0</v>
      </c>
      <c r="AV59" s="93">
        <v>227.70989135555953</v>
      </c>
      <c r="AW59" s="104">
        <v>629.43058374397151</v>
      </c>
      <c r="AX59" s="93">
        <v>227.70989135555953</v>
      </c>
      <c r="AY59" s="166">
        <v>629.43058374397151</v>
      </c>
      <c r="BA59" s="166"/>
    </row>
    <row r="60" spans="1:53" ht="90">
      <c r="A60" s="113" t="s">
        <v>705</v>
      </c>
      <c r="B60" s="87" t="s">
        <v>695</v>
      </c>
      <c r="C60" s="246" t="s">
        <v>10</v>
      </c>
      <c r="D60" s="253" t="s">
        <v>1414</v>
      </c>
      <c r="E60" s="253" t="s">
        <v>155</v>
      </c>
      <c r="F60" s="253" t="s">
        <v>1453</v>
      </c>
      <c r="G60" s="253" t="s">
        <v>412</v>
      </c>
      <c r="H60" s="246" t="s">
        <v>109</v>
      </c>
      <c r="I60" s="246" t="s">
        <v>142</v>
      </c>
      <c r="J60" s="246" t="s">
        <v>113</v>
      </c>
      <c r="K60" s="256" t="s">
        <v>142</v>
      </c>
      <c r="L60" s="250" t="s">
        <v>18</v>
      </c>
      <c r="M60" s="90">
        <v>0.5</v>
      </c>
      <c r="N60" s="251">
        <v>1</v>
      </c>
      <c r="O60" s="90">
        <v>1.5</v>
      </c>
      <c r="P60" s="93">
        <v>37.951648559259922</v>
      </c>
      <c r="Q60" s="93">
        <v>75.903297118519845</v>
      </c>
      <c r="R60" s="93">
        <v>104.90509729066193</v>
      </c>
      <c r="S60" s="104">
        <v>209.81019458132386</v>
      </c>
      <c r="T60" s="250" t="s">
        <v>18</v>
      </c>
      <c r="U60" s="90">
        <v>0.5</v>
      </c>
      <c r="V60" s="251">
        <v>1</v>
      </c>
      <c r="W60" s="90">
        <v>1.5</v>
      </c>
      <c r="X60" s="89">
        <v>37.951648559259922</v>
      </c>
      <c r="Y60" s="89">
        <v>75.903297118519845</v>
      </c>
      <c r="Z60" s="147">
        <v>104.90509729066193</v>
      </c>
      <c r="AA60" s="147">
        <v>209.81019458132386</v>
      </c>
      <c r="AB60" s="250" t="s">
        <v>107</v>
      </c>
      <c r="AC60" s="90">
        <v>0</v>
      </c>
      <c r="AD60" s="252">
        <v>0</v>
      </c>
      <c r="AE60" s="97">
        <v>0</v>
      </c>
      <c r="AF60" s="89">
        <v>0</v>
      </c>
      <c r="AG60" s="115">
        <v>0</v>
      </c>
      <c r="AH60" s="93">
        <v>0</v>
      </c>
      <c r="AI60" s="104">
        <v>0</v>
      </c>
      <c r="AJ60" s="248" t="s">
        <v>49</v>
      </c>
      <c r="AK60" s="246"/>
      <c r="AL60" s="93">
        <v>0</v>
      </c>
      <c r="AM60" s="104">
        <v>0</v>
      </c>
      <c r="AN60" s="246" t="s">
        <v>0</v>
      </c>
      <c r="AO60" s="246">
        <v>0</v>
      </c>
      <c r="AP60" s="93">
        <v>0</v>
      </c>
      <c r="AQ60" s="112">
        <v>0</v>
      </c>
      <c r="AR60" s="114">
        <v>557.32438020070174</v>
      </c>
      <c r="AS60" s="93">
        <v>606.48040436208578</v>
      </c>
      <c r="AT60" s="261">
        <v>1</v>
      </c>
      <c r="AU60" s="260">
        <v>0</v>
      </c>
      <c r="AV60" s="93">
        <v>227.70989135555953</v>
      </c>
      <c r="AW60" s="104">
        <v>629.43058374397151</v>
      </c>
      <c r="AX60" s="93">
        <v>785.03427155626127</v>
      </c>
      <c r="AY60" s="166">
        <v>1235.9109881060572</v>
      </c>
      <c r="BA60" s="166"/>
    </row>
    <row r="61" spans="1:53" ht="90">
      <c r="A61" s="113" t="s">
        <v>706</v>
      </c>
      <c r="B61" s="87" t="s">
        <v>1165</v>
      </c>
      <c r="C61" s="246" t="s">
        <v>10</v>
      </c>
      <c r="D61" s="253" t="s">
        <v>1414</v>
      </c>
      <c r="E61" s="253" t="s">
        <v>155</v>
      </c>
      <c r="F61" s="253" t="s">
        <v>1453</v>
      </c>
      <c r="G61" s="253" t="s">
        <v>413</v>
      </c>
      <c r="H61" s="246" t="s">
        <v>109</v>
      </c>
      <c r="I61" s="246" t="s">
        <v>142</v>
      </c>
      <c r="J61" s="246" t="s">
        <v>113</v>
      </c>
      <c r="K61" s="256" t="s">
        <v>49</v>
      </c>
      <c r="L61" s="250" t="s">
        <v>18</v>
      </c>
      <c r="M61" s="90">
        <v>0.5</v>
      </c>
      <c r="N61" s="251">
        <v>0.75</v>
      </c>
      <c r="O61" s="90">
        <v>1.25</v>
      </c>
      <c r="P61" s="93">
        <v>37.951648559259922</v>
      </c>
      <c r="Q61" s="93">
        <v>56.927472838889884</v>
      </c>
      <c r="R61" s="93">
        <v>104.90509729066193</v>
      </c>
      <c r="S61" s="104">
        <v>157.35764593599291</v>
      </c>
      <c r="T61" s="250" t="s">
        <v>18</v>
      </c>
      <c r="U61" s="90">
        <v>0.5</v>
      </c>
      <c r="V61" s="251">
        <v>0.75</v>
      </c>
      <c r="W61" s="90">
        <v>1.25</v>
      </c>
      <c r="X61" s="89">
        <v>37.951648559259922</v>
      </c>
      <c r="Y61" s="89">
        <v>56.927472838889884</v>
      </c>
      <c r="Z61" s="147">
        <v>104.90509729066193</v>
      </c>
      <c r="AA61" s="147">
        <v>157.35764593599291</v>
      </c>
      <c r="AB61" s="250" t="s">
        <v>107</v>
      </c>
      <c r="AC61" s="90">
        <v>0</v>
      </c>
      <c r="AD61" s="252">
        <v>0</v>
      </c>
      <c r="AE61" s="97">
        <v>0</v>
      </c>
      <c r="AF61" s="89">
        <v>0</v>
      </c>
      <c r="AG61" s="115">
        <v>0</v>
      </c>
      <c r="AH61" s="93">
        <v>0</v>
      </c>
      <c r="AI61" s="104">
        <v>0</v>
      </c>
      <c r="AJ61" s="248" t="s">
        <v>49</v>
      </c>
      <c r="AK61" s="246"/>
      <c r="AL61" s="93">
        <v>0</v>
      </c>
      <c r="AM61" s="104">
        <v>0</v>
      </c>
      <c r="AN61" s="246" t="s">
        <v>0</v>
      </c>
      <c r="AO61" s="246">
        <v>0</v>
      </c>
      <c r="AP61" s="93">
        <v>0</v>
      </c>
      <c r="AQ61" s="112">
        <v>0</v>
      </c>
      <c r="AR61" s="114">
        <v>0</v>
      </c>
      <c r="AS61" s="93">
        <v>0</v>
      </c>
      <c r="AT61" s="261">
        <v>1</v>
      </c>
      <c r="AU61" s="260">
        <v>0</v>
      </c>
      <c r="AV61" s="93">
        <v>189.75824279629961</v>
      </c>
      <c r="AW61" s="104">
        <v>524.52548645330967</v>
      </c>
      <c r="AX61" s="93">
        <v>189.75824279629961</v>
      </c>
      <c r="AY61" s="166">
        <v>524.52548645330967</v>
      </c>
      <c r="BA61" s="166"/>
    </row>
    <row r="62" spans="1:53" ht="80.25" customHeight="1">
      <c r="A62" s="113" t="s">
        <v>707</v>
      </c>
      <c r="B62" s="87" t="s">
        <v>696</v>
      </c>
      <c r="C62" s="246" t="s">
        <v>10</v>
      </c>
      <c r="D62" s="253" t="s">
        <v>1414</v>
      </c>
      <c r="E62" s="253" t="s">
        <v>155</v>
      </c>
      <c r="F62" s="253" t="s">
        <v>1453</v>
      </c>
      <c r="G62" s="253" t="s">
        <v>414</v>
      </c>
      <c r="H62" s="246" t="s">
        <v>109</v>
      </c>
      <c r="I62" s="246" t="s">
        <v>142</v>
      </c>
      <c r="J62" s="246" t="s">
        <v>113</v>
      </c>
      <c r="K62" s="256" t="s">
        <v>142</v>
      </c>
      <c r="L62" s="250" t="s">
        <v>18</v>
      </c>
      <c r="M62" s="90">
        <v>0.5</v>
      </c>
      <c r="N62" s="251">
        <v>0.75</v>
      </c>
      <c r="O62" s="90">
        <v>1.25</v>
      </c>
      <c r="P62" s="93">
        <v>37.951648559259922</v>
      </c>
      <c r="Q62" s="93">
        <v>56.927472838889884</v>
      </c>
      <c r="R62" s="93">
        <v>104.90509729066193</v>
      </c>
      <c r="S62" s="104">
        <v>157.35764593599291</v>
      </c>
      <c r="T62" s="250" t="s">
        <v>18</v>
      </c>
      <c r="U62" s="90">
        <v>0.5</v>
      </c>
      <c r="V62" s="251">
        <v>0.75</v>
      </c>
      <c r="W62" s="90">
        <v>1.25</v>
      </c>
      <c r="X62" s="89">
        <v>37.951648559259922</v>
      </c>
      <c r="Y62" s="89">
        <v>56.927472838889884</v>
      </c>
      <c r="Z62" s="147">
        <v>104.90509729066193</v>
      </c>
      <c r="AA62" s="147">
        <v>157.35764593599291</v>
      </c>
      <c r="AB62" s="250" t="s">
        <v>107</v>
      </c>
      <c r="AC62" s="90">
        <v>0</v>
      </c>
      <c r="AD62" s="252">
        <v>0</v>
      </c>
      <c r="AE62" s="97">
        <v>0</v>
      </c>
      <c r="AF62" s="89">
        <v>0</v>
      </c>
      <c r="AG62" s="115">
        <v>0</v>
      </c>
      <c r="AH62" s="93">
        <v>0</v>
      </c>
      <c r="AI62" s="104">
        <v>0</v>
      </c>
      <c r="AJ62" s="248" t="s">
        <v>49</v>
      </c>
      <c r="AK62" s="246"/>
      <c r="AL62" s="93">
        <v>0</v>
      </c>
      <c r="AM62" s="104">
        <v>0</v>
      </c>
      <c r="AN62" s="246" t="s">
        <v>0</v>
      </c>
      <c r="AO62" s="246">
        <v>0</v>
      </c>
      <c r="AP62" s="93">
        <v>0</v>
      </c>
      <c r="AQ62" s="112">
        <v>0</v>
      </c>
      <c r="AR62" s="114">
        <v>557.32438020070174</v>
      </c>
      <c r="AS62" s="93">
        <v>606.48040436208578</v>
      </c>
      <c r="AT62" s="261">
        <v>1</v>
      </c>
      <c r="AU62" s="260">
        <v>0</v>
      </c>
      <c r="AV62" s="93">
        <v>189.75824279629961</v>
      </c>
      <c r="AW62" s="104">
        <v>524.52548645330967</v>
      </c>
      <c r="AX62" s="93">
        <v>747.08262299700141</v>
      </c>
      <c r="AY62" s="166">
        <v>1131.0058908153956</v>
      </c>
      <c r="BA62" s="166"/>
    </row>
    <row r="63" spans="1:53" ht="90">
      <c r="A63" s="113" t="s">
        <v>708</v>
      </c>
      <c r="B63" s="87" t="s">
        <v>697</v>
      </c>
      <c r="C63" s="246" t="s">
        <v>10</v>
      </c>
      <c r="D63" s="253" t="s">
        <v>1414</v>
      </c>
      <c r="E63" s="253" t="s">
        <v>155</v>
      </c>
      <c r="F63" s="253" t="s">
        <v>1458</v>
      </c>
      <c r="G63" s="253" t="s">
        <v>792</v>
      </c>
      <c r="H63" s="246" t="s">
        <v>109</v>
      </c>
      <c r="I63" s="246" t="s">
        <v>49</v>
      </c>
      <c r="J63" s="246" t="s">
        <v>47</v>
      </c>
      <c r="K63" s="256" t="s">
        <v>49</v>
      </c>
      <c r="L63" s="250" t="s">
        <v>18</v>
      </c>
      <c r="M63" s="90">
        <v>0</v>
      </c>
      <c r="N63" s="251">
        <v>1</v>
      </c>
      <c r="O63" s="90">
        <v>1</v>
      </c>
      <c r="P63" s="93">
        <v>0</v>
      </c>
      <c r="Q63" s="93">
        <v>54.199227557046243</v>
      </c>
      <c r="R63" s="93">
        <v>0</v>
      </c>
      <c r="S63" s="104">
        <v>149.81629140754083</v>
      </c>
      <c r="T63" s="250" t="s">
        <v>18</v>
      </c>
      <c r="U63" s="90">
        <v>0</v>
      </c>
      <c r="V63" s="251">
        <v>1</v>
      </c>
      <c r="W63" s="90">
        <v>1</v>
      </c>
      <c r="X63" s="89">
        <v>0</v>
      </c>
      <c r="Y63" s="89">
        <v>54.199227557046243</v>
      </c>
      <c r="Z63" s="147">
        <v>0</v>
      </c>
      <c r="AA63" s="147">
        <v>149.81629140754083</v>
      </c>
      <c r="AB63" s="250" t="s">
        <v>107</v>
      </c>
      <c r="AC63" s="90">
        <v>0</v>
      </c>
      <c r="AD63" s="252">
        <v>0</v>
      </c>
      <c r="AE63" s="97">
        <v>0</v>
      </c>
      <c r="AF63" s="89">
        <v>0</v>
      </c>
      <c r="AG63" s="115">
        <v>0</v>
      </c>
      <c r="AH63" s="93">
        <v>0</v>
      </c>
      <c r="AI63" s="104">
        <v>0</v>
      </c>
      <c r="AJ63" s="248" t="s">
        <v>49</v>
      </c>
      <c r="AK63" s="246"/>
      <c r="AL63" s="93">
        <v>0</v>
      </c>
      <c r="AM63" s="104">
        <v>0</v>
      </c>
      <c r="AN63" s="246" t="s">
        <v>0</v>
      </c>
      <c r="AO63" s="246">
        <v>0</v>
      </c>
      <c r="AP63" s="93">
        <v>0</v>
      </c>
      <c r="AQ63" s="112">
        <v>0</v>
      </c>
      <c r="AR63" s="114">
        <v>0</v>
      </c>
      <c r="AS63" s="93">
        <v>0</v>
      </c>
      <c r="AT63" s="261">
        <v>1</v>
      </c>
      <c r="AU63" s="260">
        <v>0</v>
      </c>
      <c r="AV63" s="93">
        <v>108.39845511409249</v>
      </c>
      <c r="AW63" s="104">
        <v>299.63258281508166</v>
      </c>
      <c r="AX63" s="93">
        <v>108.39845511409249</v>
      </c>
      <c r="AY63" s="166">
        <v>299.63258281508166</v>
      </c>
      <c r="BA63" s="166"/>
    </row>
    <row r="64" spans="1:53" ht="90">
      <c r="A64" s="113" t="s">
        <v>709</v>
      </c>
      <c r="B64" s="87" t="s">
        <v>698</v>
      </c>
      <c r="C64" s="246" t="s">
        <v>10</v>
      </c>
      <c r="D64" s="253" t="s">
        <v>1414</v>
      </c>
      <c r="E64" s="253" t="s">
        <v>155</v>
      </c>
      <c r="F64" s="253" t="s">
        <v>1459</v>
      </c>
      <c r="G64" s="253" t="s">
        <v>793</v>
      </c>
      <c r="H64" s="246" t="s">
        <v>109</v>
      </c>
      <c r="I64" s="246" t="s">
        <v>49</v>
      </c>
      <c r="J64" s="246" t="s">
        <v>47</v>
      </c>
      <c r="K64" s="256" t="s">
        <v>49</v>
      </c>
      <c r="L64" s="250" t="s">
        <v>18</v>
      </c>
      <c r="M64" s="90">
        <v>0</v>
      </c>
      <c r="N64" s="251">
        <v>0.5</v>
      </c>
      <c r="O64" s="90">
        <v>0.5</v>
      </c>
      <c r="P64" s="93">
        <v>0</v>
      </c>
      <c r="Q64" s="93">
        <v>27.099613778523121</v>
      </c>
      <c r="R64" s="93">
        <v>0</v>
      </c>
      <c r="S64" s="104">
        <v>74.908145703770415</v>
      </c>
      <c r="T64" s="250" t="s">
        <v>107</v>
      </c>
      <c r="U64" s="90">
        <v>0</v>
      </c>
      <c r="V64" s="251">
        <v>0</v>
      </c>
      <c r="W64" s="90">
        <v>0</v>
      </c>
      <c r="X64" s="89">
        <v>0</v>
      </c>
      <c r="Y64" s="89">
        <v>0</v>
      </c>
      <c r="Z64" s="147">
        <v>0</v>
      </c>
      <c r="AA64" s="147">
        <v>0</v>
      </c>
      <c r="AB64" s="250" t="s">
        <v>107</v>
      </c>
      <c r="AC64" s="90">
        <v>0</v>
      </c>
      <c r="AD64" s="252">
        <v>0</v>
      </c>
      <c r="AE64" s="97">
        <v>0</v>
      </c>
      <c r="AF64" s="89">
        <v>0</v>
      </c>
      <c r="AG64" s="115">
        <v>0</v>
      </c>
      <c r="AH64" s="93">
        <v>0</v>
      </c>
      <c r="AI64" s="104">
        <v>0</v>
      </c>
      <c r="AJ64" s="248" t="s">
        <v>49</v>
      </c>
      <c r="AK64" s="246"/>
      <c r="AL64" s="93">
        <v>0</v>
      </c>
      <c r="AM64" s="104">
        <v>0</v>
      </c>
      <c r="AN64" s="246" t="s">
        <v>0</v>
      </c>
      <c r="AO64" s="246">
        <v>0</v>
      </c>
      <c r="AP64" s="93">
        <v>0</v>
      </c>
      <c r="AQ64" s="112">
        <v>0</v>
      </c>
      <c r="AR64" s="114">
        <v>0</v>
      </c>
      <c r="AS64" s="93">
        <v>0</v>
      </c>
      <c r="AT64" s="261">
        <v>1</v>
      </c>
      <c r="AU64" s="260">
        <v>0</v>
      </c>
      <c r="AV64" s="93">
        <v>27.099613778523121</v>
      </c>
      <c r="AW64" s="104">
        <v>74.908145703770415</v>
      </c>
      <c r="AX64" s="93">
        <v>27.099613778523121</v>
      </c>
      <c r="AY64" s="166">
        <v>74.908145703770415</v>
      </c>
      <c r="BA64" s="166"/>
    </row>
    <row r="65" spans="1:53" ht="90">
      <c r="A65" s="113" t="s">
        <v>710</v>
      </c>
      <c r="B65" s="87" t="s">
        <v>699</v>
      </c>
      <c r="C65" s="246" t="s">
        <v>10</v>
      </c>
      <c r="D65" s="253" t="s">
        <v>1414</v>
      </c>
      <c r="E65" s="253" t="s">
        <v>155</v>
      </c>
      <c r="F65" s="253" t="s">
        <v>1458</v>
      </c>
      <c r="G65" s="253" t="s">
        <v>794</v>
      </c>
      <c r="H65" s="246" t="s">
        <v>109</v>
      </c>
      <c r="I65" s="246" t="s">
        <v>49</v>
      </c>
      <c r="J65" s="246" t="s">
        <v>113</v>
      </c>
      <c r="K65" s="256" t="s">
        <v>49</v>
      </c>
      <c r="L65" s="250" t="s">
        <v>18</v>
      </c>
      <c r="M65" s="90">
        <v>0</v>
      </c>
      <c r="N65" s="251">
        <v>1</v>
      </c>
      <c r="O65" s="90">
        <v>1</v>
      </c>
      <c r="P65" s="93">
        <v>0</v>
      </c>
      <c r="Q65" s="93">
        <v>75.903297118519845</v>
      </c>
      <c r="R65" s="93">
        <v>0</v>
      </c>
      <c r="S65" s="104">
        <v>209.81019458132386</v>
      </c>
      <c r="T65" s="250" t="s">
        <v>18</v>
      </c>
      <c r="U65" s="90">
        <v>0</v>
      </c>
      <c r="V65" s="251">
        <v>1</v>
      </c>
      <c r="W65" s="90">
        <v>1</v>
      </c>
      <c r="X65" s="89">
        <v>0</v>
      </c>
      <c r="Y65" s="89">
        <v>75.903297118519845</v>
      </c>
      <c r="Z65" s="147">
        <v>0</v>
      </c>
      <c r="AA65" s="147">
        <v>209.81019458132386</v>
      </c>
      <c r="AB65" s="250" t="s">
        <v>107</v>
      </c>
      <c r="AC65" s="90">
        <v>0</v>
      </c>
      <c r="AD65" s="252">
        <v>0</v>
      </c>
      <c r="AE65" s="97">
        <v>0</v>
      </c>
      <c r="AF65" s="89">
        <v>0</v>
      </c>
      <c r="AG65" s="115">
        <v>0</v>
      </c>
      <c r="AH65" s="93">
        <v>0</v>
      </c>
      <c r="AI65" s="104">
        <v>0</v>
      </c>
      <c r="AJ65" s="248" t="s">
        <v>49</v>
      </c>
      <c r="AK65" s="246"/>
      <c r="AL65" s="93">
        <v>0</v>
      </c>
      <c r="AM65" s="104">
        <v>0</v>
      </c>
      <c r="AN65" s="246" t="s">
        <v>0</v>
      </c>
      <c r="AO65" s="246">
        <v>0</v>
      </c>
      <c r="AP65" s="93">
        <v>0</v>
      </c>
      <c r="AQ65" s="112">
        <v>0</v>
      </c>
      <c r="AR65" s="114">
        <v>0</v>
      </c>
      <c r="AS65" s="93">
        <v>0</v>
      </c>
      <c r="AT65" s="261">
        <v>1</v>
      </c>
      <c r="AU65" s="260">
        <v>0</v>
      </c>
      <c r="AV65" s="93">
        <v>151.80659423703969</v>
      </c>
      <c r="AW65" s="104">
        <v>419.62038916264771</v>
      </c>
      <c r="AX65" s="93">
        <v>151.80659423703969</v>
      </c>
      <c r="AY65" s="166">
        <v>419.62038916264771</v>
      </c>
      <c r="BA65" s="166"/>
    </row>
    <row r="66" spans="1:53" ht="90">
      <c r="A66" s="113" t="s">
        <v>711</v>
      </c>
      <c r="B66" s="87" t="s">
        <v>700</v>
      </c>
      <c r="C66" s="246" t="s">
        <v>10</v>
      </c>
      <c r="D66" s="253" t="s">
        <v>1414</v>
      </c>
      <c r="E66" s="253" t="s">
        <v>155</v>
      </c>
      <c r="F66" s="253" t="s">
        <v>1458</v>
      </c>
      <c r="G66" s="253" t="s">
        <v>795</v>
      </c>
      <c r="H66" s="246" t="s">
        <v>109</v>
      </c>
      <c r="I66" s="246" t="s">
        <v>49</v>
      </c>
      <c r="J66" s="246" t="s">
        <v>113</v>
      </c>
      <c r="K66" s="256" t="s">
        <v>49</v>
      </c>
      <c r="L66" s="250" t="s">
        <v>18</v>
      </c>
      <c r="M66" s="90">
        <v>0</v>
      </c>
      <c r="N66" s="251">
        <v>0.5</v>
      </c>
      <c r="O66" s="90">
        <v>0.5</v>
      </c>
      <c r="P66" s="93">
        <v>0</v>
      </c>
      <c r="Q66" s="93">
        <v>37.951648559259922</v>
      </c>
      <c r="R66" s="93">
        <v>0</v>
      </c>
      <c r="S66" s="104">
        <v>104.90509729066193</v>
      </c>
      <c r="T66" s="250" t="s">
        <v>107</v>
      </c>
      <c r="U66" s="90">
        <v>0</v>
      </c>
      <c r="V66" s="251">
        <v>0</v>
      </c>
      <c r="W66" s="90">
        <v>0</v>
      </c>
      <c r="X66" s="89">
        <v>0</v>
      </c>
      <c r="Y66" s="89">
        <v>0</v>
      </c>
      <c r="Z66" s="147">
        <v>0</v>
      </c>
      <c r="AA66" s="147">
        <v>0</v>
      </c>
      <c r="AB66" s="250" t="s">
        <v>107</v>
      </c>
      <c r="AC66" s="90">
        <v>0</v>
      </c>
      <c r="AD66" s="252">
        <v>0</v>
      </c>
      <c r="AE66" s="97">
        <v>0</v>
      </c>
      <c r="AF66" s="89">
        <v>0</v>
      </c>
      <c r="AG66" s="115">
        <v>0</v>
      </c>
      <c r="AH66" s="93">
        <v>0</v>
      </c>
      <c r="AI66" s="104">
        <v>0</v>
      </c>
      <c r="AJ66" s="248" t="s">
        <v>49</v>
      </c>
      <c r="AK66" s="246"/>
      <c r="AL66" s="93">
        <v>0</v>
      </c>
      <c r="AM66" s="104">
        <v>0</v>
      </c>
      <c r="AN66" s="246" t="s">
        <v>0</v>
      </c>
      <c r="AO66" s="246">
        <v>0</v>
      </c>
      <c r="AP66" s="93">
        <v>0</v>
      </c>
      <c r="AQ66" s="112">
        <v>0</v>
      </c>
      <c r="AR66" s="114">
        <v>0</v>
      </c>
      <c r="AS66" s="93">
        <v>0</v>
      </c>
      <c r="AT66" s="261">
        <v>1</v>
      </c>
      <c r="AU66" s="260">
        <v>0</v>
      </c>
      <c r="AV66" s="93">
        <v>37.951648559259922</v>
      </c>
      <c r="AW66" s="104">
        <v>104.90509729066193</v>
      </c>
      <c r="AX66" s="93">
        <v>37.951648559259922</v>
      </c>
      <c r="AY66" s="166">
        <v>104.90509729066193</v>
      </c>
      <c r="BA66" s="166"/>
    </row>
    <row r="67" spans="1:53" ht="90">
      <c r="A67" s="113" t="s">
        <v>712</v>
      </c>
      <c r="B67" s="87" t="s">
        <v>701</v>
      </c>
      <c r="C67" s="246" t="s">
        <v>10</v>
      </c>
      <c r="D67" s="253" t="s">
        <v>1414</v>
      </c>
      <c r="E67" s="253" t="s">
        <v>155</v>
      </c>
      <c r="F67" s="253" t="s">
        <v>1458</v>
      </c>
      <c r="G67" s="253" t="s">
        <v>796</v>
      </c>
      <c r="H67" s="246" t="s">
        <v>109</v>
      </c>
      <c r="I67" s="246" t="s">
        <v>49</v>
      </c>
      <c r="J67" s="246" t="s">
        <v>113</v>
      </c>
      <c r="K67" s="256" t="s">
        <v>49</v>
      </c>
      <c r="L67" s="250" t="s">
        <v>18</v>
      </c>
      <c r="M67" s="90">
        <v>0</v>
      </c>
      <c r="N67" s="251">
        <v>1</v>
      </c>
      <c r="O67" s="90">
        <v>1</v>
      </c>
      <c r="P67" s="93">
        <v>0</v>
      </c>
      <c r="Q67" s="93">
        <v>75.903297118519845</v>
      </c>
      <c r="R67" s="93">
        <v>0</v>
      </c>
      <c r="S67" s="104">
        <v>209.81019458132386</v>
      </c>
      <c r="T67" s="250" t="s">
        <v>18</v>
      </c>
      <c r="U67" s="90">
        <v>0</v>
      </c>
      <c r="V67" s="251">
        <v>1</v>
      </c>
      <c r="W67" s="90">
        <v>1</v>
      </c>
      <c r="X67" s="89">
        <v>0</v>
      </c>
      <c r="Y67" s="89">
        <v>75.903297118519845</v>
      </c>
      <c r="Z67" s="147">
        <v>0</v>
      </c>
      <c r="AA67" s="147">
        <v>209.81019458132386</v>
      </c>
      <c r="AB67" s="250" t="s">
        <v>107</v>
      </c>
      <c r="AC67" s="90">
        <v>0</v>
      </c>
      <c r="AD67" s="252">
        <v>0</v>
      </c>
      <c r="AE67" s="97">
        <v>0</v>
      </c>
      <c r="AF67" s="89">
        <v>0</v>
      </c>
      <c r="AG67" s="115">
        <v>0</v>
      </c>
      <c r="AH67" s="93">
        <v>0</v>
      </c>
      <c r="AI67" s="104">
        <v>0</v>
      </c>
      <c r="AJ67" s="248" t="s">
        <v>49</v>
      </c>
      <c r="AK67" s="246"/>
      <c r="AL67" s="93">
        <v>0</v>
      </c>
      <c r="AM67" s="104">
        <v>0</v>
      </c>
      <c r="AN67" s="246" t="s">
        <v>0</v>
      </c>
      <c r="AO67" s="246">
        <v>0</v>
      </c>
      <c r="AP67" s="93">
        <v>0</v>
      </c>
      <c r="AQ67" s="112">
        <v>0</v>
      </c>
      <c r="AR67" s="114">
        <v>0</v>
      </c>
      <c r="AS67" s="93">
        <v>0</v>
      </c>
      <c r="AT67" s="261">
        <v>1</v>
      </c>
      <c r="AU67" s="260">
        <v>0</v>
      </c>
      <c r="AV67" s="93">
        <v>151.80659423703969</v>
      </c>
      <c r="AW67" s="104">
        <v>419.62038916264771</v>
      </c>
      <c r="AX67" s="93">
        <v>151.80659423703969</v>
      </c>
      <c r="AY67" s="166">
        <v>419.62038916264771</v>
      </c>
      <c r="BA67" s="166"/>
    </row>
    <row r="68" spans="1:53" ht="90">
      <c r="A68" s="113" t="s">
        <v>713</v>
      </c>
      <c r="B68" s="87" t="s">
        <v>702</v>
      </c>
      <c r="C68" s="246" t="s">
        <v>10</v>
      </c>
      <c r="D68" s="253" t="s">
        <v>1414</v>
      </c>
      <c r="E68" s="253" t="s">
        <v>155</v>
      </c>
      <c r="F68" s="253" t="s">
        <v>1458</v>
      </c>
      <c r="G68" s="253" t="s">
        <v>797</v>
      </c>
      <c r="H68" s="246" t="s">
        <v>109</v>
      </c>
      <c r="I68" s="246" t="s">
        <v>49</v>
      </c>
      <c r="J68" s="246" t="s">
        <v>113</v>
      </c>
      <c r="K68" s="256" t="s">
        <v>49</v>
      </c>
      <c r="L68" s="250" t="s">
        <v>18</v>
      </c>
      <c r="M68" s="90">
        <v>0</v>
      </c>
      <c r="N68" s="251">
        <v>0.5</v>
      </c>
      <c r="O68" s="90">
        <v>0.5</v>
      </c>
      <c r="P68" s="93">
        <v>0</v>
      </c>
      <c r="Q68" s="93">
        <v>37.951648559259922</v>
      </c>
      <c r="R68" s="93">
        <v>0</v>
      </c>
      <c r="S68" s="104">
        <v>104.90509729066193</v>
      </c>
      <c r="T68" s="250" t="s">
        <v>107</v>
      </c>
      <c r="U68" s="90">
        <v>0</v>
      </c>
      <c r="V68" s="251">
        <v>0</v>
      </c>
      <c r="W68" s="90">
        <v>0</v>
      </c>
      <c r="X68" s="89">
        <v>0</v>
      </c>
      <c r="Y68" s="89">
        <v>0</v>
      </c>
      <c r="Z68" s="147">
        <v>0</v>
      </c>
      <c r="AA68" s="147">
        <v>0</v>
      </c>
      <c r="AB68" s="250" t="s">
        <v>107</v>
      </c>
      <c r="AC68" s="90">
        <v>0</v>
      </c>
      <c r="AD68" s="252">
        <v>0</v>
      </c>
      <c r="AE68" s="97">
        <v>0</v>
      </c>
      <c r="AF68" s="89">
        <v>0</v>
      </c>
      <c r="AG68" s="115">
        <v>0</v>
      </c>
      <c r="AH68" s="93">
        <v>0</v>
      </c>
      <c r="AI68" s="104">
        <v>0</v>
      </c>
      <c r="AJ68" s="248" t="s">
        <v>49</v>
      </c>
      <c r="AK68" s="246"/>
      <c r="AL68" s="93">
        <v>0</v>
      </c>
      <c r="AM68" s="104">
        <v>0</v>
      </c>
      <c r="AN68" s="246" t="s">
        <v>0</v>
      </c>
      <c r="AO68" s="246">
        <v>0</v>
      </c>
      <c r="AP68" s="93">
        <v>0</v>
      </c>
      <c r="AQ68" s="112">
        <v>0</v>
      </c>
      <c r="AR68" s="114">
        <v>0</v>
      </c>
      <c r="AS68" s="93">
        <v>0</v>
      </c>
      <c r="AT68" s="261">
        <v>1</v>
      </c>
      <c r="AU68" s="260">
        <v>0</v>
      </c>
      <c r="AV68" s="93">
        <v>37.951648559259922</v>
      </c>
      <c r="AW68" s="104">
        <v>104.90509729066193</v>
      </c>
      <c r="AX68" s="93">
        <v>37.951648559259922</v>
      </c>
      <c r="AY68" s="166">
        <v>104.90509729066193</v>
      </c>
      <c r="BA68" s="166"/>
    </row>
    <row r="69" spans="1:53" ht="60">
      <c r="A69" s="90"/>
      <c r="B69" s="87" t="s">
        <v>1420</v>
      </c>
      <c r="C69" s="246" t="s">
        <v>10</v>
      </c>
      <c r="D69" s="253" t="s">
        <v>1414</v>
      </c>
      <c r="E69" s="253" t="s">
        <v>155</v>
      </c>
      <c r="F69" s="253" t="s">
        <v>1418</v>
      </c>
      <c r="G69" s="253" t="s">
        <v>127</v>
      </c>
      <c r="H69" s="246" t="s">
        <v>109</v>
      </c>
      <c r="I69" s="246" t="s">
        <v>142</v>
      </c>
      <c r="J69" s="246" t="s">
        <v>47</v>
      </c>
      <c r="K69" s="246" t="s">
        <v>49</v>
      </c>
      <c r="L69" s="250" t="s">
        <v>18</v>
      </c>
      <c r="M69" s="90">
        <v>0.5</v>
      </c>
      <c r="N69" s="251">
        <v>0.75</v>
      </c>
      <c r="O69" s="90">
        <v>1.25</v>
      </c>
      <c r="P69" s="93">
        <v>27.099613778523121</v>
      </c>
      <c r="Q69" s="93">
        <v>40.649420667784682</v>
      </c>
      <c r="R69" s="93">
        <v>74.908145703770415</v>
      </c>
      <c r="S69" s="104">
        <v>112.3622185556556</v>
      </c>
      <c r="T69" s="250" t="s">
        <v>18</v>
      </c>
      <c r="U69" s="90">
        <v>0.5</v>
      </c>
      <c r="V69" s="251">
        <v>0.75</v>
      </c>
      <c r="W69" s="90">
        <v>1.25</v>
      </c>
      <c r="X69" s="89">
        <v>27.099613778523121</v>
      </c>
      <c r="Y69" s="89">
        <v>40.649420667784682</v>
      </c>
      <c r="Z69" s="147">
        <v>74.908145703770415</v>
      </c>
      <c r="AA69" s="147">
        <v>112.3622185556556</v>
      </c>
      <c r="AB69" s="250" t="s">
        <v>107</v>
      </c>
      <c r="AC69" s="90">
        <v>0</v>
      </c>
      <c r="AD69" s="252">
        <v>0</v>
      </c>
      <c r="AE69" s="97">
        <v>0</v>
      </c>
      <c r="AF69" s="89">
        <v>0</v>
      </c>
      <c r="AG69" s="115">
        <v>0</v>
      </c>
      <c r="AH69" s="93">
        <v>0</v>
      </c>
      <c r="AI69" s="104">
        <v>0</v>
      </c>
      <c r="AJ69" s="248" t="s">
        <v>49</v>
      </c>
      <c r="AK69" s="246"/>
      <c r="AL69" s="93">
        <v>0</v>
      </c>
      <c r="AM69" s="104">
        <v>0</v>
      </c>
      <c r="AN69" s="246" t="s">
        <v>0</v>
      </c>
      <c r="AO69" s="246">
        <v>0</v>
      </c>
      <c r="AP69" s="93">
        <v>0</v>
      </c>
      <c r="AQ69" s="112">
        <v>0</v>
      </c>
      <c r="AR69" s="114">
        <v>0</v>
      </c>
      <c r="AS69" s="93">
        <v>0</v>
      </c>
      <c r="AT69" s="261">
        <v>1</v>
      </c>
      <c r="AU69" s="260">
        <v>0</v>
      </c>
      <c r="AV69" s="93">
        <v>135.49806889261561</v>
      </c>
      <c r="AW69" s="104">
        <v>374.54072851885201</v>
      </c>
      <c r="AX69" s="93">
        <v>135.49806889261561</v>
      </c>
      <c r="AY69" s="166">
        <v>374.54072851885201</v>
      </c>
      <c r="BA69" s="166"/>
    </row>
    <row r="70" spans="1:53" ht="60">
      <c r="A70" s="90"/>
      <c r="B70" s="87" t="s">
        <v>1421</v>
      </c>
      <c r="C70" s="246" t="s">
        <v>10</v>
      </c>
      <c r="D70" s="253" t="s">
        <v>1414</v>
      </c>
      <c r="E70" s="253" t="s">
        <v>155</v>
      </c>
      <c r="F70" s="253" t="s">
        <v>1418</v>
      </c>
      <c r="G70" s="253" t="s">
        <v>122</v>
      </c>
      <c r="H70" s="246" t="s">
        <v>109</v>
      </c>
      <c r="I70" s="246" t="s">
        <v>142</v>
      </c>
      <c r="J70" s="246" t="s">
        <v>113</v>
      </c>
      <c r="K70" s="246" t="s">
        <v>49</v>
      </c>
      <c r="L70" s="250" t="s">
        <v>18</v>
      </c>
      <c r="M70" s="90">
        <v>0.5</v>
      </c>
      <c r="N70" s="251">
        <v>0.75</v>
      </c>
      <c r="O70" s="90">
        <v>1.25</v>
      </c>
      <c r="P70" s="93">
        <v>37.951648559259922</v>
      </c>
      <c r="Q70" s="93">
        <v>56.927472838889884</v>
      </c>
      <c r="R70" s="93">
        <v>104.90509729066193</v>
      </c>
      <c r="S70" s="104">
        <v>157.35764593599291</v>
      </c>
      <c r="T70" s="250" t="s">
        <v>18</v>
      </c>
      <c r="U70" s="90">
        <v>0.5</v>
      </c>
      <c r="V70" s="251">
        <v>0.75</v>
      </c>
      <c r="W70" s="90">
        <v>1.25</v>
      </c>
      <c r="X70" s="89">
        <v>37.951648559259922</v>
      </c>
      <c r="Y70" s="89">
        <v>56.927472838889884</v>
      </c>
      <c r="Z70" s="147">
        <v>104.90509729066193</v>
      </c>
      <c r="AA70" s="147">
        <v>157.35764593599291</v>
      </c>
      <c r="AB70" s="250" t="s">
        <v>107</v>
      </c>
      <c r="AC70" s="90">
        <v>0</v>
      </c>
      <c r="AD70" s="252">
        <v>0</v>
      </c>
      <c r="AE70" s="97">
        <v>0</v>
      </c>
      <c r="AF70" s="89">
        <v>0</v>
      </c>
      <c r="AG70" s="115">
        <v>0</v>
      </c>
      <c r="AH70" s="93">
        <v>0</v>
      </c>
      <c r="AI70" s="104">
        <v>0</v>
      </c>
      <c r="AJ70" s="248" t="s">
        <v>49</v>
      </c>
      <c r="AK70" s="246"/>
      <c r="AL70" s="93">
        <v>0</v>
      </c>
      <c r="AM70" s="104">
        <v>0</v>
      </c>
      <c r="AN70" s="246" t="s">
        <v>0</v>
      </c>
      <c r="AO70" s="246">
        <v>0</v>
      </c>
      <c r="AP70" s="93">
        <v>0</v>
      </c>
      <c r="AQ70" s="112">
        <v>0</v>
      </c>
      <c r="AR70" s="114">
        <v>0</v>
      </c>
      <c r="AS70" s="93">
        <v>0</v>
      </c>
      <c r="AT70" s="261">
        <v>1</v>
      </c>
      <c r="AU70" s="260">
        <v>0</v>
      </c>
      <c r="AV70" s="93">
        <v>189.75824279629961</v>
      </c>
      <c r="AW70" s="104">
        <v>524.52548645330967</v>
      </c>
      <c r="AX70" s="93">
        <v>189.75824279629961</v>
      </c>
      <c r="AY70" s="166">
        <v>524.52548645330967</v>
      </c>
      <c r="BA70" s="166"/>
    </row>
    <row r="71" spans="1:53" ht="60">
      <c r="A71" s="90"/>
      <c r="B71" s="87" t="s">
        <v>1422</v>
      </c>
      <c r="C71" s="246" t="s">
        <v>10</v>
      </c>
      <c r="D71" s="253" t="s">
        <v>1414</v>
      </c>
      <c r="E71" s="253" t="s">
        <v>155</v>
      </c>
      <c r="F71" s="253" t="s">
        <v>1418</v>
      </c>
      <c r="G71" s="253" t="s">
        <v>1416</v>
      </c>
      <c r="H71" s="246" t="s">
        <v>109</v>
      </c>
      <c r="I71" s="246" t="s">
        <v>142</v>
      </c>
      <c r="J71" s="246" t="s">
        <v>47</v>
      </c>
      <c r="K71" s="246" t="s">
        <v>142</v>
      </c>
      <c r="L71" s="250" t="s">
        <v>18</v>
      </c>
      <c r="M71" s="90">
        <v>0.5</v>
      </c>
      <c r="N71" s="251">
        <v>0.75</v>
      </c>
      <c r="O71" s="90">
        <v>1.25</v>
      </c>
      <c r="P71" s="93">
        <v>27.099613778523121</v>
      </c>
      <c r="Q71" s="93">
        <v>40.649420667784682</v>
      </c>
      <c r="R71" s="93">
        <v>74.908145703770415</v>
      </c>
      <c r="S71" s="104">
        <v>112.3622185556556</v>
      </c>
      <c r="T71" s="250" t="s">
        <v>18</v>
      </c>
      <c r="U71" s="90">
        <v>0.5</v>
      </c>
      <c r="V71" s="251">
        <v>0.75</v>
      </c>
      <c r="W71" s="90">
        <v>1.25</v>
      </c>
      <c r="X71" s="89">
        <v>27.099613778523121</v>
      </c>
      <c r="Y71" s="89">
        <v>40.649420667784682</v>
      </c>
      <c r="Z71" s="147">
        <v>74.908145703770415</v>
      </c>
      <c r="AA71" s="147">
        <v>112.3622185556556</v>
      </c>
      <c r="AB71" s="250" t="s">
        <v>107</v>
      </c>
      <c r="AC71" s="90">
        <v>0</v>
      </c>
      <c r="AD71" s="252">
        <v>0</v>
      </c>
      <c r="AE71" s="97">
        <v>0</v>
      </c>
      <c r="AF71" s="89">
        <v>0</v>
      </c>
      <c r="AG71" s="115">
        <v>0</v>
      </c>
      <c r="AH71" s="93">
        <v>0</v>
      </c>
      <c r="AI71" s="104">
        <v>0</v>
      </c>
      <c r="AJ71" s="248" t="s">
        <v>49</v>
      </c>
      <c r="AK71" s="246"/>
      <c r="AL71" s="93">
        <v>0</v>
      </c>
      <c r="AM71" s="104">
        <v>0</v>
      </c>
      <c r="AN71" s="246" t="s">
        <v>0</v>
      </c>
      <c r="AO71" s="246">
        <v>0</v>
      </c>
      <c r="AP71" s="93">
        <v>0</v>
      </c>
      <c r="AQ71" s="112">
        <v>0</v>
      </c>
      <c r="AR71" s="114">
        <v>557.32438020070174</v>
      </c>
      <c r="AS71" s="93">
        <v>606.48040436208578</v>
      </c>
      <c r="AT71" s="261">
        <v>1</v>
      </c>
      <c r="AU71" s="260">
        <v>0</v>
      </c>
      <c r="AV71" s="93">
        <v>135.49806889261561</v>
      </c>
      <c r="AW71" s="104">
        <v>374.54072851885201</v>
      </c>
      <c r="AX71" s="93">
        <v>692.82244909331735</v>
      </c>
      <c r="AY71" s="166">
        <v>981.02113288093778</v>
      </c>
      <c r="BA71" s="166"/>
    </row>
    <row r="72" spans="1:53" ht="60">
      <c r="A72" s="90"/>
      <c r="B72" s="87" t="s">
        <v>1423</v>
      </c>
      <c r="C72" s="246" t="s">
        <v>10</v>
      </c>
      <c r="D72" s="253" t="s">
        <v>1414</v>
      </c>
      <c r="E72" s="253" t="s">
        <v>155</v>
      </c>
      <c r="F72" s="253" t="s">
        <v>1418</v>
      </c>
      <c r="G72" s="253" t="s">
        <v>1417</v>
      </c>
      <c r="H72" s="246" t="s">
        <v>109</v>
      </c>
      <c r="I72" s="246" t="s">
        <v>142</v>
      </c>
      <c r="J72" s="246" t="s">
        <v>113</v>
      </c>
      <c r="K72" s="246" t="s">
        <v>142</v>
      </c>
      <c r="L72" s="250" t="s">
        <v>18</v>
      </c>
      <c r="M72" s="90">
        <v>0.5</v>
      </c>
      <c r="N72" s="251">
        <v>0.75</v>
      </c>
      <c r="O72" s="90">
        <v>1.25</v>
      </c>
      <c r="P72" s="93">
        <v>37.951648559259922</v>
      </c>
      <c r="Q72" s="93">
        <v>56.927472838889884</v>
      </c>
      <c r="R72" s="93">
        <v>104.90509729066193</v>
      </c>
      <c r="S72" s="104">
        <v>157.35764593599291</v>
      </c>
      <c r="T72" s="250" t="s">
        <v>18</v>
      </c>
      <c r="U72" s="90">
        <v>0.5</v>
      </c>
      <c r="V72" s="251">
        <v>0.75</v>
      </c>
      <c r="W72" s="90">
        <v>1.25</v>
      </c>
      <c r="X72" s="89">
        <v>37.951648559259922</v>
      </c>
      <c r="Y72" s="89">
        <v>56.927472838889884</v>
      </c>
      <c r="Z72" s="147">
        <v>104.90509729066193</v>
      </c>
      <c r="AA72" s="147">
        <v>157.35764593599291</v>
      </c>
      <c r="AB72" s="250" t="s">
        <v>107</v>
      </c>
      <c r="AC72" s="90">
        <v>0</v>
      </c>
      <c r="AD72" s="252">
        <v>0</v>
      </c>
      <c r="AE72" s="97">
        <v>0</v>
      </c>
      <c r="AF72" s="89">
        <v>0</v>
      </c>
      <c r="AG72" s="115">
        <v>0</v>
      </c>
      <c r="AH72" s="93">
        <v>0</v>
      </c>
      <c r="AI72" s="104">
        <v>0</v>
      </c>
      <c r="AJ72" s="248" t="s">
        <v>49</v>
      </c>
      <c r="AK72" s="246"/>
      <c r="AL72" s="93">
        <v>0</v>
      </c>
      <c r="AM72" s="104">
        <v>0</v>
      </c>
      <c r="AN72" s="246" t="s">
        <v>0</v>
      </c>
      <c r="AO72" s="246">
        <v>0</v>
      </c>
      <c r="AP72" s="93">
        <v>0</v>
      </c>
      <c r="AQ72" s="112">
        <v>0</v>
      </c>
      <c r="AR72" s="114">
        <v>557.32438020070174</v>
      </c>
      <c r="AS72" s="93">
        <v>606.48040436208578</v>
      </c>
      <c r="AT72" s="261">
        <v>1</v>
      </c>
      <c r="AU72" s="260">
        <v>0</v>
      </c>
      <c r="AV72" s="93">
        <v>189.75824279629961</v>
      </c>
      <c r="AW72" s="104">
        <v>524.52548645330967</v>
      </c>
      <c r="AX72" s="93">
        <v>747.08262299700141</v>
      </c>
      <c r="AY72" s="166">
        <v>1131.0058908153956</v>
      </c>
      <c r="BA72" s="166"/>
    </row>
    <row r="73" spans="1:53" ht="60">
      <c r="A73" s="96" t="s">
        <v>714</v>
      </c>
      <c r="B73" s="87" t="s">
        <v>703</v>
      </c>
      <c r="C73" s="246" t="s">
        <v>10</v>
      </c>
      <c r="D73" s="253" t="s">
        <v>1414</v>
      </c>
      <c r="E73" s="246" t="s">
        <v>221</v>
      </c>
      <c r="F73" s="253" t="s">
        <v>1445</v>
      </c>
      <c r="G73" s="253" t="s">
        <v>222</v>
      </c>
      <c r="H73" s="246" t="s">
        <v>109</v>
      </c>
      <c r="I73" s="253" t="s">
        <v>142</v>
      </c>
      <c r="J73" s="253" t="s">
        <v>47</v>
      </c>
      <c r="K73" s="253" t="s">
        <v>49</v>
      </c>
      <c r="L73" s="250" t="s">
        <v>18</v>
      </c>
      <c r="M73" s="90">
        <v>0.5</v>
      </c>
      <c r="N73" s="251">
        <v>2</v>
      </c>
      <c r="O73" s="90">
        <v>2.5</v>
      </c>
      <c r="P73" s="93">
        <v>27.099613778523121</v>
      </c>
      <c r="Q73" s="93">
        <v>108.39845511409249</v>
      </c>
      <c r="R73" s="93">
        <v>74.908145703770415</v>
      </c>
      <c r="S73" s="104">
        <v>299.63258281508166</v>
      </c>
      <c r="T73" s="250" t="s">
        <v>18</v>
      </c>
      <c r="U73" s="90">
        <v>0.5</v>
      </c>
      <c r="V73" s="251">
        <v>2</v>
      </c>
      <c r="W73" s="92">
        <v>2.5</v>
      </c>
      <c r="X73" s="89">
        <v>27.099613778523121</v>
      </c>
      <c r="Y73" s="89">
        <v>108.39845511409249</v>
      </c>
      <c r="Z73" s="147">
        <v>74.908145703770415</v>
      </c>
      <c r="AA73" s="147">
        <v>299.63258281508166</v>
      </c>
      <c r="AB73" s="250" t="s">
        <v>107</v>
      </c>
      <c r="AC73" s="90">
        <v>0</v>
      </c>
      <c r="AD73" s="252">
        <v>0</v>
      </c>
      <c r="AE73" s="97">
        <v>0</v>
      </c>
      <c r="AF73" s="89">
        <v>0</v>
      </c>
      <c r="AG73" s="115">
        <v>0</v>
      </c>
      <c r="AH73" s="93">
        <v>0</v>
      </c>
      <c r="AI73" s="104">
        <v>0</v>
      </c>
      <c r="AJ73" s="248" t="s">
        <v>49</v>
      </c>
      <c r="AK73" s="246"/>
      <c r="AL73" s="93">
        <v>0</v>
      </c>
      <c r="AM73" s="104">
        <v>0</v>
      </c>
      <c r="AN73" s="246" t="s">
        <v>1399</v>
      </c>
      <c r="AO73" s="246">
        <v>1</v>
      </c>
      <c r="AP73" s="93">
        <v>149.33428763960751</v>
      </c>
      <c r="AQ73" s="93">
        <v>203.70752127494927</v>
      </c>
      <c r="AR73" s="114">
        <v>0</v>
      </c>
      <c r="AS73" s="93">
        <v>0</v>
      </c>
      <c r="AT73" s="261">
        <v>1</v>
      </c>
      <c r="AU73" s="260">
        <v>0</v>
      </c>
      <c r="AV73" s="93">
        <v>270.99613778523121</v>
      </c>
      <c r="AW73" s="104">
        <v>749.08145703770413</v>
      </c>
      <c r="AX73" s="93">
        <v>420.33042542483872</v>
      </c>
      <c r="AY73" s="166">
        <v>952.7889783126534</v>
      </c>
      <c r="BA73" s="166"/>
    </row>
    <row r="74" spans="1:53" ht="60">
      <c r="A74" s="96" t="s">
        <v>715</v>
      </c>
      <c r="B74" s="87" t="s">
        <v>704</v>
      </c>
      <c r="C74" s="246" t="s">
        <v>10</v>
      </c>
      <c r="D74" s="253" t="s">
        <v>1414</v>
      </c>
      <c r="E74" s="246" t="s">
        <v>221</v>
      </c>
      <c r="F74" s="253" t="s">
        <v>1445</v>
      </c>
      <c r="G74" s="253" t="s">
        <v>349</v>
      </c>
      <c r="H74" s="246" t="s">
        <v>109</v>
      </c>
      <c r="I74" s="253" t="s">
        <v>142</v>
      </c>
      <c r="J74" s="253" t="s">
        <v>47</v>
      </c>
      <c r="K74" s="256" t="s">
        <v>142</v>
      </c>
      <c r="L74" s="250" t="s">
        <v>18</v>
      </c>
      <c r="M74" s="90">
        <v>0.5</v>
      </c>
      <c r="N74" s="251">
        <v>2</v>
      </c>
      <c r="O74" s="90">
        <v>2.5</v>
      </c>
      <c r="P74" s="93">
        <v>27.099613778523121</v>
      </c>
      <c r="Q74" s="93">
        <v>108.39845511409249</v>
      </c>
      <c r="R74" s="93">
        <v>74.908145703770415</v>
      </c>
      <c r="S74" s="104">
        <v>299.63258281508166</v>
      </c>
      <c r="T74" s="250" t="s">
        <v>18</v>
      </c>
      <c r="U74" s="90">
        <v>0.5</v>
      </c>
      <c r="V74" s="251">
        <v>2</v>
      </c>
      <c r="W74" s="92">
        <v>2.5</v>
      </c>
      <c r="X74" s="89">
        <v>27.099613778523121</v>
      </c>
      <c r="Y74" s="89">
        <v>108.39845511409249</v>
      </c>
      <c r="Z74" s="147">
        <v>74.908145703770415</v>
      </c>
      <c r="AA74" s="147">
        <v>299.63258281508166</v>
      </c>
      <c r="AB74" s="250" t="s">
        <v>107</v>
      </c>
      <c r="AC74" s="90">
        <v>0</v>
      </c>
      <c r="AD74" s="252">
        <v>0</v>
      </c>
      <c r="AE74" s="97">
        <v>0</v>
      </c>
      <c r="AF74" s="89">
        <v>0</v>
      </c>
      <c r="AG74" s="115">
        <v>0</v>
      </c>
      <c r="AH74" s="93">
        <v>0</v>
      </c>
      <c r="AI74" s="104">
        <v>0</v>
      </c>
      <c r="AJ74" s="248" t="s">
        <v>49</v>
      </c>
      <c r="AK74" s="246"/>
      <c r="AL74" s="93">
        <v>0</v>
      </c>
      <c r="AM74" s="104">
        <v>0</v>
      </c>
      <c r="AN74" s="246" t="s">
        <v>1399</v>
      </c>
      <c r="AO74" s="246">
        <v>1</v>
      </c>
      <c r="AP74" s="93">
        <v>149.33428763960751</v>
      </c>
      <c r="AQ74" s="93">
        <v>203.70752127494927</v>
      </c>
      <c r="AR74" s="114">
        <v>557.32438020070174</v>
      </c>
      <c r="AS74" s="93">
        <v>606.48040436208578</v>
      </c>
      <c r="AT74" s="261">
        <v>1</v>
      </c>
      <c r="AU74" s="260">
        <v>0</v>
      </c>
      <c r="AV74" s="93">
        <v>270.99613778523121</v>
      </c>
      <c r="AW74" s="104">
        <v>749.08145703770413</v>
      </c>
      <c r="AX74" s="93">
        <v>977.65480562554046</v>
      </c>
      <c r="AY74" s="166">
        <v>1559.2693826747391</v>
      </c>
      <c r="BA74" s="166"/>
    </row>
    <row r="75" spans="1:53" ht="60">
      <c r="A75" s="96" t="s">
        <v>716</v>
      </c>
      <c r="B75" s="87" t="s">
        <v>705</v>
      </c>
      <c r="C75" s="246" t="s">
        <v>10</v>
      </c>
      <c r="D75" s="253" t="s">
        <v>1414</v>
      </c>
      <c r="E75" s="246" t="s">
        <v>221</v>
      </c>
      <c r="F75" s="253" t="s">
        <v>1445</v>
      </c>
      <c r="G75" s="253" t="s">
        <v>223</v>
      </c>
      <c r="H75" s="246" t="s">
        <v>109</v>
      </c>
      <c r="I75" s="253" t="s">
        <v>142</v>
      </c>
      <c r="J75" s="253" t="s">
        <v>47</v>
      </c>
      <c r="K75" s="256" t="s">
        <v>49</v>
      </c>
      <c r="L75" s="250" t="s">
        <v>18</v>
      </c>
      <c r="M75" s="90">
        <v>0.5</v>
      </c>
      <c r="N75" s="251">
        <v>2.25</v>
      </c>
      <c r="O75" s="90">
        <v>2.75</v>
      </c>
      <c r="P75" s="93">
        <v>27.099613778523121</v>
      </c>
      <c r="Q75" s="93">
        <v>121.94826200335405</v>
      </c>
      <c r="R75" s="93">
        <v>74.908145703770415</v>
      </c>
      <c r="S75" s="104">
        <v>337.08665566696681</v>
      </c>
      <c r="T75" s="250" t="s">
        <v>18</v>
      </c>
      <c r="U75" s="90">
        <v>0.5</v>
      </c>
      <c r="V75" s="251">
        <v>2.25</v>
      </c>
      <c r="W75" s="92">
        <v>2.75</v>
      </c>
      <c r="X75" s="89">
        <v>27.099613778523121</v>
      </c>
      <c r="Y75" s="89">
        <v>121.94826200335405</v>
      </c>
      <c r="Z75" s="147">
        <v>74.908145703770415</v>
      </c>
      <c r="AA75" s="147">
        <v>337.08665566696681</v>
      </c>
      <c r="AB75" s="250" t="s">
        <v>107</v>
      </c>
      <c r="AC75" s="90">
        <v>0</v>
      </c>
      <c r="AD75" s="252">
        <v>0</v>
      </c>
      <c r="AE75" s="97">
        <v>0</v>
      </c>
      <c r="AF75" s="89">
        <v>0</v>
      </c>
      <c r="AG75" s="115">
        <v>0</v>
      </c>
      <c r="AH75" s="93">
        <v>0</v>
      </c>
      <c r="AI75" s="104">
        <v>0</v>
      </c>
      <c r="AJ75" s="248" t="s">
        <v>49</v>
      </c>
      <c r="AK75" s="246"/>
      <c r="AL75" s="93">
        <v>0</v>
      </c>
      <c r="AM75" s="104">
        <v>0</v>
      </c>
      <c r="AN75" s="246" t="s">
        <v>1399</v>
      </c>
      <c r="AO75" s="246">
        <v>1</v>
      </c>
      <c r="AP75" s="93">
        <v>149.33428763960751</v>
      </c>
      <c r="AQ75" s="93">
        <v>203.70752127494927</v>
      </c>
      <c r="AR75" s="114">
        <v>0</v>
      </c>
      <c r="AS75" s="93">
        <v>0</v>
      </c>
      <c r="AT75" s="261">
        <v>1</v>
      </c>
      <c r="AU75" s="260">
        <v>0</v>
      </c>
      <c r="AV75" s="93">
        <v>298.09575156375433</v>
      </c>
      <c r="AW75" s="104">
        <v>823.98960274147441</v>
      </c>
      <c r="AX75" s="93">
        <v>447.43003920336184</v>
      </c>
      <c r="AY75" s="166">
        <v>1027.6971240164237</v>
      </c>
      <c r="BA75" s="166"/>
    </row>
    <row r="76" spans="1:53" ht="60">
      <c r="A76" s="96" t="s">
        <v>717</v>
      </c>
      <c r="B76" s="87" t="s">
        <v>706</v>
      </c>
      <c r="C76" s="246" t="s">
        <v>10</v>
      </c>
      <c r="D76" s="253" t="s">
        <v>1414</v>
      </c>
      <c r="E76" s="246" t="s">
        <v>221</v>
      </c>
      <c r="F76" s="253" t="s">
        <v>1445</v>
      </c>
      <c r="G76" s="253" t="s">
        <v>350</v>
      </c>
      <c r="H76" s="246" t="s">
        <v>109</v>
      </c>
      <c r="I76" s="253" t="s">
        <v>142</v>
      </c>
      <c r="J76" s="253" t="s">
        <v>47</v>
      </c>
      <c r="K76" s="256" t="s">
        <v>142</v>
      </c>
      <c r="L76" s="250" t="s">
        <v>18</v>
      </c>
      <c r="M76" s="90">
        <v>0.5</v>
      </c>
      <c r="N76" s="251">
        <v>2.25</v>
      </c>
      <c r="O76" s="90">
        <v>2.75</v>
      </c>
      <c r="P76" s="93">
        <v>27.099613778523121</v>
      </c>
      <c r="Q76" s="93">
        <v>121.94826200335405</v>
      </c>
      <c r="R76" s="93">
        <v>74.908145703770415</v>
      </c>
      <c r="S76" s="104">
        <v>337.08665566696681</v>
      </c>
      <c r="T76" s="250" t="s">
        <v>18</v>
      </c>
      <c r="U76" s="90">
        <v>0.5</v>
      </c>
      <c r="V76" s="251">
        <v>2.25</v>
      </c>
      <c r="W76" s="92">
        <v>2.75</v>
      </c>
      <c r="X76" s="89">
        <v>27.099613778523121</v>
      </c>
      <c r="Y76" s="89">
        <v>121.94826200335405</v>
      </c>
      <c r="Z76" s="147">
        <v>74.908145703770415</v>
      </c>
      <c r="AA76" s="147">
        <v>337.08665566696681</v>
      </c>
      <c r="AB76" s="250" t="s">
        <v>107</v>
      </c>
      <c r="AC76" s="90">
        <v>0</v>
      </c>
      <c r="AD76" s="252">
        <v>0</v>
      </c>
      <c r="AE76" s="97">
        <v>0</v>
      </c>
      <c r="AF76" s="89">
        <v>0</v>
      </c>
      <c r="AG76" s="115">
        <v>0</v>
      </c>
      <c r="AH76" s="93">
        <v>0</v>
      </c>
      <c r="AI76" s="104">
        <v>0</v>
      </c>
      <c r="AJ76" s="248" t="s">
        <v>49</v>
      </c>
      <c r="AK76" s="246"/>
      <c r="AL76" s="93">
        <v>0</v>
      </c>
      <c r="AM76" s="104">
        <v>0</v>
      </c>
      <c r="AN76" s="246" t="s">
        <v>1399</v>
      </c>
      <c r="AO76" s="246">
        <v>1</v>
      </c>
      <c r="AP76" s="93">
        <v>149.33428763960751</v>
      </c>
      <c r="AQ76" s="93">
        <v>203.70752127494927</v>
      </c>
      <c r="AR76" s="114">
        <v>557.32438020070174</v>
      </c>
      <c r="AS76" s="93">
        <v>606.48040436208578</v>
      </c>
      <c r="AT76" s="261">
        <v>1</v>
      </c>
      <c r="AU76" s="260">
        <v>0</v>
      </c>
      <c r="AV76" s="93">
        <v>298.09575156375433</v>
      </c>
      <c r="AW76" s="104">
        <v>823.98960274147441</v>
      </c>
      <c r="AX76" s="93">
        <v>1004.7544194040636</v>
      </c>
      <c r="AY76" s="166">
        <v>1634.1775283785096</v>
      </c>
      <c r="BA76" s="166"/>
    </row>
    <row r="77" spans="1:53" ht="60">
      <c r="A77" s="96" t="s">
        <v>718</v>
      </c>
      <c r="B77" s="87" t="s">
        <v>707</v>
      </c>
      <c r="C77" s="246" t="s">
        <v>10</v>
      </c>
      <c r="D77" s="253" t="s">
        <v>1414</v>
      </c>
      <c r="E77" s="246" t="s">
        <v>221</v>
      </c>
      <c r="F77" s="253" t="s">
        <v>1445</v>
      </c>
      <c r="G77" s="253" t="s">
        <v>224</v>
      </c>
      <c r="H77" s="246" t="s">
        <v>109</v>
      </c>
      <c r="I77" s="253" t="s">
        <v>142</v>
      </c>
      <c r="J77" s="253" t="s">
        <v>113</v>
      </c>
      <c r="K77" s="256" t="s">
        <v>49</v>
      </c>
      <c r="L77" s="250" t="s">
        <v>18</v>
      </c>
      <c r="M77" s="90">
        <v>0.5</v>
      </c>
      <c r="N77" s="251">
        <v>2</v>
      </c>
      <c r="O77" s="90">
        <v>2.5</v>
      </c>
      <c r="P77" s="93">
        <v>37.951648559259922</v>
      </c>
      <c r="Q77" s="93">
        <v>151.80659423703969</v>
      </c>
      <c r="R77" s="93">
        <v>104.90509729066193</v>
      </c>
      <c r="S77" s="104">
        <v>419.62038916264771</v>
      </c>
      <c r="T77" s="250" t="s">
        <v>18</v>
      </c>
      <c r="U77" s="90">
        <v>0.5</v>
      </c>
      <c r="V77" s="251">
        <v>2</v>
      </c>
      <c r="W77" s="92">
        <v>2.5</v>
      </c>
      <c r="X77" s="89">
        <v>37.951648559259922</v>
      </c>
      <c r="Y77" s="89">
        <v>151.80659423703969</v>
      </c>
      <c r="Z77" s="147">
        <v>104.90509729066193</v>
      </c>
      <c r="AA77" s="147">
        <v>419.62038916264771</v>
      </c>
      <c r="AB77" s="250" t="s">
        <v>107</v>
      </c>
      <c r="AC77" s="90">
        <v>0</v>
      </c>
      <c r="AD77" s="252">
        <v>0</v>
      </c>
      <c r="AE77" s="97">
        <v>0</v>
      </c>
      <c r="AF77" s="89">
        <v>0</v>
      </c>
      <c r="AG77" s="115">
        <v>0</v>
      </c>
      <c r="AH77" s="93">
        <v>0</v>
      </c>
      <c r="AI77" s="104">
        <v>0</v>
      </c>
      <c r="AJ77" s="248" t="s">
        <v>49</v>
      </c>
      <c r="AK77" s="246"/>
      <c r="AL77" s="93">
        <v>0</v>
      </c>
      <c r="AM77" s="104">
        <v>0</v>
      </c>
      <c r="AN77" s="246" t="s">
        <v>1399</v>
      </c>
      <c r="AO77" s="246">
        <v>1</v>
      </c>
      <c r="AP77" s="93">
        <v>149.33428763960751</v>
      </c>
      <c r="AQ77" s="93">
        <v>203.70752127494927</v>
      </c>
      <c r="AR77" s="114">
        <v>0</v>
      </c>
      <c r="AS77" s="93">
        <v>0</v>
      </c>
      <c r="AT77" s="261">
        <v>1</v>
      </c>
      <c r="AU77" s="260">
        <v>0</v>
      </c>
      <c r="AV77" s="93">
        <v>379.51648559259922</v>
      </c>
      <c r="AW77" s="104">
        <v>1049.0509729066193</v>
      </c>
      <c r="AX77" s="93">
        <v>528.85077323220673</v>
      </c>
      <c r="AY77" s="166">
        <v>1252.7584941815685</v>
      </c>
      <c r="BA77" s="166"/>
    </row>
    <row r="78" spans="1:53" ht="60">
      <c r="A78" s="96" t="s">
        <v>719</v>
      </c>
      <c r="B78" s="87" t="s">
        <v>708</v>
      </c>
      <c r="C78" s="246" t="s">
        <v>10</v>
      </c>
      <c r="D78" s="253" t="s">
        <v>1414</v>
      </c>
      <c r="E78" s="246" t="s">
        <v>221</v>
      </c>
      <c r="F78" s="253" t="s">
        <v>1445</v>
      </c>
      <c r="G78" s="253" t="s">
        <v>351</v>
      </c>
      <c r="H78" s="246" t="s">
        <v>109</v>
      </c>
      <c r="I78" s="253" t="s">
        <v>142</v>
      </c>
      <c r="J78" s="253" t="s">
        <v>113</v>
      </c>
      <c r="K78" s="256" t="s">
        <v>142</v>
      </c>
      <c r="L78" s="250" t="s">
        <v>18</v>
      </c>
      <c r="M78" s="90">
        <v>0.5</v>
      </c>
      <c r="N78" s="251">
        <v>2</v>
      </c>
      <c r="O78" s="90">
        <v>2.5</v>
      </c>
      <c r="P78" s="93">
        <v>37.951648559259922</v>
      </c>
      <c r="Q78" s="93">
        <v>151.80659423703969</v>
      </c>
      <c r="R78" s="93">
        <v>104.90509729066193</v>
      </c>
      <c r="S78" s="104">
        <v>419.62038916264771</v>
      </c>
      <c r="T78" s="250" t="s">
        <v>18</v>
      </c>
      <c r="U78" s="90">
        <v>0.5</v>
      </c>
      <c r="V78" s="251">
        <v>2</v>
      </c>
      <c r="W78" s="92">
        <v>2.5</v>
      </c>
      <c r="X78" s="89">
        <v>37.951648559259922</v>
      </c>
      <c r="Y78" s="89">
        <v>151.80659423703969</v>
      </c>
      <c r="Z78" s="147">
        <v>104.90509729066193</v>
      </c>
      <c r="AA78" s="147">
        <v>419.62038916264771</v>
      </c>
      <c r="AB78" s="250" t="s">
        <v>107</v>
      </c>
      <c r="AC78" s="90">
        <v>0</v>
      </c>
      <c r="AD78" s="252">
        <v>0</v>
      </c>
      <c r="AE78" s="97">
        <v>0</v>
      </c>
      <c r="AF78" s="89">
        <v>0</v>
      </c>
      <c r="AG78" s="115">
        <v>0</v>
      </c>
      <c r="AH78" s="93">
        <v>0</v>
      </c>
      <c r="AI78" s="104">
        <v>0</v>
      </c>
      <c r="AJ78" s="248" t="s">
        <v>49</v>
      </c>
      <c r="AK78" s="246"/>
      <c r="AL78" s="93">
        <v>0</v>
      </c>
      <c r="AM78" s="104">
        <v>0</v>
      </c>
      <c r="AN78" s="246" t="s">
        <v>1399</v>
      </c>
      <c r="AO78" s="246">
        <v>1</v>
      </c>
      <c r="AP78" s="93">
        <v>149.33428763960751</v>
      </c>
      <c r="AQ78" s="93">
        <v>203.70752127494927</v>
      </c>
      <c r="AR78" s="114">
        <v>557.32438020070174</v>
      </c>
      <c r="AS78" s="93">
        <v>606.48040436208578</v>
      </c>
      <c r="AT78" s="261">
        <v>1</v>
      </c>
      <c r="AU78" s="260">
        <v>0</v>
      </c>
      <c r="AV78" s="93">
        <v>379.51648559259922</v>
      </c>
      <c r="AW78" s="104">
        <v>1049.0509729066193</v>
      </c>
      <c r="AX78" s="93">
        <v>1086.1751534329085</v>
      </c>
      <c r="AY78" s="166">
        <v>1859.2388985436544</v>
      </c>
      <c r="BA78" s="166"/>
    </row>
    <row r="79" spans="1:53" ht="60">
      <c r="A79" s="96" t="s">
        <v>720</v>
      </c>
      <c r="B79" s="87" t="s">
        <v>709</v>
      </c>
      <c r="C79" s="246" t="s">
        <v>10</v>
      </c>
      <c r="D79" s="253" t="s">
        <v>1414</v>
      </c>
      <c r="E79" s="246" t="s">
        <v>221</v>
      </c>
      <c r="F79" s="253" t="s">
        <v>1445</v>
      </c>
      <c r="G79" s="253" t="s">
        <v>225</v>
      </c>
      <c r="H79" s="246" t="s">
        <v>109</v>
      </c>
      <c r="I79" s="253" t="s">
        <v>142</v>
      </c>
      <c r="J79" s="253" t="s">
        <v>113</v>
      </c>
      <c r="K79" s="256" t="s">
        <v>49</v>
      </c>
      <c r="L79" s="250" t="s">
        <v>18</v>
      </c>
      <c r="M79" s="90">
        <v>0.5</v>
      </c>
      <c r="N79" s="251">
        <v>2.25</v>
      </c>
      <c r="O79" s="90">
        <v>2.75</v>
      </c>
      <c r="P79" s="93">
        <v>37.951648559259922</v>
      </c>
      <c r="Q79" s="93">
        <v>170.78241851666965</v>
      </c>
      <c r="R79" s="93">
        <v>104.90509729066193</v>
      </c>
      <c r="S79" s="104">
        <v>472.07293780797858</v>
      </c>
      <c r="T79" s="250" t="s">
        <v>18</v>
      </c>
      <c r="U79" s="90">
        <v>0.5</v>
      </c>
      <c r="V79" s="251">
        <v>2.25</v>
      </c>
      <c r="W79" s="92">
        <v>2.75</v>
      </c>
      <c r="X79" s="89">
        <v>37.951648559259922</v>
      </c>
      <c r="Y79" s="89">
        <v>170.78241851666965</v>
      </c>
      <c r="Z79" s="147">
        <v>104.90509729066193</v>
      </c>
      <c r="AA79" s="147">
        <v>472.07293780797858</v>
      </c>
      <c r="AB79" s="250" t="s">
        <v>107</v>
      </c>
      <c r="AC79" s="90">
        <v>0</v>
      </c>
      <c r="AD79" s="252">
        <v>0</v>
      </c>
      <c r="AE79" s="97">
        <v>0</v>
      </c>
      <c r="AF79" s="89">
        <v>0</v>
      </c>
      <c r="AG79" s="115">
        <v>0</v>
      </c>
      <c r="AH79" s="93">
        <v>0</v>
      </c>
      <c r="AI79" s="104">
        <v>0</v>
      </c>
      <c r="AJ79" s="248" t="s">
        <v>49</v>
      </c>
      <c r="AK79" s="246"/>
      <c r="AL79" s="93">
        <v>0</v>
      </c>
      <c r="AM79" s="104">
        <v>0</v>
      </c>
      <c r="AN79" s="246" t="s">
        <v>1399</v>
      </c>
      <c r="AO79" s="246">
        <v>1</v>
      </c>
      <c r="AP79" s="93">
        <v>149.33428763960751</v>
      </c>
      <c r="AQ79" s="93">
        <v>203.70752127494927</v>
      </c>
      <c r="AR79" s="114">
        <v>0</v>
      </c>
      <c r="AS79" s="93">
        <v>0</v>
      </c>
      <c r="AT79" s="261">
        <v>1</v>
      </c>
      <c r="AU79" s="260">
        <v>0</v>
      </c>
      <c r="AV79" s="93">
        <v>417.46813415185915</v>
      </c>
      <c r="AW79" s="104">
        <v>1153.956070197281</v>
      </c>
      <c r="AX79" s="93">
        <v>566.80242179146671</v>
      </c>
      <c r="AY79" s="166">
        <v>1357.6635914722301</v>
      </c>
      <c r="BA79" s="166"/>
    </row>
    <row r="80" spans="1:53" ht="60">
      <c r="A80" s="96" t="s">
        <v>721</v>
      </c>
      <c r="B80" s="87" t="s">
        <v>710</v>
      </c>
      <c r="C80" s="246" t="s">
        <v>10</v>
      </c>
      <c r="D80" s="253" t="s">
        <v>1414</v>
      </c>
      <c r="E80" s="246" t="s">
        <v>221</v>
      </c>
      <c r="F80" s="253" t="s">
        <v>1445</v>
      </c>
      <c r="G80" s="253" t="s">
        <v>355</v>
      </c>
      <c r="H80" s="246" t="s">
        <v>109</v>
      </c>
      <c r="I80" s="253" t="s">
        <v>142</v>
      </c>
      <c r="J80" s="253" t="s">
        <v>113</v>
      </c>
      <c r="K80" s="256" t="s">
        <v>142</v>
      </c>
      <c r="L80" s="250" t="s">
        <v>18</v>
      </c>
      <c r="M80" s="90">
        <v>0.5</v>
      </c>
      <c r="N80" s="251">
        <v>2.25</v>
      </c>
      <c r="O80" s="90">
        <v>2.75</v>
      </c>
      <c r="P80" s="93">
        <v>37.951648559259922</v>
      </c>
      <c r="Q80" s="93">
        <v>170.78241851666965</v>
      </c>
      <c r="R80" s="93">
        <v>104.90509729066193</v>
      </c>
      <c r="S80" s="104">
        <v>472.07293780797858</v>
      </c>
      <c r="T80" s="250" t="s">
        <v>18</v>
      </c>
      <c r="U80" s="90">
        <v>0.5</v>
      </c>
      <c r="V80" s="251">
        <v>2.25</v>
      </c>
      <c r="W80" s="92">
        <v>2.75</v>
      </c>
      <c r="X80" s="89">
        <v>37.951648559259922</v>
      </c>
      <c r="Y80" s="89">
        <v>170.78241851666965</v>
      </c>
      <c r="Z80" s="147">
        <v>104.90509729066193</v>
      </c>
      <c r="AA80" s="147">
        <v>472.07293780797858</v>
      </c>
      <c r="AB80" s="250" t="s">
        <v>107</v>
      </c>
      <c r="AC80" s="90">
        <v>0</v>
      </c>
      <c r="AD80" s="252">
        <v>0</v>
      </c>
      <c r="AE80" s="97">
        <v>0</v>
      </c>
      <c r="AF80" s="89">
        <v>0</v>
      </c>
      <c r="AG80" s="115">
        <v>0</v>
      </c>
      <c r="AH80" s="93">
        <v>0</v>
      </c>
      <c r="AI80" s="104">
        <v>0</v>
      </c>
      <c r="AJ80" s="248" t="s">
        <v>49</v>
      </c>
      <c r="AK80" s="246"/>
      <c r="AL80" s="93">
        <v>0</v>
      </c>
      <c r="AM80" s="104">
        <v>0</v>
      </c>
      <c r="AN80" s="246" t="s">
        <v>1399</v>
      </c>
      <c r="AO80" s="246">
        <v>1</v>
      </c>
      <c r="AP80" s="93">
        <v>149.33428763960751</v>
      </c>
      <c r="AQ80" s="93">
        <v>203.70752127494927</v>
      </c>
      <c r="AR80" s="114">
        <v>557.32438020070174</v>
      </c>
      <c r="AS80" s="93">
        <v>606.48040436208578</v>
      </c>
      <c r="AT80" s="261">
        <v>1</v>
      </c>
      <c r="AU80" s="260">
        <v>0</v>
      </c>
      <c r="AV80" s="93">
        <v>417.46813415185915</v>
      </c>
      <c r="AW80" s="104">
        <v>1153.956070197281</v>
      </c>
      <c r="AX80" s="93">
        <v>1124.1268019921686</v>
      </c>
      <c r="AY80" s="166">
        <v>1964.143995834316</v>
      </c>
      <c r="BA80" s="166"/>
    </row>
    <row r="81" spans="1:53" ht="60">
      <c r="A81" s="96" t="s">
        <v>722</v>
      </c>
      <c r="B81" s="87" t="s">
        <v>711</v>
      </c>
      <c r="C81" s="246" t="s">
        <v>10</v>
      </c>
      <c r="D81" s="253" t="s">
        <v>1414</v>
      </c>
      <c r="E81" s="246" t="s">
        <v>221</v>
      </c>
      <c r="F81" s="253" t="s">
        <v>1446</v>
      </c>
      <c r="G81" s="253" t="s">
        <v>222</v>
      </c>
      <c r="H81" s="246" t="s">
        <v>109</v>
      </c>
      <c r="I81" s="253" t="s">
        <v>142</v>
      </c>
      <c r="J81" s="253" t="s">
        <v>47</v>
      </c>
      <c r="K81" s="256" t="s">
        <v>49</v>
      </c>
      <c r="L81" s="250" t="s">
        <v>18</v>
      </c>
      <c r="M81" s="90">
        <v>0.5</v>
      </c>
      <c r="N81" s="251">
        <v>1</v>
      </c>
      <c r="O81" s="90">
        <v>1.5</v>
      </c>
      <c r="P81" s="93">
        <v>27.099613778523121</v>
      </c>
      <c r="Q81" s="93">
        <v>54.199227557046243</v>
      </c>
      <c r="R81" s="93">
        <v>74.908145703770415</v>
      </c>
      <c r="S81" s="104">
        <v>149.81629140754083</v>
      </c>
      <c r="T81" s="250" t="s">
        <v>107</v>
      </c>
      <c r="U81" s="90">
        <v>0</v>
      </c>
      <c r="V81" s="251">
        <v>0</v>
      </c>
      <c r="W81" s="92">
        <v>0</v>
      </c>
      <c r="X81" s="89">
        <v>0</v>
      </c>
      <c r="Y81" s="89">
        <v>0</v>
      </c>
      <c r="Z81" s="147">
        <v>0</v>
      </c>
      <c r="AA81" s="147">
        <v>0</v>
      </c>
      <c r="AB81" s="250" t="s">
        <v>107</v>
      </c>
      <c r="AC81" s="90">
        <v>0</v>
      </c>
      <c r="AD81" s="252">
        <v>0</v>
      </c>
      <c r="AE81" s="97">
        <v>0</v>
      </c>
      <c r="AF81" s="89">
        <v>0</v>
      </c>
      <c r="AG81" s="115">
        <v>0</v>
      </c>
      <c r="AH81" s="93">
        <v>0</v>
      </c>
      <c r="AI81" s="104">
        <v>0</v>
      </c>
      <c r="AJ81" s="248" t="s">
        <v>49</v>
      </c>
      <c r="AK81" s="246"/>
      <c r="AL81" s="93">
        <v>0</v>
      </c>
      <c r="AM81" s="104">
        <v>0</v>
      </c>
      <c r="AN81" s="246" t="s">
        <v>0</v>
      </c>
      <c r="AO81" s="246">
        <v>0</v>
      </c>
      <c r="AP81" s="93">
        <v>0</v>
      </c>
      <c r="AQ81" s="93">
        <v>0</v>
      </c>
      <c r="AR81" s="114">
        <v>0</v>
      </c>
      <c r="AS81" s="93">
        <v>0</v>
      </c>
      <c r="AT81" s="261">
        <v>1</v>
      </c>
      <c r="AU81" s="260">
        <v>0</v>
      </c>
      <c r="AV81" s="93">
        <v>81.298841335569364</v>
      </c>
      <c r="AW81" s="104">
        <v>224.72443711131126</v>
      </c>
      <c r="AX81" s="93">
        <v>81.298841335569364</v>
      </c>
      <c r="AY81" s="166">
        <v>224.72443711131126</v>
      </c>
      <c r="BA81" s="166"/>
    </row>
    <row r="82" spans="1:53" ht="60">
      <c r="A82" s="96" t="s">
        <v>723</v>
      </c>
      <c r="B82" s="87" t="s">
        <v>712</v>
      </c>
      <c r="C82" s="246" t="s">
        <v>10</v>
      </c>
      <c r="D82" s="253" t="s">
        <v>1414</v>
      </c>
      <c r="E82" s="246" t="s">
        <v>221</v>
      </c>
      <c r="F82" s="253" t="s">
        <v>1446</v>
      </c>
      <c r="G82" s="253" t="s">
        <v>349</v>
      </c>
      <c r="H82" s="246" t="s">
        <v>109</v>
      </c>
      <c r="I82" s="253" t="s">
        <v>142</v>
      </c>
      <c r="J82" s="253" t="s">
        <v>47</v>
      </c>
      <c r="K82" s="256" t="s">
        <v>142</v>
      </c>
      <c r="L82" s="250" t="s">
        <v>18</v>
      </c>
      <c r="M82" s="90">
        <v>0.5</v>
      </c>
      <c r="N82" s="251">
        <v>1</v>
      </c>
      <c r="O82" s="90">
        <v>1.5</v>
      </c>
      <c r="P82" s="93">
        <v>27.099613778523121</v>
      </c>
      <c r="Q82" s="93">
        <v>54.199227557046243</v>
      </c>
      <c r="R82" s="93">
        <v>74.908145703770415</v>
      </c>
      <c r="S82" s="104">
        <v>149.81629140754083</v>
      </c>
      <c r="T82" s="250" t="s">
        <v>107</v>
      </c>
      <c r="U82" s="90">
        <v>0</v>
      </c>
      <c r="V82" s="251">
        <v>0</v>
      </c>
      <c r="W82" s="92">
        <v>0</v>
      </c>
      <c r="X82" s="89">
        <v>0</v>
      </c>
      <c r="Y82" s="89">
        <v>0</v>
      </c>
      <c r="Z82" s="147">
        <v>0</v>
      </c>
      <c r="AA82" s="147">
        <v>0</v>
      </c>
      <c r="AB82" s="250" t="s">
        <v>107</v>
      </c>
      <c r="AC82" s="90">
        <v>0</v>
      </c>
      <c r="AD82" s="252">
        <v>0</v>
      </c>
      <c r="AE82" s="97">
        <v>0</v>
      </c>
      <c r="AF82" s="89">
        <v>0</v>
      </c>
      <c r="AG82" s="115">
        <v>0</v>
      </c>
      <c r="AH82" s="93">
        <v>0</v>
      </c>
      <c r="AI82" s="104">
        <v>0</v>
      </c>
      <c r="AJ82" s="248" t="s">
        <v>49</v>
      </c>
      <c r="AK82" s="246"/>
      <c r="AL82" s="93">
        <v>0</v>
      </c>
      <c r="AM82" s="104">
        <v>0</v>
      </c>
      <c r="AN82" s="246" t="s">
        <v>0</v>
      </c>
      <c r="AO82" s="246">
        <v>0</v>
      </c>
      <c r="AP82" s="93">
        <v>0</v>
      </c>
      <c r="AQ82" s="93">
        <v>0</v>
      </c>
      <c r="AR82" s="114">
        <v>557.32438020070174</v>
      </c>
      <c r="AS82" s="93">
        <v>606.48040436208578</v>
      </c>
      <c r="AT82" s="261">
        <v>1</v>
      </c>
      <c r="AU82" s="260">
        <v>0</v>
      </c>
      <c r="AV82" s="93">
        <v>81.298841335569364</v>
      </c>
      <c r="AW82" s="104">
        <v>224.72443711131126</v>
      </c>
      <c r="AX82" s="93">
        <v>638.6232215362711</v>
      </c>
      <c r="AY82" s="166">
        <v>831.20484147339698</v>
      </c>
      <c r="BA82" s="166"/>
    </row>
    <row r="83" spans="1:53" ht="60">
      <c r="A83" s="96" t="s">
        <v>724</v>
      </c>
      <c r="B83" s="87" t="s">
        <v>713</v>
      </c>
      <c r="C83" s="246" t="s">
        <v>10</v>
      </c>
      <c r="D83" s="253" t="s">
        <v>1414</v>
      </c>
      <c r="E83" s="246" t="s">
        <v>221</v>
      </c>
      <c r="F83" s="253" t="s">
        <v>1446</v>
      </c>
      <c r="G83" s="253" t="s">
        <v>223</v>
      </c>
      <c r="H83" s="246" t="s">
        <v>109</v>
      </c>
      <c r="I83" s="253" t="s">
        <v>142</v>
      </c>
      <c r="J83" s="253" t="s">
        <v>47</v>
      </c>
      <c r="K83" s="256" t="s">
        <v>49</v>
      </c>
      <c r="L83" s="250" t="s">
        <v>18</v>
      </c>
      <c r="M83" s="90">
        <v>0.5</v>
      </c>
      <c r="N83" s="251">
        <v>1</v>
      </c>
      <c r="O83" s="90">
        <v>1.5</v>
      </c>
      <c r="P83" s="93">
        <v>27.099613778523121</v>
      </c>
      <c r="Q83" s="93">
        <v>54.199227557046243</v>
      </c>
      <c r="R83" s="93">
        <v>74.908145703770415</v>
      </c>
      <c r="S83" s="104">
        <v>149.81629140754083</v>
      </c>
      <c r="T83" s="250" t="s">
        <v>107</v>
      </c>
      <c r="U83" s="90">
        <v>0</v>
      </c>
      <c r="V83" s="251">
        <v>0</v>
      </c>
      <c r="W83" s="92">
        <v>0</v>
      </c>
      <c r="X83" s="89">
        <v>0</v>
      </c>
      <c r="Y83" s="89">
        <v>0</v>
      </c>
      <c r="Z83" s="147">
        <v>0</v>
      </c>
      <c r="AA83" s="147">
        <v>0</v>
      </c>
      <c r="AB83" s="250" t="s">
        <v>107</v>
      </c>
      <c r="AC83" s="90">
        <v>0</v>
      </c>
      <c r="AD83" s="252">
        <v>0</v>
      </c>
      <c r="AE83" s="97">
        <v>0</v>
      </c>
      <c r="AF83" s="89">
        <v>0</v>
      </c>
      <c r="AG83" s="115">
        <v>0</v>
      </c>
      <c r="AH83" s="93">
        <v>0</v>
      </c>
      <c r="AI83" s="104">
        <v>0</v>
      </c>
      <c r="AJ83" s="248" t="s">
        <v>49</v>
      </c>
      <c r="AK83" s="246"/>
      <c r="AL83" s="93">
        <v>0</v>
      </c>
      <c r="AM83" s="104">
        <v>0</v>
      </c>
      <c r="AN83" s="246" t="s">
        <v>0</v>
      </c>
      <c r="AO83" s="246">
        <v>0</v>
      </c>
      <c r="AP83" s="93">
        <v>0</v>
      </c>
      <c r="AQ83" s="93">
        <v>0</v>
      </c>
      <c r="AR83" s="114">
        <v>0</v>
      </c>
      <c r="AS83" s="93">
        <v>0</v>
      </c>
      <c r="AT83" s="261">
        <v>1</v>
      </c>
      <c r="AU83" s="260">
        <v>0</v>
      </c>
      <c r="AV83" s="93">
        <v>81.298841335569364</v>
      </c>
      <c r="AW83" s="104">
        <v>224.72443711131126</v>
      </c>
      <c r="AX83" s="93">
        <v>81.298841335569364</v>
      </c>
      <c r="AY83" s="166">
        <v>224.72443711131126</v>
      </c>
      <c r="BA83" s="166"/>
    </row>
    <row r="84" spans="1:53" ht="60">
      <c r="A84" s="96" t="s">
        <v>725</v>
      </c>
      <c r="B84" s="87" t="s">
        <v>1166</v>
      </c>
      <c r="C84" s="246" t="s">
        <v>10</v>
      </c>
      <c r="D84" s="253" t="s">
        <v>1414</v>
      </c>
      <c r="E84" s="246" t="s">
        <v>221</v>
      </c>
      <c r="F84" s="253" t="s">
        <v>1446</v>
      </c>
      <c r="G84" s="253" t="s">
        <v>350</v>
      </c>
      <c r="H84" s="246" t="s">
        <v>109</v>
      </c>
      <c r="I84" s="253" t="s">
        <v>142</v>
      </c>
      <c r="J84" s="253" t="s">
        <v>47</v>
      </c>
      <c r="K84" s="256" t="s">
        <v>142</v>
      </c>
      <c r="L84" s="250" t="s">
        <v>18</v>
      </c>
      <c r="M84" s="90">
        <v>0.5</v>
      </c>
      <c r="N84" s="251">
        <v>1</v>
      </c>
      <c r="O84" s="90">
        <v>1.5</v>
      </c>
      <c r="P84" s="93">
        <v>27.099613778523121</v>
      </c>
      <c r="Q84" s="93">
        <v>54.199227557046243</v>
      </c>
      <c r="R84" s="93">
        <v>74.908145703770415</v>
      </c>
      <c r="S84" s="104">
        <v>149.81629140754083</v>
      </c>
      <c r="T84" s="250" t="s">
        <v>107</v>
      </c>
      <c r="U84" s="90">
        <v>0</v>
      </c>
      <c r="V84" s="251">
        <v>0</v>
      </c>
      <c r="W84" s="92">
        <v>0</v>
      </c>
      <c r="X84" s="89">
        <v>0</v>
      </c>
      <c r="Y84" s="89">
        <v>0</v>
      </c>
      <c r="Z84" s="147">
        <v>0</v>
      </c>
      <c r="AA84" s="147">
        <v>0</v>
      </c>
      <c r="AB84" s="250" t="s">
        <v>107</v>
      </c>
      <c r="AC84" s="90">
        <v>0</v>
      </c>
      <c r="AD84" s="252">
        <v>0</v>
      </c>
      <c r="AE84" s="97">
        <v>0</v>
      </c>
      <c r="AF84" s="89">
        <v>0</v>
      </c>
      <c r="AG84" s="115">
        <v>0</v>
      </c>
      <c r="AH84" s="93">
        <v>0</v>
      </c>
      <c r="AI84" s="104">
        <v>0</v>
      </c>
      <c r="AJ84" s="248" t="s">
        <v>49</v>
      </c>
      <c r="AK84" s="246"/>
      <c r="AL84" s="93">
        <v>0</v>
      </c>
      <c r="AM84" s="104">
        <v>0</v>
      </c>
      <c r="AN84" s="246" t="s">
        <v>0</v>
      </c>
      <c r="AO84" s="246">
        <v>0</v>
      </c>
      <c r="AP84" s="93">
        <v>0</v>
      </c>
      <c r="AQ84" s="93">
        <v>0</v>
      </c>
      <c r="AR84" s="114">
        <v>557.32438020070174</v>
      </c>
      <c r="AS84" s="93">
        <v>606.48040436208578</v>
      </c>
      <c r="AT84" s="261">
        <v>1</v>
      </c>
      <c r="AU84" s="260">
        <v>0</v>
      </c>
      <c r="AV84" s="93">
        <v>81.298841335569364</v>
      </c>
      <c r="AW84" s="104">
        <v>224.72443711131126</v>
      </c>
      <c r="AX84" s="93">
        <v>638.6232215362711</v>
      </c>
      <c r="AY84" s="166">
        <v>831.20484147339698</v>
      </c>
      <c r="BA84" s="166"/>
    </row>
    <row r="85" spans="1:53" ht="60">
      <c r="A85" s="96" t="s">
        <v>726</v>
      </c>
      <c r="B85" s="87" t="s">
        <v>1167</v>
      </c>
      <c r="C85" s="246" t="s">
        <v>10</v>
      </c>
      <c r="D85" s="253" t="s">
        <v>1414</v>
      </c>
      <c r="E85" s="246" t="s">
        <v>221</v>
      </c>
      <c r="F85" s="253" t="s">
        <v>1446</v>
      </c>
      <c r="G85" s="253" t="s">
        <v>224</v>
      </c>
      <c r="H85" s="246" t="s">
        <v>109</v>
      </c>
      <c r="I85" s="253" t="s">
        <v>142</v>
      </c>
      <c r="J85" s="253" t="s">
        <v>113</v>
      </c>
      <c r="K85" s="256" t="s">
        <v>49</v>
      </c>
      <c r="L85" s="250" t="s">
        <v>18</v>
      </c>
      <c r="M85" s="90">
        <v>0.5</v>
      </c>
      <c r="N85" s="251">
        <v>1</v>
      </c>
      <c r="O85" s="90">
        <v>1.5</v>
      </c>
      <c r="P85" s="93">
        <v>37.951648559259922</v>
      </c>
      <c r="Q85" s="93">
        <v>75.903297118519845</v>
      </c>
      <c r="R85" s="93">
        <v>104.90509729066193</v>
      </c>
      <c r="S85" s="104">
        <v>209.81019458132386</v>
      </c>
      <c r="T85" s="250" t="s">
        <v>107</v>
      </c>
      <c r="U85" s="90">
        <v>0</v>
      </c>
      <c r="V85" s="251">
        <v>0</v>
      </c>
      <c r="W85" s="92">
        <v>0</v>
      </c>
      <c r="X85" s="89">
        <v>0</v>
      </c>
      <c r="Y85" s="89">
        <v>0</v>
      </c>
      <c r="Z85" s="147">
        <v>0</v>
      </c>
      <c r="AA85" s="147">
        <v>0</v>
      </c>
      <c r="AB85" s="250" t="s">
        <v>107</v>
      </c>
      <c r="AC85" s="90">
        <v>0</v>
      </c>
      <c r="AD85" s="252">
        <v>0</v>
      </c>
      <c r="AE85" s="97">
        <v>0</v>
      </c>
      <c r="AF85" s="89">
        <v>0</v>
      </c>
      <c r="AG85" s="115">
        <v>0</v>
      </c>
      <c r="AH85" s="93">
        <v>0</v>
      </c>
      <c r="AI85" s="104">
        <v>0</v>
      </c>
      <c r="AJ85" s="248" t="s">
        <v>49</v>
      </c>
      <c r="AK85" s="246"/>
      <c r="AL85" s="93">
        <v>0</v>
      </c>
      <c r="AM85" s="104">
        <v>0</v>
      </c>
      <c r="AN85" s="246" t="s">
        <v>0</v>
      </c>
      <c r="AO85" s="246">
        <v>0</v>
      </c>
      <c r="AP85" s="93">
        <v>0</v>
      </c>
      <c r="AQ85" s="93">
        <v>0</v>
      </c>
      <c r="AR85" s="114">
        <v>0</v>
      </c>
      <c r="AS85" s="93">
        <v>0</v>
      </c>
      <c r="AT85" s="261">
        <v>1</v>
      </c>
      <c r="AU85" s="260">
        <v>0</v>
      </c>
      <c r="AV85" s="93">
        <v>113.85494567777977</v>
      </c>
      <c r="AW85" s="104">
        <v>314.71529187198576</v>
      </c>
      <c r="AX85" s="93">
        <v>113.85494567777977</v>
      </c>
      <c r="AY85" s="166">
        <v>314.71529187198576</v>
      </c>
      <c r="BA85" s="166"/>
    </row>
    <row r="86" spans="1:53" ht="60">
      <c r="A86" s="96" t="s">
        <v>727</v>
      </c>
      <c r="B86" s="87" t="s">
        <v>1168</v>
      </c>
      <c r="C86" s="246" t="s">
        <v>10</v>
      </c>
      <c r="D86" s="253" t="s">
        <v>1414</v>
      </c>
      <c r="E86" s="246" t="s">
        <v>221</v>
      </c>
      <c r="F86" s="253" t="s">
        <v>1446</v>
      </c>
      <c r="G86" s="253" t="s">
        <v>351</v>
      </c>
      <c r="H86" s="246" t="s">
        <v>109</v>
      </c>
      <c r="I86" s="253" t="s">
        <v>142</v>
      </c>
      <c r="J86" s="253" t="s">
        <v>113</v>
      </c>
      <c r="K86" s="256" t="s">
        <v>142</v>
      </c>
      <c r="L86" s="250" t="s">
        <v>18</v>
      </c>
      <c r="M86" s="90">
        <v>0.5</v>
      </c>
      <c r="N86" s="251">
        <v>1</v>
      </c>
      <c r="O86" s="90">
        <v>1.5</v>
      </c>
      <c r="P86" s="93">
        <v>37.951648559259922</v>
      </c>
      <c r="Q86" s="93">
        <v>75.903297118519845</v>
      </c>
      <c r="R86" s="93">
        <v>104.90509729066193</v>
      </c>
      <c r="S86" s="104">
        <v>209.81019458132386</v>
      </c>
      <c r="T86" s="250" t="s">
        <v>107</v>
      </c>
      <c r="U86" s="90">
        <v>0</v>
      </c>
      <c r="V86" s="251">
        <v>0</v>
      </c>
      <c r="W86" s="92">
        <v>0</v>
      </c>
      <c r="X86" s="89">
        <v>0</v>
      </c>
      <c r="Y86" s="89">
        <v>0</v>
      </c>
      <c r="Z86" s="147">
        <v>0</v>
      </c>
      <c r="AA86" s="147">
        <v>0</v>
      </c>
      <c r="AB86" s="250" t="s">
        <v>107</v>
      </c>
      <c r="AC86" s="90">
        <v>0</v>
      </c>
      <c r="AD86" s="252">
        <v>0</v>
      </c>
      <c r="AE86" s="97">
        <v>0</v>
      </c>
      <c r="AF86" s="89">
        <v>0</v>
      </c>
      <c r="AG86" s="115">
        <v>0</v>
      </c>
      <c r="AH86" s="93">
        <v>0</v>
      </c>
      <c r="AI86" s="104">
        <v>0</v>
      </c>
      <c r="AJ86" s="248" t="s">
        <v>49</v>
      </c>
      <c r="AK86" s="246"/>
      <c r="AL86" s="93">
        <v>0</v>
      </c>
      <c r="AM86" s="104">
        <v>0</v>
      </c>
      <c r="AN86" s="246" t="s">
        <v>0</v>
      </c>
      <c r="AO86" s="246">
        <v>0</v>
      </c>
      <c r="AP86" s="93">
        <v>0</v>
      </c>
      <c r="AQ86" s="93">
        <v>0</v>
      </c>
      <c r="AR86" s="114">
        <v>557.32438020070174</v>
      </c>
      <c r="AS86" s="93">
        <v>606.48040436208578</v>
      </c>
      <c r="AT86" s="261">
        <v>1</v>
      </c>
      <c r="AU86" s="260">
        <v>0</v>
      </c>
      <c r="AV86" s="93">
        <v>113.85494567777977</v>
      </c>
      <c r="AW86" s="104">
        <v>314.71529187198576</v>
      </c>
      <c r="AX86" s="93">
        <v>671.17932587848145</v>
      </c>
      <c r="AY86" s="166">
        <v>921.19569623407153</v>
      </c>
      <c r="BA86" s="166"/>
    </row>
    <row r="87" spans="1:53" ht="60">
      <c r="A87" s="96" t="s">
        <v>728</v>
      </c>
      <c r="B87" s="87" t="s">
        <v>1169</v>
      </c>
      <c r="C87" s="246" t="s">
        <v>10</v>
      </c>
      <c r="D87" s="253" t="s">
        <v>1414</v>
      </c>
      <c r="E87" s="246" t="s">
        <v>221</v>
      </c>
      <c r="F87" s="253" t="s">
        <v>1446</v>
      </c>
      <c r="G87" s="253" t="s">
        <v>225</v>
      </c>
      <c r="H87" s="246" t="s">
        <v>109</v>
      </c>
      <c r="I87" s="253" t="s">
        <v>142</v>
      </c>
      <c r="J87" s="253" t="s">
        <v>113</v>
      </c>
      <c r="K87" s="256" t="s">
        <v>49</v>
      </c>
      <c r="L87" s="250" t="s">
        <v>18</v>
      </c>
      <c r="M87" s="90">
        <v>0.5</v>
      </c>
      <c r="N87" s="251">
        <v>1</v>
      </c>
      <c r="O87" s="90">
        <v>1.5</v>
      </c>
      <c r="P87" s="93">
        <v>37.951648559259922</v>
      </c>
      <c r="Q87" s="93">
        <v>75.903297118519845</v>
      </c>
      <c r="R87" s="93">
        <v>104.90509729066193</v>
      </c>
      <c r="S87" s="104">
        <v>209.81019458132386</v>
      </c>
      <c r="T87" s="250" t="s">
        <v>107</v>
      </c>
      <c r="U87" s="90">
        <v>0</v>
      </c>
      <c r="V87" s="251">
        <v>0</v>
      </c>
      <c r="W87" s="92">
        <v>0</v>
      </c>
      <c r="X87" s="89">
        <v>0</v>
      </c>
      <c r="Y87" s="89">
        <v>0</v>
      </c>
      <c r="Z87" s="147">
        <v>0</v>
      </c>
      <c r="AA87" s="147">
        <v>0</v>
      </c>
      <c r="AB87" s="250" t="s">
        <v>107</v>
      </c>
      <c r="AC87" s="90">
        <v>0</v>
      </c>
      <c r="AD87" s="252">
        <v>0</v>
      </c>
      <c r="AE87" s="97">
        <v>0</v>
      </c>
      <c r="AF87" s="89">
        <v>0</v>
      </c>
      <c r="AG87" s="115">
        <v>0</v>
      </c>
      <c r="AH87" s="93">
        <v>0</v>
      </c>
      <c r="AI87" s="104">
        <v>0</v>
      </c>
      <c r="AJ87" s="248" t="s">
        <v>49</v>
      </c>
      <c r="AK87" s="246"/>
      <c r="AL87" s="93">
        <v>0</v>
      </c>
      <c r="AM87" s="104">
        <v>0</v>
      </c>
      <c r="AN87" s="246" t="s">
        <v>0</v>
      </c>
      <c r="AO87" s="246">
        <v>0</v>
      </c>
      <c r="AP87" s="93">
        <v>0</v>
      </c>
      <c r="AQ87" s="93">
        <v>0</v>
      </c>
      <c r="AR87" s="114">
        <v>0</v>
      </c>
      <c r="AS87" s="93">
        <v>0</v>
      </c>
      <c r="AT87" s="261">
        <v>1</v>
      </c>
      <c r="AU87" s="260">
        <v>0</v>
      </c>
      <c r="AV87" s="93">
        <v>113.85494567777977</v>
      </c>
      <c r="AW87" s="104">
        <v>314.71529187198576</v>
      </c>
      <c r="AX87" s="93">
        <v>113.85494567777977</v>
      </c>
      <c r="AY87" s="166">
        <v>314.71529187198576</v>
      </c>
      <c r="BA87" s="166"/>
    </row>
    <row r="88" spans="1:53" ht="60">
      <c r="A88" s="96" t="s">
        <v>729</v>
      </c>
      <c r="B88" s="87" t="s">
        <v>1170</v>
      </c>
      <c r="C88" s="246" t="s">
        <v>10</v>
      </c>
      <c r="D88" s="253" t="s">
        <v>1414</v>
      </c>
      <c r="E88" s="246" t="s">
        <v>221</v>
      </c>
      <c r="F88" s="253" t="s">
        <v>1446</v>
      </c>
      <c r="G88" s="253" t="s">
        <v>355</v>
      </c>
      <c r="H88" s="246" t="s">
        <v>109</v>
      </c>
      <c r="I88" s="253" t="s">
        <v>142</v>
      </c>
      <c r="J88" s="253" t="s">
        <v>113</v>
      </c>
      <c r="K88" s="256" t="s">
        <v>142</v>
      </c>
      <c r="L88" s="250" t="s">
        <v>18</v>
      </c>
      <c r="M88" s="90">
        <v>0.5</v>
      </c>
      <c r="N88" s="251">
        <v>1</v>
      </c>
      <c r="O88" s="90">
        <v>1.5</v>
      </c>
      <c r="P88" s="93">
        <v>37.951648559259922</v>
      </c>
      <c r="Q88" s="93">
        <v>75.903297118519845</v>
      </c>
      <c r="R88" s="93">
        <v>104.90509729066193</v>
      </c>
      <c r="S88" s="104">
        <v>209.81019458132386</v>
      </c>
      <c r="T88" s="250" t="s">
        <v>107</v>
      </c>
      <c r="U88" s="90">
        <v>0</v>
      </c>
      <c r="V88" s="251">
        <v>0</v>
      </c>
      <c r="W88" s="92">
        <v>0</v>
      </c>
      <c r="X88" s="89">
        <v>0</v>
      </c>
      <c r="Y88" s="89">
        <v>0</v>
      </c>
      <c r="Z88" s="147">
        <v>0</v>
      </c>
      <c r="AA88" s="147">
        <v>0</v>
      </c>
      <c r="AB88" s="250" t="s">
        <v>107</v>
      </c>
      <c r="AC88" s="90">
        <v>0</v>
      </c>
      <c r="AD88" s="252">
        <v>0</v>
      </c>
      <c r="AE88" s="97">
        <v>0</v>
      </c>
      <c r="AF88" s="89">
        <v>0</v>
      </c>
      <c r="AG88" s="115">
        <v>0</v>
      </c>
      <c r="AH88" s="93">
        <v>0</v>
      </c>
      <c r="AI88" s="104">
        <v>0</v>
      </c>
      <c r="AJ88" s="248" t="s">
        <v>49</v>
      </c>
      <c r="AK88" s="246"/>
      <c r="AL88" s="93">
        <v>0</v>
      </c>
      <c r="AM88" s="104">
        <v>0</v>
      </c>
      <c r="AN88" s="246" t="s">
        <v>0</v>
      </c>
      <c r="AO88" s="246">
        <v>0</v>
      </c>
      <c r="AP88" s="93">
        <v>0</v>
      </c>
      <c r="AQ88" s="93">
        <v>0</v>
      </c>
      <c r="AR88" s="114">
        <v>557.32438020070174</v>
      </c>
      <c r="AS88" s="93">
        <v>606.48040436208578</v>
      </c>
      <c r="AT88" s="261">
        <v>1</v>
      </c>
      <c r="AU88" s="260">
        <v>0</v>
      </c>
      <c r="AV88" s="93">
        <v>113.85494567777977</v>
      </c>
      <c r="AW88" s="104">
        <v>314.71529187198576</v>
      </c>
      <c r="AX88" s="93">
        <v>671.17932587848145</v>
      </c>
      <c r="AY88" s="166">
        <v>921.19569623407153</v>
      </c>
      <c r="BA88" s="166"/>
    </row>
    <row r="89" spans="1:53" ht="90">
      <c r="A89" s="96" t="s">
        <v>730</v>
      </c>
      <c r="B89" s="87" t="s">
        <v>1171</v>
      </c>
      <c r="C89" s="246" t="s">
        <v>10</v>
      </c>
      <c r="D89" s="253" t="s">
        <v>1414</v>
      </c>
      <c r="E89" s="246" t="s">
        <v>227</v>
      </c>
      <c r="F89" s="253" t="s">
        <v>391</v>
      </c>
      <c r="G89" s="253" t="s">
        <v>228</v>
      </c>
      <c r="H89" s="246" t="s">
        <v>109</v>
      </c>
      <c r="I89" s="253" t="s">
        <v>142</v>
      </c>
      <c r="J89" s="253" t="s">
        <v>47</v>
      </c>
      <c r="K89" s="256" t="s">
        <v>49</v>
      </c>
      <c r="L89" s="250" t="s">
        <v>18</v>
      </c>
      <c r="M89" s="90">
        <v>0.5</v>
      </c>
      <c r="N89" s="251">
        <v>1.1499999999999999</v>
      </c>
      <c r="O89" s="90">
        <v>1.65</v>
      </c>
      <c r="P89" s="93">
        <v>27.099613778523121</v>
      </c>
      <c r="Q89" s="93">
        <v>62.329111690603177</v>
      </c>
      <c r="R89" s="93">
        <v>74.908145703770415</v>
      </c>
      <c r="S89" s="104">
        <v>172.28873511867195</v>
      </c>
      <c r="T89" s="250" t="s">
        <v>18</v>
      </c>
      <c r="U89" s="90">
        <v>0.5</v>
      </c>
      <c r="V89" s="251">
        <v>1.1499999999999999</v>
      </c>
      <c r="W89" s="92">
        <v>1.65</v>
      </c>
      <c r="X89" s="89">
        <v>27.099613778523121</v>
      </c>
      <c r="Y89" s="89">
        <v>62.329111690603177</v>
      </c>
      <c r="Z89" s="147">
        <v>74.908145703770415</v>
      </c>
      <c r="AA89" s="147">
        <v>172.28873511867195</v>
      </c>
      <c r="AB89" s="250" t="s">
        <v>107</v>
      </c>
      <c r="AC89" s="90">
        <v>0</v>
      </c>
      <c r="AD89" s="252">
        <v>0</v>
      </c>
      <c r="AE89" s="97">
        <v>0</v>
      </c>
      <c r="AF89" s="89">
        <v>0</v>
      </c>
      <c r="AG89" s="115">
        <v>0</v>
      </c>
      <c r="AH89" s="93">
        <v>0</v>
      </c>
      <c r="AI89" s="104">
        <v>0</v>
      </c>
      <c r="AJ89" s="248" t="s">
        <v>49</v>
      </c>
      <c r="AK89" s="246"/>
      <c r="AL89" s="93">
        <v>0</v>
      </c>
      <c r="AM89" s="104">
        <v>0</v>
      </c>
      <c r="AN89" s="246" t="s">
        <v>77</v>
      </c>
      <c r="AO89" s="246">
        <v>1</v>
      </c>
      <c r="AP89" s="93">
        <v>97.94462069580733</v>
      </c>
      <c r="AQ89" s="93">
        <v>133.60666340946995</v>
      </c>
      <c r="AR89" s="114">
        <v>0</v>
      </c>
      <c r="AS89" s="93">
        <v>0</v>
      </c>
      <c r="AT89" s="261">
        <v>1</v>
      </c>
      <c r="AU89" s="260">
        <v>0</v>
      </c>
      <c r="AV89" s="93">
        <v>178.85745093825261</v>
      </c>
      <c r="AW89" s="104">
        <v>494.39376164488476</v>
      </c>
      <c r="AX89" s="93">
        <v>276.80207163405993</v>
      </c>
      <c r="AY89" s="166">
        <v>628.00042505435476</v>
      </c>
      <c r="BA89" s="166"/>
    </row>
    <row r="90" spans="1:53" ht="90">
      <c r="A90" s="96" t="s">
        <v>731</v>
      </c>
      <c r="B90" s="87" t="s">
        <v>1172</v>
      </c>
      <c r="C90" s="246" t="s">
        <v>10</v>
      </c>
      <c r="D90" s="253" t="s">
        <v>1414</v>
      </c>
      <c r="E90" s="246" t="s">
        <v>227</v>
      </c>
      <c r="F90" s="253" t="s">
        <v>391</v>
      </c>
      <c r="G90" s="253" t="s">
        <v>240</v>
      </c>
      <c r="H90" s="246" t="s">
        <v>109</v>
      </c>
      <c r="I90" s="253" t="s">
        <v>142</v>
      </c>
      <c r="J90" s="253" t="s">
        <v>47</v>
      </c>
      <c r="K90" s="256" t="s">
        <v>142</v>
      </c>
      <c r="L90" s="250" t="s">
        <v>18</v>
      </c>
      <c r="M90" s="90">
        <v>0.5</v>
      </c>
      <c r="N90" s="251">
        <v>1.1499999999999999</v>
      </c>
      <c r="O90" s="90">
        <v>1.65</v>
      </c>
      <c r="P90" s="93">
        <v>27.099613778523121</v>
      </c>
      <c r="Q90" s="93">
        <v>62.329111690603177</v>
      </c>
      <c r="R90" s="93">
        <v>74.908145703770415</v>
      </c>
      <c r="S90" s="104">
        <v>172.28873511867195</v>
      </c>
      <c r="T90" s="250" t="s">
        <v>18</v>
      </c>
      <c r="U90" s="90">
        <v>0.5</v>
      </c>
      <c r="V90" s="251">
        <v>1.1499999999999999</v>
      </c>
      <c r="W90" s="92">
        <v>1.65</v>
      </c>
      <c r="X90" s="89">
        <v>27.099613778523121</v>
      </c>
      <c r="Y90" s="89">
        <v>62.329111690603177</v>
      </c>
      <c r="Z90" s="147">
        <v>74.908145703770415</v>
      </c>
      <c r="AA90" s="147">
        <v>172.28873511867195</v>
      </c>
      <c r="AB90" s="250" t="s">
        <v>107</v>
      </c>
      <c r="AC90" s="90">
        <v>0</v>
      </c>
      <c r="AD90" s="252">
        <v>0</v>
      </c>
      <c r="AE90" s="97">
        <v>0</v>
      </c>
      <c r="AF90" s="89">
        <v>0</v>
      </c>
      <c r="AG90" s="115">
        <v>0</v>
      </c>
      <c r="AH90" s="93">
        <v>0</v>
      </c>
      <c r="AI90" s="104">
        <v>0</v>
      </c>
      <c r="AJ90" s="248" t="s">
        <v>49</v>
      </c>
      <c r="AK90" s="246"/>
      <c r="AL90" s="93">
        <v>0</v>
      </c>
      <c r="AM90" s="104">
        <v>0</v>
      </c>
      <c r="AN90" s="246" t="s">
        <v>77</v>
      </c>
      <c r="AO90" s="246">
        <v>1</v>
      </c>
      <c r="AP90" s="93">
        <v>97.94462069580733</v>
      </c>
      <c r="AQ90" s="93">
        <v>133.60666340946995</v>
      </c>
      <c r="AR90" s="114">
        <v>557.32438020070174</v>
      </c>
      <c r="AS90" s="93">
        <v>606.48040436208578</v>
      </c>
      <c r="AT90" s="261">
        <v>1</v>
      </c>
      <c r="AU90" s="260">
        <v>0</v>
      </c>
      <c r="AV90" s="93">
        <v>178.85745093825261</v>
      </c>
      <c r="AW90" s="104">
        <v>494.39376164488476</v>
      </c>
      <c r="AX90" s="93">
        <v>834.12645183476161</v>
      </c>
      <c r="AY90" s="166">
        <v>1234.4808294164404</v>
      </c>
      <c r="BA90" s="166"/>
    </row>
    <row r="91" spans="1:53" ht="90">
      <c r="A91" s="96" t="s">
        <v>732</v>
      </c>
      <c r="B91" s="87" t="s">
        <v>1173</v>
      </c>
      <c r="C91" s="246" t="s">
        <v>10</v>
      </c>
      <c r="D91" s="253" t="s">
        <v>1414</v>
      </c>
      <c r="E91" s="246" t="s">
        <v>227</v>
      </c>
      <c r="F91" s="253" t="s">
        <v>391</v>
      </c>
      <c r="G91" s="253" t="s">
        <v>229</v>
      </c>
      <c r="H91" s="246" t="s">
        <v>109</v>
      </c>
      <c r="I91" s="253" t="s">
        <v>142</v>
      </c>
      <c r="J91" s="253" t="s">
        <v>113</v>
      </c>
      <c r="K91" s="256" t="s">
        <v>49</v>
      </c>
      <c r="L91" s="250" t="s">
        <v>18</v>
      </c>
      <c r="M91" s="90">
        <v>0.5</v>
      </c>
      <c r="N91" s="251">
        <v>1.1499999999999999</v>
      </c>
      <c r="O91" s="90">
        <v>1.65</v>
      </c>
      <c r="P91" s="93">
        <v>37.951648559259922</v>
      </c>
      <c r="Q91" s="93">
        <v>87.288791686297813</v>
      </c>
      <c r="R91" s="93">
        <v>104.90509729066193</v>
      </c>
      <c r="S91" s="104">
        <v>241.28172376852243</v>
      </c>
      <c r="T91" s="250" t="s">
        <v>18</v>
      </c>
      <c r="U91" s="90">
        <v>0.5</v>
      </c>
      <c r="V91" s="251">
        <v>1.1499999999999999</v>
      </c>
      <c r="W91" s="92">
        <v>1.65</v>
      </c>
      <c r="X91" s="89">
        <v>37.951648559259922</v>
      </c>
      <c r="Y91" s="89">
        <v>87.288791686297813</v>
      </c>
      <c r="Z91" s="147">
        <v>104.90509729066193</v>
      </c>
      <c r="AA91" s="147">
        <v>241.28172376852243</v>
      </c>
      <c r="AB91" s="250" t="s">
        <v>107</v>
      </c>
      <c r="AC91" s="90">
        <v>0</v>
      </c>
      <c r="AD91" s="252">
        <v>0</v>
      </c>
      <c r="AE91" s="97">
        <v>0</v>
      </c>
      <c r="AF91" s="89">
        <v>0</v>
      </c>
      <c r="AG91" s="115">
        <v>0</v>
      </c>
      <c r="AH91" s="93">
        <v>0</v>
      </c>
      <c r="AI91" s="104">
        <v>0</v>
      </c>
      <c r="AJ91" s="248" t="s">
        <v>49</v>
      </c>
      <c r="AK91" s="246"/>
      <c r="AL91" s="93">
        <v>0</v>
      </c>
      <c r="AM91" s="104">
        <v>0</v>
      </c>
      <c r="AN91" s="246" t="s">
        <v>77</v>
      </c>
      <c r="AO91" s="246">
        <v>1</v>
      </c>
      <c r="AP91" s="93">
        <v>97.94462069580733</v>
      </c>
      <c r="AQ91" s="93">
        <v>133.60666340946995</v>
      </c>
      <c r="AR91" s="114">
        <v>0</v>
      </c>
      <c r="AS91" s="93">
        <v>0</v>
      </c>
      <c r="AT91" s="261">
        <v>1</v>
      </c>
      <c r="AU91" s="260">
        <v>0</v>
      </c>
      <c r="AV91" s="93">
        <v>250.4808804911155</v>
      </c>
      <c r="AW91" s="104">
        <v>692.37364211836871</v>
      </c>
      <c r="AX91" s="93">
        <v>348.42550118692282</v>
      </c>
      <c r="AY91" s="166">
        <v>825.98030552783871</v>
      </c>
      <c r="BA91" s="166"/>
    </row>
    <row r="92" spans="1:53" ht="90">
      <c r="A92" s="96" t="s">
        <v>733</v>
      </c>
      <c r="B92" s="87" t="s">
        <v>1174</v>
      </c>
      <c r="C92" s="246" t="s">
        <v>10</v>
      </c>
      <c r="D92" s="253" t="s">
        <v>1414</v>
      </c>
      <c r="E92" s="246" t="s">
        <v>227</v>
      </c>
      <c r="F92" s="253" t="s">
        <v>391</v>
      </c>
      <c r="G92" s="253" t="s">
        <v>241</v>
      </c>
      <c r="H92" s="246" t="s">
        <v>109</v>
      </c>
      <c r="I92" s="253" t="s">
        <v>142</v>
      </c>
      <c r="J92" s="253" t="s">
        <v>113</v>
      </c>
      <c r="K92" s="256" t="s">
        <v>142</v>
      </c>
      <c r="L92" s="250" t="s">
        <v>18</v>
      </c>
      <c r="M92" s="90">
        <v>0.5</v>
      </c>
      <c r="N92" s="251">
        <v>1.1499999999999999</v>
      </c>
      <c r="O92" s="90">
        <v>1.65</v>
      </c>
      <c r="P92" s="93">
        <v>37.951648559259922</v>
      </c>
      <c r="Q92" s="93">
        <v>87.288791686297813</v>
      </c>
      <c r="R92" s="93">
        <v>104.90509729066193</v>
      </c>
      <c r="S92" s="104">
        <v>241.28172376852243</v>
      </c>
      <c r="T92" s="250" t="s">
        <v>18</v>
      </c>
      <c r="U92" s="90">
        <v>0.5</v>
      </c>
      <c r="V92" s="251">
        <v>1.1499999999999999</v>
      </c>
      <c r="W92" s="92">
        <v>1.65</v>
      </c>
      <c r="X92" s="89">
        <v>37.951648559259922</v>
      </c>
      <c r="Y92" s="89">
        <v>87.288791686297813</v>
      </c>
      <c r="Z92" s="147">
        <v>104.90509729066193</v>
      </c>
      <c r="AA92" s="147">
        <v>241.28172376852243</v>
      </c>
      <c r="AB92" s="250" t="s">
        <v>107</v>
      </c>
      <c r="AC92" s="90">
        <v>0</v>
      </c>
      <c r="AD92" s="252">
        <v>0</v>
      </c>
      <c r="AE92" s="97">
        <v>0</v>
      </c>
      <c r="AF92" s="89">
        <v>0</v>
      </c>
      <c r="AG92" s="115">
        <v>0</v>
      </c>
      <c r="AH92" s="93">
        <v>0</v>
      </c>
      <c r="AI92" s="104">
        <v>0</v>
      </c>
      <c r="AJ92" s="248" t="s">
        <v>49</v>
      </c>
      <c r="AK92" s="246"/>
      <c r="AL92" s="93">
        <v>0</v>
      </c>
      <c r="AM92" s="104">
        <v>0</v>
      </c>
      <c r="AN92" s="246" t="s">
        <v>77</v>
      </c>
      <c r="AO92" s="246">
        <v>1</v>
      </c>
      <c r="AP92" s="93">
        <v>97.94462069580733</v>
      </c>
      <c r="AQ92" s="93">
        <v>133.60666340946995</v>
      </c>
      <c r="AR92" s="114">
        <v>557.32438020070174</v>
      </c>
      <c r="AS92" s="93">
        <v>606.48040436208578</v>
      </c>
      <c r="AT92" s="261">
        <v>1</v>
      </c>
      <c r="AU92" s="260">
        <v>0</v>
      </c>
      <c r="AV92" s="93">
        <v>250.4808804911155</v>
      </c>
      <c r="AW92" s="104">
        <v>692.37364211836871</v>
      </c>
      <c r="AX92" s="93">
        <v>905.74988138762455</v>
      </c>
      <c r="AY92" s="166">
        <v>1432.4607098899244</v>
      </c>
      <c r="BA92" s="166"/>
    </row>
    <row r="93" spans="1:53" ht="90">
      <c r="A93" s="96" t="s">
        <v>734</v>
      </c>
      <c r="B93" s="87" t="s">
        <v>1175</v>
      </c>
      <c r="C93" s="246" t="s">
        <v>10</v>
      </c>
      <c r="D93" s="253" t="s">
        <v>1414</v>
      </c>
      <c r="E93" s="246" t="s">
        <v>227</v>
      </c>
      <c r="F93" s="253" t="s">
        <v>391</v>
      </c>
      <c r="G93" s="253" t="s">
        <v>231</v>
      </c>
      <c r="H93" s="246" t="s">
        <v>109</v>
      </c>
      <c r="I93" s="253" t="s">
        <v>142</v>
      </c>
      <c r="J93" s="253" t="s">
        <v>47</v>
      </c>
      <c r="K93" s="256" t="s">
        <v>49</v>
      </c>
      <c r="L93" s="250" t="s">
        <v>18</v>
      </c>
      <c r="M93" s="90">
        <v>0.5</v>
      </c>
      <c r="N93" s="251">
        <v>1.54</v>
      </c>
      <c r="O93" s="90">
        <v>2.04</v>
      </c>
      <c r="P93" s="93">
        <v>27.099613778523121</v>
      </c>
      <c r="Q93" s="93">
        <v>83.466810437851208</v>
      </c>
      <c r="R93" s="93">
        <v>74.908145703770415</v>
      </c>
      <c r="S93" s="104">
        <v>230.71708876761284</v>
      </c>
      <c r="T93" s="250" t="s">
        <v>18</v>
      </c>
      <c r="U93" s="90">
        <v>0.5</v>
      </c>
      <c r="V93" s="251">
        <v>1.54</v>
      </c>
      <c r="W93" s="92">
        <v>2.04</v>
      </c>
      <c r="X93" s="89">
        <v>27.099613778523121</v>
      </c>
      <c r="Y93" s="89">
        <v>83.466810437851208</v>
      </c>
      <c r="Z93" s="147">
        <v>74.908145703770415</v>
      </c>
      <c r="AA93" s="147">
        <v>230.71708876761284</v>
      </c>
      <c r="AB93" s="250" t="s">
        <v>107</v>
      </c>
      <c r="AC93" s="90">
        <v>0</v>
      </c>
      <c r="AD93" s="252">
        <v>0</v>
      </c>
      <c r="AE93" s="97">
        <v>0</v>
      </c>
      <c r="AF93" s="89">
        <v>0</v>
      </c>
      <c r="AG93" s="115">
        <v>0</v>
      </c>
      <c r="AH93" s="93">
        <v>0</v>
      </c>
      <c r="AI93" s="104">
        <v>0</v>
      </c>
      <c r="AJ93" s="248" t="s">
        <v>49</v>
      </c>
      <c r="AK93" s="246"/>
      <c r="AL93" s="93">
        <v>0</v>
      </c>
      <c r="AM93" s="104">
        <v>0</v>
      </c>
      <c r="AN93" s="246" t="s">
        <v>79</v>
      </c>
      <c r="AO93" s="246">
        <v>1</v>
      </c>
      <c r="AP93" s="93">
        <v>234.44191123996436</v>
      </c>
      <c r="AQ93" s="93">
        <v>319.80318369288022</v>
      </c>
      <c r="AR93" s="114">
        <v>0</v>
      </c>
      <c r="AS93" s="93">
        <v>0</v>
      </c>
      <c r="AT93" s="261">
        <v>1</v>
      </c>
      <c r="AU93" s="260">
        <v>0</v>
      </c>
      <c r="AV93" s="93">
        <v>221.13284843274869</v>
      </c>
      <c r="AW93" s="104">
        <v>611.25046894276647</v>
      </c>
      <c r="AX93" s="93">
        <v>455.57475967271307</v>
      </c>
      <c r="AY93" s="166">
        <v>931.0536526356467</v>
      </c>
      <c r="BA93" s="166"/>
    </row>
    <row r="94" spans="1:53" ht="90">
      <c r="A94" s="96" t="s">
        <v>735</v>
      </c>
      <c r="B94" s="87" t="s">
        <v>1176</v>
      </c>
      <c r="C94" s="246" t="s">
        <v>10</v>
      </c>
      <c r="D94" s="253" t="s">
        <v>1414</v>
      </c>
      <c r="E94" s="246" t="s">
        <v>227</v>
      </c>
      <c r="F94" s="253" t="s">
        <v>391</v>
      </c>
      <c r="G94" s="253" t="s">
        <v>408</v>
      </c>
      <c r="H94" s="246" t="s">
        <v>109</v>
      </c>
      <c r="I94" s="253" t="s">
        <v>142</v>
      </c>
      <c r="J94" s="253" t="s">
        <v>47</v>
      </c>
      <c r="K94" s="256" t="s">
        <v>142</v>
      </c>
      <c r="L94" s="250" t="s">
        <v>18</v>
      </c>
      <c r="M94" s="90">
        <v>0.5</v>
      </c>
      <c r="N94" s="251">
        <v>1.54</v>
      </c>
      <c r="O94" s="90">
        <v>2.04</v>
      </c>
      <c r="P94" s="93">
        <v>27.099613778523121</v>
      </c>
      <c r="Q94" s="93">
        <v>83.466810437851208</v>
      </c>
      <c r="R94" s="93">
        <v>74.908145703770415</v>
      </c>
      <c r="S94" s="104">
        <v>230.71708876761284</v>
      </c>
      <c r="T94" s="250" t="s">
        <v>18</v>
      </c>
      <c r="U94" s="90">
        <v>0.5</v>
      </c>
      <c r="V94" s="251">
        <v>1.54</v>
      </c>
      <c r="W94" s="92">
        <v>2.04</v>
      </c>
      <c r="X94" s="89">
        <v>27.099613778523121</v>
      </c>
      <c r="Y94" s="89">
        <v>83.466810437851208</v>
      </c>
      <c r="Z94" s="147">
        <v>74.908145703770415</v>
      </c>
      <c r="AA94" s="147">
        <v>230.71708876761284</v>
      </c>
      <c r="AB94" s="250" t="s">
        <v>107</v>
      </c>
      <c r="AC94" s="90">
        <v>0</v>
      </c>
      <c r="AD94" s="252">
        <v>0</v>
      </c>
      <c r="AE94" s="97">
        <v>0</v>
      </c>
      <c r="AF94" s="89">
        <v>0</v>
      </c>
      <c r="AG94" s="115">
        <v>0</v>
      </c>
      <c r="AH94" s="93">
        <v>0</v>
      </c>
      <c r="AI94" s="104">
        <v>0</v>
      </c>
      <c r="AJ94" s="248" t="s">
        <v>49</v>
      </c>
      <c r="AK94" s="246"/>
      <c r="AL94" s="93">
        <v>0</v>
      </c>
      <c r="AM94" s="104">
        <v>0</v>
      </c>
      <c r="AN94" s="246" t="s">
        <v>79</v>
      </c>
      <c r="AO94" s="246">
        <v>1</v>
      </c>
      <c r="AP94" s="93">
        <v>234.44191123996436</v>
      </c>
      <c r="AQ94" s="93">
        <v>319.80318369288022</v>
      </c>
      <c r="AR94" s="114">
        <v>557.32438020070174</v>
      </c>
      <c r="AS94" s="93">
        <v>606.48040436208578</v>
      </c>
      <c r="AT94" s="261">
        <v>1</v>
      </c>
      <c r="AU94" s="260">
        <v>0</v>
      </c>
      <c r="AV94" s="93">
        <v>221.13284843274869</v>
      </c>
      <c r="AW94" s="104">
        <v>611.25046894276647</v>
      </c>
      <c r="AX94" s="93">
        <v>1012.8991398734148</v>
      </c>
      <c r="AY94" s="166">
        <v>1537.5340569977325</v>
      </c>
      <c r="BA94" s="166"/>
    </row>
    <row r="95" spans="1:53" ht="90">
      <c r="A95" s="96" t="s">
        <v>736</v>
      </c>
      <c r="B95" s="87" t="s">
        <v>1177</v>
      </c>
      <c r="C95" s="246" t="s">
        <v>10</v>
      </c>
      <c r="D95" s="253" t="s">
        <v>1414</v>
      </c>
      <c r="E95" s="246" t="s">
        <v>227</v>
      </c>
      <c r="F95" s="253" t="s">
        <v>391</v>
      </c>
      <c r="G95" s="253" t="s">
        <v>232</v>
      </c>
      <c r="H95" s="246" t="s">
        <v>109</v>
      </c>
      <c r="I95" s="253" t="s">
        <v>142</v>
      </c>
      <c r="J95" s="253" t="s">
        <v>113</v>
      </c>
      <c r="K95" s="256" t="s">
        <v>49</v>
      </c>
      <c r="L95" s="250" t="s">
        <v>18</v>
      </c>
      <c r="M95" s="90">
        <v>0.5</v>
      </c>
      <c r="N95" s="251">
        <v>1.54</v>
      </c>
      <c r="O95" s="90">
        <v>2.04</v>
      </c>
      <c r="P95" s="93">
        <v>37.951648559259922</v>
      </c>
      <c r="Q95" s="93">
        <v>116.89107756252056</v>
      </c>
      <c r="R95" s="93">
        <v>104.90509729066193</v>
      </c>
      <c r="S95" s="104">
        <v>323.10769965523872</v>
      </c>
      <c r="T95" s="250" t="s">
        <v>18</v>
      </c>
      <c r="U95" s="90">
        <v>0.5</v>
      </c>
      <c r="V95" s="251">
        <v>1.54</v>
      </c>
      <c r="W95" s="92">
        <v>2.04</v>
      </c>
      <c r="X95" s="89">
        <v>37.951648559259922</v>
      </c>
      <c r="Y95" s="89">
        <v>116.89107756252056</v>
      </c>
      <c r="Z95" s="147">
        <v>104.90509729066193</v>
      </c>
      <c r="AA95" s="147">
        <v>323.10769965523872</v>
      </c>
      <c r="AB95" s="250" t="s">
        <v>107</v>
      </c>
      <c r="AC95" s="90">
        <v>0</v>
      </c>
      <c r="AD95" s="252">
        <v>0</v>
      </c>
      <c r="AE95" s="97">
        <v>0</v>
      </c>
      <c r="AF95" s="89">
        <v>0</v>
      </c>
      <c r="AG95" s="115">
        <v>0</v>
      </c>
      <c r="AH95" s="93">
        <v>0</v>
      </c>
      <c r="AI95" s="104">
        <v>0</v>
      </c>
      <c r="AJ95" s="248" t="s">
        <v>49</v>
      </c>
      <c r="AK95" s="246"/>
      <c r="AL95" s="93">
        <v>0</v>
      </c>
      <c r="AM95" s="104">
        <v>0</v>
      </c>
      <c r="AN95" s="246" t="s">
        <v>79</v>
      </c>
      <c r="AO95" s="246">
        <v>1</v>
      </c>
      <c r="AP95" s="93">
        <v>234.44191123996436</v>
      </c>
      <c r="AQ95" s="93">
        <v>319.80318369288022</v>
      </c>
      <c r="AR95" s="114">
        <v>0</v>
      </c>
      <c r="AS95" s="93">
        <v>0</v>
      </c>
      <c r="AT95" s="261">
        <v>1</v>
      </c>
      <c r="AU95" s="260">
        <v>0</v>
      </c>
      <c r="AV95" s="93">
        <v>309.68545224356097</v>
      </c>
      <c r="AW95" s="104">
        <v>856.02559389180124</v>
      </c>
      <c r="AX95" s="93">
        <v>544.1273634835253</v>
      </c>
      <c r="AY95" s="166">
        <v>1175.8287775846816</v>
      </c>
      <c r="BA95" s="166"/>
    </row>
    <row r="96" spans="1:53" ht="90">
      <c r="A96" s="96" t="s">
        <v>737</v>
      </c>
      <c r="B96" s="87" t="s">
        <v>1178</v>
      </c>
      <c r="C96" s="246" t="s">
        <v>10</v>
      </c>
      <c r="D96" s="253" t="s">
        <v>1414</v>
      </c>
      <c r="E96" s="246" t="s">
        <v>227</v>
      </c>
      <c r="F96" s="253" t="s">
        <v>391</v>
      </c>
      <c r="G96" s="253" t="s">
        <v>244</v>
      </c>
      <c r="H96" s="246" t="s">
        <v>109</v>
      </c>
      <c r="I96" s="253" t="s">
        <v>142</v>
      </c>
      <c r="J96" s="253" t="s">
        <v>113</v>
      </c>
      <c r="K96" s="256" t="s">
        <v>142</v>
      </c>
      <c r="L96" s="250" t="s">
        <v>18</v>
      </c>
      <c r="M96" s="90">
        <v>0.5</v>
      </c>
      <c r="N96" s="251">
        <v>1.54</v>
      </c>
      <c r="O96" s="90">
        <v>2.04</v>
      </c>
      <c r="P96" s="93">
        <v>37.951648559259922</v>
      </c>
      <c r="Q96" s="93">
        <v>116.89107756252056</v>
      </c>
      <c r="R96" s="93">
        <v>104.90509729066193</v>
      </c>
      <c r="S96" s="104">
        <v>323.10769965523872</v>
      </c>
      <c r="T96" s="250" t="s">
        <v>18</v>
      </c>
      <c r="U96" s="90">
        <v>0.5</v>
      </c>
      <c r="V96" s="251">
        <v>1.54</v>
      </c>
      <c r="W96" s="92">
        <v>2.04</v>
      </c>
      <c r="X96" s="89">
        <v>37.951648559259922</v>
      </c>
      <c r="Y96" s="89">
        <v>116.89107756252056</v>
      </c>
      <c r="Z96" s="147">
        <v>104.90509729066193</v>
      </c>
      <c r="AA96" s="147">
        <v>323.10769965523872</v>
      </c>
      <c r="AB96" s="250" t="s">
        <v>107</v>
      </c>
      <c r="AC96" s="90">
        <v>0</v>
      </c>
      <c r="AD96" s="252">
        <v>0</v>
      </c>
      <c r="AE96" s="97">
        <v>0</v>
      </c>
      <c r="AF96" s="89">
        <v>0</v>
      </c>
      <c r="AG96" s="115">
        <v>0</v>
      </c>
      <c r="AH96" s="93">
        <v>0</v>
      </c>
      <c r="AI96" s="104">
        <v>0</v>
      </c>
      <c r="AJ96" s="248" t="s">
        <v>49</v>
      </c>
      <c r="AK96" s="246"/>
      <c r="AL96" s="93">
        <v>0</v>
      </c>
      <c r="AM96" s="104">
        <v>0</v>
      </c>
      <c r="AN96" s="246" t="s">
        <v>79</v>
      </c>
      <c r="AO96" s="246">
        <v>1</v>
      </c>
      <c r="AP96" s="93">
        <v>234.44191123996436</v>
      </c>
      <c r="AQ96" s="93">
        <v>319.80318369288022</v>
      </c>
      <c r="AR96" s="114">
        <v>557.32438020070174</v>
      </c>
      <c r="AS96" s="93">
        <v>606.48040436208578</v>
      </c>
      <c r="AT96" s="261">
        <v>1</v>
      </c>
      <c r="AU96" s="260">
        <v>0</v>
      </c>
      <c r="AV96" s="93">
        <v>309.68545224356097</v>
      </c>
      <c r="AW96" s="104">
        <v>856.02559389180124</v>
      </c>
      <c r="AX96" s="93">
        <v>1101.451743684227</v>
      </c>
      <c r="AY96" s="166">
        <v>1782.3091819467672</v>
      </c>
      <c r="BA96" s="166"/>
    </row>
    <row r="97" spans="1:53" ht="105">
      <c r="A97" s="96" t="s">
        <v>738</v>
      </c>
      <c r="B97" s="87" t="s">
        <v>1179</v>
      </c>
      <c r="C97" s="246" t="s">
        <v>10</v>
      </c>
      <c r="D97" s="246" t="s">
        <v>1415</v>
      </c>
      <c r="E97" s="246" t="s">
        <v>234</v>
      </c>
      <c r="F97" s="253" t="s">
        <v>393</v>
      </c>
      <c r="G97" s="253" t="s">
        <v>228</v>
      </c>
      <c r="H97" s="246" t="s">
        <v>109</v>
      </c>
      <c r="I97" s="253" t="s">
        <v>142</v>
      </c>
      <c r="J97" s="253" t="s">
        <v>47</v>
      </c>
      <c r="K97" s="256" t="s">
        <v>49</v>
      </c>
      <c r="L97" s="250" t="s">
        <v>18</v>
      </c>
      <c r="M97" s="90">
        <v>0.5</v>
      </c>
      <c r="N97" s="251">
        <v>0.75</v>
      </c>
      <c r="O97" s="90">
        <v>1.25</v>
      </c>
      <c r="P97" s="93">
        <v>27.099613778523121</v>
      </c>
      <c r="Q97" s="93">
        <v>40.649420667784682</v>
      </c>
      <c r="R97" s="93">
        <v>74.908145703770415</v>
      </c>
      <c r="S97" s="104">
        <v>112.3622185556556</v>
      </c>
      <c r="T97" s="250" t="s">
        <v>18</v>
      </c>
      <c r="U97" s="90">
        <v>0.5</v>
      </c>
      <c r="V97" s="251">
        <v>0.75</v>
      </c>
      <c r="W97" s="92">
        <v>1.25</v>
      </c>
      <c r="X97" s="89">
        <v>27.099613778523121</v>
      </c>
      <c r="Y97" s="89">
        <v>40.649420667784682</v>
      </c>
      <c r="Z97" s="147">
        <v>74.908145703770415</v>
      </c>
      <c r="AA97" s="147">
        <v>112.3622185556556</v>
      </c>
      <c r="AB97" s="250" t="s">
        <v>18</v>
      </c>
      <c r="AC97" s="90">
        <v>0.5</v>
      </c>
      <c r="AD97" s="252">
        <v>2</v>
      </c>
      <c r="AE97" s="97">
        <v>2.5</v>
      </c>
      <c r="AF97" s="89">
        <v>27.099613778523121</v>
      </c>
      <c r="AG97" s="115">
        <v>108.39845511409249</v>
      </c>
      <c r="AH97" s="93">
        <v>74.908145703770415</v>
      </c>
      <c r="AI97" s="104">
        <v>299.63258281508166</v>
      </c>
      <c r="AJ97" s="248" t="s">
        <v>49</v>
      </c>
      <c r="AK97" s="246"/>
      <c r="AL97" s="93">
        <v>0</v>
      </c>
      <c r="AM97" s="104">
        <v>0</v>
      </c>
      <c r="AN97" s="246" t="s">
        <v>0</v>
      </c>
      <c r="AO97" s="246">
        <v>0</v>
      </c>
      <c r="AP97" s="93">
        <v>0</v>
      </c>
      <c r="AQ97" s="93">
        <v>0</v>
      </c>
      <c r="AR97" s="114">
        <v>0</v>
      </c>
      <c r="AS97" s="93">
        <v>0</v>
      </c>
      <c r="AT97" s="261">
        <v>1</v>
      </c>
      <c r="AU97" s="260">
        <v>0</v>
      </c>
      <c r="AV97" s="93">
        <v>270.99613778523121</v>
      </c>
      <c r="AW97" s="104">
        <v>749.08145703770401</v>
      </c>
      <c r="AX97" s="93">
        <v>270.99613778523121</v>
      </c>
      <c r="AY97" s="166">
        <v>749.08145703770401</v>
      </c>
      <c r="BA97" s="166"/>
    </row>
    <row r="98" spans="1:53" ht="105">
      <c r="A98" s="96" t="s">
        <v>739</v>
      </c>
      <c r="B98" s="87" t="s">
        <v>1180</v>
      </c>
      <c r="C98" s="246" t="s">
        <v>10</v>
      </c>
      <c r="D98" s="246" t="s">
        <v>1415</v>
      </c>
      <c r="E98" s="246" t="s">
        <v>234</v>
      </c>
      <c r="F98" s="253" t="s">
        <v>393</v>
      </c>
      <c r="G98" s="253" t="s">
        <v>240</v>
      </c>
      <c r="H98" s="246" t="s">
        <v>109</v>
      </c>
      <c r="I98" s="253" t="s">
        <v>142</v>
      </c>
      <c r="J98" s="253" t="s">
        <v>47</v>
      </c>
      <c r="K98" s="256" t="s">
        <v>142</v>
      </c>
      <c r="L98" s="250" t="s">
        <v>18</v>
      </c>
      <c r="M98" s="90">
        <v>0.5</v>
      </c>
      <c r="N98" s="251">
        <v>0.75</v>
      </c>
      <c r="O98" s="90">
        <v>1.25</v>
      </c>
      <c r="P98" s="93">
        <v>27.099613778523121</v>
      </c>
      <c r="Q98" s="93">
        <v>40.649420667784682</v>
      </c>
      <c r="R98" s="93">
        <v>74.908145703770415</v>
      </c>
      <c r="S98" s="104">
        <v>112.3622185556556</v>
      </c>
      <c r="T98" s="250" t="s">
        <v>18</v>
      </c>
      <c r="U98" s="90">
        <v>0.5</v>
      </c>
      <c r="V98" s="251">
        <v>0.75</v>
      </c>
      <c r="W98" s="92">
        <v>1.25</v>
      </c>
      <c r="X98" s="89">
        <v>27.099613778523121</v>
      </c>
      <c r="Y98" s="89">
        <v>40.649420667784682</v>
      </c>
      <c r="Z98" s="147">
        <v>74.908145703770415</v>
      </c>
      <c r="AA98" s="147">
        <v>112.3622185556556</v>
      </c>
      <c r="AB98" s="250" t="s">
        <v>18</v>
      </c>
      <c r="AC98" s="90">
        <v>0.5</v>
      </c>
      <c r="AD98" s="252">
        <v>2</v>
      </c>
      <c r="AE98" s="97">
        <v>2.5</v>
      </c>
      <c r="AF98" s="89">
        <v>27.099613778523121</v>
      </c>
      <c r="AG98" s="115">
        <v>108.39845511409249</v>
      </c>
      <c r="AH98" s="93">
        <v>74.908145703770415</v>
      </c>
      <c r="AI98" s="104">
        <v>299.63258281508166</v>
      </c>
      <c r="AJ98" s="248" t="s">
        <v>49</v>
      </c>
      <c r="AK98" s="246"/>
      <c r="AL98" s="93">
        <v>0</v>
      </c>
      <c r="AM98" s="104">
        <v>0</v>
      </c>
      <c r="AN98" s="246" t="s">
        <v>0</v>
      </c>
      <c r="AO98" s="246">
        <v>0</v>
      </c>
      <c r="AP98" s="93">
        <v>0</v>
      </c>
      <c r="AQ98" s="93">
        <v>0</v>
      </c>
      <c r="AR98" s="114">
        <v>557.32438020070174</v>
      </c>
      <c r="AS98" s="93">
        <v>606.48040436208578</v>
      </c>
      <c r="AT98" s="261">
        <v>1</v>
      </c>
      <c r="AU98" s="260">
        <v>0</v>
      </c>
      <c r="AV98" s="93">
        <v>270.99613778523121</v>
      </c>
      <c r="AW98" s="104">
        <v>749.08145703770401</v>
      </c>
      <c r="AX98" s="93">
        <v>828.32051798593295</v>
      </c>
      <c r="AY98" s="166">
        <v>1355.5618613997899</v>
      </c>
      <c r="BA98" s="166"/>
    </row>
    <row r="99" spans="1:53" ht="105">
      <c r="A99" s="96" t="s">
        <v>740</v>
      </c>
      <c r="B99" s="87" t="s">
        <v>1181</v>
      </c>
      <c r="C99" s="246" t="s">
        <v>10</v>
      </c>
      <c r="D99" s="246" t="s">
        <v>1415</v>
      </c>
      <c r="E99" s="246" t="s">
        <v>234</v>
      </c>
      <c r="F99" s="253" t="s">
        <v>393</v>
      </c>
      <c r="G99" s="253" t="s">
        <v>229</v>
      </c>
      <c r="H99" s="246" t="s">
        <v>109</v>
      </c>
      <c r="I99" s="253" t="s">
        <v>142</v>
      </c>
      <c r="J99" s="253" t="s">
        <v>113</v>
      </c>
      <c r="K99" s="256" t="s">
        <v>49</v>
      </c>
      <c r="L99" s="250" t="s">
        <v>18</v>
      </c>
      <c r="M99" s="90">
        <v>0.5</v>
      </c>
      <c r="N99" s="251">
        <v>0.75</v>
      </c>
      <c r="O99" s="90">
        <v>1.25</v>
      </c>
      <c r="P99" s="93">
        <v>37.951648559259922</v>
      </c>
      <c r="Q99" s="93">
        <v>56.927472838889884</v>
      </c>
      <c r="R99" s="93">
        <v>104.90509729066193</v>
      </c>
      <c r="S99" s="104">
        <v>157.35764593599291</v>
      </c>
      <c r="T99" s="250" t="s">
        <v>18</v>
      </c>
      <c r="U99" s="90">
        <v>0.5</v>
      </c>
      <c r="V99" s="251">
        <v>0.75</v>
      </c>
      <c r="W99" s="92">
        <v>1.25</v>
      </c>
      <c r="X99" s="89">
        <v>37.951648559259922</v>
      </c>
      <c r="Y99" s="89">
        <v>56.927472838889884</v>
      </c>
      <c r="Z99" s="147">
        <v>104.90509729066193</v>
      </c>
      <c r="AA99" s="147">
        <v>157.35764593599291</v>
      </c>
      <c r="AB99" s="250" t="s">
        <v>18</v>
      </c>
      <c r="AC99" s="90">
        <v>0.5</v>
      </c>
      <c r="AD99" s="252">
        <v>2</v>
      </c>
      <c r="AE99" s="97">
        <v>2.5</v>
      </c>
      <c r="AF99" s="89">
        <v>37.951648559259922</v>
      </c>
      <c r="AG99" s="115">
        <v>151.80659423703969</v>
      </c>
      <c r="AH99" s="93">
        <v>104.90509729066193</v>
      </c>
      <c r="AI99" s="104">
        <v>419.62038916264771</v>
      </c>
      <c r="AJ99" s="248" t="s">
        <v>49</v>
      </c>
      <c r="AK99" s="246"/>
      <c r="AL99" s="93">
        <v>0</v>
      </c>
      <c r="AM99" s="104">
        <v>0</v>
      </c>
      <c r="AN99" s="246" t="s">
        <v>0</v>
      </c>
      <c r="AO99" s="246">
        <v>0</v>
      </c>
      <c r="AP99" s="93">
        <v>0</v>
      </c>
      <c r="AQ99" s="93">
        <v>0</v>
      </c>
      <c r="AR99" s="114">
        <v>0</v>
      </c>
      <c r="AS99" s="93">
        <v>0</v>
      </c>
      <c r="AT99" s="261">
        <v>1</v>
      </c>
      <c r="AU99" s="260">
        <v>0</v>
      </c>
      <c r="AV99" s="93">
        <v>379.51648559259922</v>
      </c>
      <c r="AW99" s="104">
        <v>1049.0509729066193</v>
      </c>
      <c r="AX99" s="93">
        <v>379.51648559259922</v>
      </c>
      <c r="AY99" s="166">
        <v>1049.0509729066193</v>
      </c>
      <c r="BA99" s="166"/>
    </row>
    <row r="100" spans="1:53" ht="105">
      <c r="A100" s="96" t="s">
        <v>741</v>
      </c>
      <c r="B100" s="87" t="s">
        <v>1182</v>
      </c>
      <c r="C100" s="246" t="s">
        <v>10</v>
      </c>
      <c r="D100" s="246" t="s">
        <v>1415</v>
      </c>
      <c r="E100" s="246" t="s">
        <v>234</v>
      </c>
      <c r="F100" s="253" t="s">
        <v>393</v>
      </c>
      <c r="G100" s="253" t="s">
        <v>409</v>
      </c>
      <c r="H100" s="246" t="s">
        <v>109</v>
      </c>
      <c r="I100" s="253" t="s">
        <v>142</v>
      </c>
      <c r="J100" s="253" t="s">
        <v>113</v>
      </c>
      <c r="K100" s="256" t="s">
        <v>142</v>
      </c>
      <c r="L100" s="250" t="s">
        <v>18</v>
      </c>
      <c r="M100" s="90">
        <v>0.5</v>
      </c>
      <c r="N100" s="251">
        <v>0.75</v>
      </c>
      <c r="O100" s="90">
        <v>1.25</v>
      </c>
      <c r="P100" s="93">
        <v>37.951648559259922</v>
      </c>
      <c r="Q100" s="93">
        <v>56.927472838889884</v>
      </c>
      <c r="R100" s="93">
        <v>104.90509729066193</v>
      </c>
      <c r="S100" s="104">
        <v>157.35764593599291</v>
      </c>
      <c r="T100" s="250" t="s">
        <v>18</v>
      </c>
      <c r="U100" s="90">
        <v>0.5</v>
      </c>
      <c r="V100" s="251">
        <v>0.75</v>
      </c>
      <c r="W100" s="92">
        <v>1.25</v>
      </c>
      <c r="X100" s="89">
        <v>37.951648559259922</v>
      </c>
      <c r="Y100" s="89">
        <v>56.927472838889884</v>
      </c>
      <c r="Z100" s="147">
        <v>104.90509729066193</v>
      </c>
      <c r="AA100" s="147">
        <v>157.35764593599291</v>
      </c>
      <c r="AB100" s="250" t="s">
        <v>18</v>
      </c>
      <c r="AC100" s="90">
        <v>0.5</v>
      </c>
      <c r="AD100" s="252">
        <v>2</v>
      </c>
      <c r="AE100" s="97">
        <v>2.5</v>
      </c>
      <c r="AF100" s="89">
        <v>37.951648559259922</v>
      </c>
      <c r="AG100" s="115">
        <v>151.80659423703969</v>
      </c>
      <c r="AH100" s="93">
        <v>104.90509729066193</v>
      </c>
      <c r="AI100" s="104">
        <v>419.62038916264771</v>
      </c>
      <c r="AJ100" s="248" t="s">
        <v>49</v>
      </c>
      <c r="AK100" s="246"/>
      <c r="AL100" s="93">
        <v>0</v>
      </c>
      <c r="AM100" s="104">
        <v>0</v>
      </c>
      <c r="AN100" s="246" t="s">
        <v>0</v>
      </c>
      <c r="AO100" s="246">
        <v>0</v>
      </c>
      <c r="AP100" s="93">
        <v>0</v>
      </c>
      <c r="AQ100" s="93">
        <v>0</v>
      </c>
      <c r="AR100" s="114">
        <v>557.32438020070174</v>
      </c>
      <c r="AS100" s="93">
        <v>606.48040436208578</v>
      </c>
      <c r="AT100" s="261">
        <v>1</v>
      </c>
      <c r="AU100" s="260">
        <v>0</v>
      </c>
      <c r="AV100" s="93">
        <v>379.51648559259922</v>
      </c>
      <c r="AW100" s="104">
        <v>1049.0509729066193</v>
      </c>
      <c r="AX100" s="93">
        <v>936.84086579330096</v>
      </c>
      <c r="AY100" s="166">
        <v>1655.531377268705</v>
      </c>
      <c r="BA100" s="166"/>
    </row>
    <row r="101" spans="1:53" ht="105">
      <c r="A101" s="96" t="s">
        <v>742</v>
      </c>
      <c r="B101" s="87" t="s">
        <v>1183</v>
      </c>
      <c r="C101" s="246" t="s">
        <v>10</v>
      </c>
      <c r="D101" s="246" t="s">
        <v>1415</v>
      </c>
      <c r="E101" s="246" t="s">
        <v>234</v>
      </c>
      <c r="F101" s="253" t="s">
        <v>393</v>
      </c>
      <c r="G101" s="253" t="s">
        <v>231</v>
      </c>
      <c r="H101" s="246" t="s">
        <v>109</v>
      </c>
      <c r="I101" s="253" t="s">
        <v>142</v>
      </c>
      <c r="J101" s="253" t="s">
        <v>47</v>
      </c>
      <c r="K101" s="256" t="s">
        <v>49</v>
      </c>
      <c r="L101" s="250" t="s">
        <v>18</v>
      </c>
      <c r="M101" s="90">
        <v>0.5</v>
      </c>
      <c r="N101" s="251">
        <v>1</v>
      </c>
      <c r="O101" s="90">
        <v>1.5</v>
      </c>
      <c r="P101" s="93">
        <v>27.099613778523121</v>
      </c>
      <c r="Q101" s="93">
        <v>54.199227557046243</v>
      </c>
      <c r="R101" s="93">
        <v>74.908145703770415</v>
      </c>
      <c r="S101" s="104">
        <v>149.81629140754083</v>
      </c>
      <c r="T101" s="250" t="s">
        <v>18</v>
      </c>
      <c r="U101" s="90">
        <v>0.5</v>
      </c>
      <c r="V101" s="251">
        <v>1</v>
      </c>
      <c r="W101" s="92">
        <v>1.5</v>
      </c>
      <c r="X101" s="89">
        <v>27.099613778523121</v>
      </c>
      <c r="Y101" s="89">
        <v>54.199227557046243</v>
      </c>
      <c r="Z101" s="147">
        <v>74.908145703770415</v>
      </c>
      <c r="AA101" s="147">
        <v>149.81629140754083</v>
      </c>
      <c r="AB101" s="250" t="s">
        <v>18</v>
      </c>
      <c r="AC101" s="90">
        <v>0.5</v>
      </c>
      <c r="AD101" s="252">
        <v>2</v>
      </c>
      <c r="AE101" s="97">
        <v>2.5</v>
      </c>
      <c r="AF101" s="89">
        <v>27.099613778523121</v>
      </c>
      <c r="AG101" s="115">
        <v>108.39845511409249</v>
      </c>
      <c r="AH101" s="93">
        <v>74.908145703770415</v>
      </c>
      <c r="AI101" s="104">
        <v>299.63258281508166</v>
      </c>
      <c r="AJ101" s="248" t="s">
        <v>49</v>
      </c>
      <c r="AK101" s="246"/>
      <c r="AL101" s="93">
        <v>0</v>
      </c>
      <c r="AM101" s="104">
        <v>0</v>
      </c>
      <c r="AN101" s="246" t="s">
        <v>0</v>
      </c>
      <c r="AO101" s="246">
        <v>0</v>
      </c>
      <c r="AP101" s="93">
        <v>0</v>
      </c>
      <c r="AQ101" s="93">
        <v>0</v>
      </c>
      <c r="AR101" s="114">
        <v>0</v>
      </c>
      <c r="AS101" s="93">
        <v>0</v>
      </c>
      <c r="AT101" s="261">
        <v>1</v>
      </c>
      <c r="AU101" s="260">
        <v>0</v>
      </c>
      <c r="AV101" s="93">
        <v>298.09575156375433</v>
      </c>
      <c r="AW101" s="104">
        <v>823.98960274147453</v>
      </c>
      <c r="AX101" s="93">
        <v>298.09575156375433</v>
      </c>
      <c r="AY101" s="166">
        <v>823.98960274147453</v>
      </c>
      <c r="BA101" s="166"/>
    </row>
    <row r="102" spans="1:53" ht="105">
      <c r="A102" s="96" t="s">
        <v>743</v>
      </c>
      <c r="B102" s="87" t="s">
        <v>1184</v>
      </c>
      <c r="C102" s="246" t="s">
        <v>10</v>
      </c>
      <c r="D102" s="246" t="s">
        <v>1415</v>
      </c>
      <c r="E102" s="246" t="s">
        <v>234</v>
      </c>
      <c r="F102" s="253" t="s">
        <v>393</v>
      </c>
      <c r="G102" s="253" t="s">
        <v>408</v>
      </c>
      <c r="H102" s="246" t="s">
        <v>109</v>
      </c>
      <c r="I102" s="253" t="s">
        <v>142</v>
      </c>
      <c r="J102" s="253" t="s">
        <v>47</v>
      </c>
      <c r="K102" s="256" t="s">
        <v>142</v>
      </c>
      <c r="L102" s="250" t="s">
        <v>18</v>
      </c>
      <c r="M102" s="90">
        <v>0.5</v>
      </c>
      <c r="N102" s="251">
        <v>1</v>
      </c>
      <c r="O102" s="90">
        <v>1.5</v>
      </c>
      <c r="P102" s="93">
        <v>27.099613778523121</v>
      </c>
      <c r="Q102" s="93">
        <v>54.199227557046243</v>
      </c>
      <c r="R102" s="93">
        <v>74.908145703770415</v>
      </c>
      <c r="S102" s="104">
        <v>149.81629140754083</v>
      </c>
      <c r="T102" s="250" t="s">
        <v>18</v>
      </c>
      <c r="U102" s="90">
        <v>0.5</v>
      </c>
      <c r="V102" s="251">
        <v>1</v>
      </c>
      <c r="W102" s="92">
        <v>1.5</v>
      </c>
      <c r="X102" s="89">
        <v>27.099613778523121</v>
      </c>
      <c r="Y102" s="89">
        <v>54.199227557046243</v>
      </c>
      <c r="Z102" s="147">
        <v>74.908145703770415</v>
      </c>
      <c r="AA102" s="147">
        <v>149.81629140754083</v>
      </c>
      <c r="AB102" s="250" t="s">
        <v>18</v>
      </c>
      <c r="AC102" s="90">
        <v>0.5</v>
      </c>
      <c r="AD102" s="252">
        <v>2</v>
      </c>
      <c r="AE102" s="97">
        <v>2.5</v>
      </c>
      <c r="AF102" s="89">
        <v>27.099613778523121</v>
      </c>
      <c r="AG102" s="115">
        <v>108.39845511409249</v>
      </c>
      <c r="AH102" s="93">
        <v>74.908145703770415</v>
      </c>
      <c r="AI102" s="104">
        <v>299.63258281508166</v>
      </c>
      <c r="AJ102" s="248" t="s">
        <v>49</v>
      </c>
      <c r="AK102" s="246"/>
      <c r="AL102" s="93">
        <v>0</v>
      </c>
      <c r="AM102" s="104">
        <v>0</v>
      </c>
      <c r="AN102" s="246" t="s">
        <v>0</v>
      </c>
      <c r="AO102" s="246">
        <v>0</v>
      </c>
      <c r="AP102" s="93">
        <v>0</v>
      </c>
      <c r="AQ102" s="93">
        <v>0</v>
      </c>
      <c r="AR102" s="114">
        <v>557.32438020070174</v>
      </c>
      <c r="AS102" s="93">
        <v>606.48040436208578</v>
      </c>
      <c r="AT102" s="261">
        <v>1</v>
      </c>
      <c r="AU102" s="260">
        <v>0</v>
      </c>
      <c r="AV102" s="93">
        <v>298.09575156375433</v>
      </c>
      <c r="AW102" s="104">
        <v>823.98960274147453</v>
      </c>
      <c r="AX102" s="93">
        <v>855.42013176445607</v>
      </c>
      <c r="AY102" s="166">
        <v>1430.4700071035604</v>
      </c>
      <c r="BA102" s="166"/>
    </row>
    <row r="103" spans="1:53" ht="105">
      <c r="A103" s="96" t="s">
        <v>744</v>
      </c>
      <c r="B103" s="87" t="s">
        <v>1185</v>
      </c>
      <c r="C103" s="246" t="s">
        <v>10</v>
      </c>
      <c r="D103" s="246" t="s">
        <v>1415</v>
      </c>
      <c r="E103" s="246" t="s">
        <v>234</v>
      </c>
      <c r="F103" s="253" t="s">
        <v>393</v>
      </c>
      <c r="G103" s="253" t="s">
        <v>232</v>
      </c>
      <c r="H103" s="246" t="s">
        <v>109</v>
      </c>
      <c r="I103" s="253" t="s">
        <v>142</v>
      </c>
      <c r="J103" s="253" t="s">
        <v>113</v>
      </c>
      <c r="K103" s="256" t="s">
        <v>49</v>
      </c>
      <c r="L103" s="250" t="s">
        <v>18</v>
      </c>
      <c r="M103" s="90">
        <v>0.5</v>
      </c>
      <c r="N103" s="251">
        <v>1</v>
      </c>
      <c r="O103" s="90">
        <v>1.5</v>
      </c>
      <c r="P103" s="93">
        <v>37.951648559259922</v>
      </c>
      <c r="Q103" s="93">
        <v>75.903297118519845</v>
      </c>
      <c r="R103" s="93">
        <v>104.90509729066193</v>
      </c>
      <c r="S103" s="104">
        <v>209.81019458132386</v>
      </c>
      <c r="T103" s="250" t="s">
        <v>18</v>
      </c>
      <c r="U103" s="90">
        <v>0.5</v>
      </c>
      <c r="V103" s="251">
        <v>1</v>
      </c>
      <c r="W103" s="92">
        <v>1.5</v>
      </c>
      <c r="X103" s="89">
        <v>37.951648559259922</v>
      </c>
      <c r="Y103" s="89">
        <v>75.903297118519845</v>
      </c>
      <c r="Z103" s="147">
        <v>104.90509729066193</v>
      </c>
      <c r="AA103" s="147">
        <v>209.81019458132386</v>
      </c>
      <c r="AB103" s="250" t="s">
        <v>18</v>
      </c>
      <c r="AC103" s="90">
        <v>0.5</v>
      </c>
      <c r="AD103" s="252">
        <v>2</v>
      </c>
      <c r="AE103" s="97">
        <v>2.5</v>
      </c>
      <c r="AF103" s="89">
        <v>37.951648559259922</v>
      </c>
      <c r="AG103" s="115">
        <v>151.80659423703969</v>
      </c>
      <c r="AH103" s="93">
        <v>104.90509729066193</v>
      </c>
      <c r="AI103" s="104">
        <v>419.62038916264771</v>
      </c>
      <c r="AJ103" s="248" t="s">
        <v>49</v>
      </c>
      <c r="AK103" s="246"/>
      <c r="AL103" s="93">
        <v>0</v>
      </c>
      <c r="AM103" s="104">
        <v>0</v>
      </c>
      <c r="AN103" s="246" t="s">
        <v>0</v>
      </c>
      <c r="AO103" s="246">
        <v>0</v>
      </c>
      <c r="AP103" s="93">
        <v>0</v>
      </c>
      <c r="AQ103" s="93">
        <v>0</v>
      </c>
      <c r="AR103" s="114">
        <v>0</v>
      </c>
      <c r="AS103" s="93">
        <v>0</v>
      </c>
      <c r="AT103" s="261">
        <v>1</v>
      </c>
      <c r="AU103" s="260">
        <v>0</v>
      </c>
      <c r="AV103" s="93">
        <v>417.46813415185915</v>
      </c>
      <c r="AW103" s="104">
        <v>1153.9560701972812</v>
      </c>
      <c r="AX103" s="93">
        <v>417.46813415185915</v>
      </c>
      <c r="AY103" s="166">
        <v>1153.9560701972812</v>
      </c>
      <c r="BA103" s="166"/>
    </row>
    <row r="104" spans="1:53" ht="105">
      <c r="A104" s="96" t="s">
        <v>745</v>
      </c>
      <c r="B104" s="87" t="s">
        <v>714</v>
      </c>
      <c r="C104" s="246" t="s">
        <v>10</v>
      </c>
      <c r="D104" s="246" t="s">
        <v>1415</v>
      </c>
      <c r="E104" s="246" t="s">
        <v>234</v>
      </c>
      <c r="F104" s="253" t="s">
        <v>393</v>
      </c>
      <c r="G104" s="253" t="s">
        <v>244</v>
      </c>
      <c r="H104" s="246" t="s">
        <v>109</v>
      </c>
      <c r="I104" s="253" t="s">
        <v>142</v>
      </c>
      <c r="J104" s="253" t="s">
        <v>113</v>
      </c>
      <c r="K104" s="256" t="s">
        <v>142</v>
      </c>
      <c r="L104" s="250" t="s">
        <v>18</v>
      </c>
      <c r="M104" s="90">
        <v>0.5</v>
      </c>
      <c r="N104" s="251">
        <v>1</v>
      </c>
      <c r="O104" s="90">
        <v>1.5</v>
      </c>
      <c r="P104" s="93">
        <v>37.951648559259922</v>
      </c>
      <c r="Q104" s="93">
        <v>75.903297118519845</v>
      </c>
      <c r="R104" s="93">
        <v>104.90509729066193</v>
      </c>
      <c r="S104" s="104">
        <v>209.81019458132386</v>
      </c>
      <c r="T104" s="250" t="s">
        <v>18</v>
      </c>
      <c r="U104" s="90">
        <v>0.5</v>
      </c>
      <c r="V104" s="251">
        <v>1</v>
      </c>
      <c r="W104" s="92">
        <v>1.5</v>
      </c>
      <c r="X104" s="89">
        <v>37.951648559259922</v>
      </c>
      <c r="Y104" s="89">
        <v>75.903297118519845</v>
      </c>
      <c r="Z104" s="147">
        <v>104.90509729066193</v>
      </c>
      <c r="AA104" s="147">
        <v>209.81019458132386</v>
      </c>
      <c r="AB104" s="250" t="s">
        <v>18</v>
      </c>
      <c r="AC104" s="90">
        <v>0.5</v>
      </c>
      <c r="AD104" s="252">
        <v>2</v>
      </c>
      <c r="AE104" s="97">
        <v>2.5</v>
      </c>
      <c r="AF104" s="89">
        <v>37.951648559259922</v>
      </c>
      <c r="AG104" s="115">
        <v>151.80659423703969</v>
      </c>
      <c r="AH104" s="93">
        <v>104.90509729066193</v>
      </c>
      <c r="AI104" s="104">
        <v>419.62038916264771</v>
      </c>
      <c r="AJ104" s="248" t="s">
        <v>49</v>
      </c>
      <c r="AK104" s="246"/>
      <c r="AL104" s="93">
        <v>0</v>
      </c>
      <c r="AM104" s="104">
        <v>0</v>
      </c>
      <c r="AN104" s="246" t="s">
        <v>0</v>
      </c>
      <c r="AO104" s="246">
        <v>0</v>
      </c>
      <c r="AP104" s="93">
        <v>0</v>
      </c>
      <c r="AQ104" s="93">
        <v>0</v>
      </c>
      <c r="AR104" s="114">
        <v>557.32438020070174</v>
      </c>
      <c r="AS104" s="93">
        <v>606.48040436208578</v>
      </c>
      <c r="AT104" s="261">
        <v>1</v>
      </c>
      <c r="AU104" s="260">
        <v>0</v>
      </c>
      <c r="AV104" s="93">
        <v>417.46813415185915</v>
      </c>
      <c r="AW104" s="104">
        <v>1153.9560701972812</v>
      </c>
      <c r="AX104" s="93">
        <v>974.79251435256083</v>
      </c>
      <c r="AY104" s="166">
        <v>1760.4364745593671</v>
      </c>
      <c r="BA104" s="166"/>
    </row>
    <row r="105" spans="1:53" ht="30">
      <c r="A105" s="96" t="s">
        <v>746</v>
      </c>
      <c r="B105" s="87" t="s">
        <v>715</v>
      </c>
      <c r="C105" s="246" t="s">
        <v>10</v>
      </c>
      <c r="D105" s="246" t="s">
        <v>1415</v>
      </c>
      <c r="E105" s="253" t="s">
        <v>211</v>
      </c>
      <c r="F105" s="253" t="s">
        <v>212</v>
      </c>
      <c r="G105" s="253" t="s">
        <v>127</v>
      </c>
      <c r="H105" s="246" t="s">
        <v>109</v>
      </c>
      <c r="I105" s="246" t="s">
        <v>142</v>
      </c>
      <c r="J105" s="246" t="s">
        <v>47</v>
      </c>
      <c r="K105" s="246" t="s">
        <v>49</v>
      </c>
      <c r="L105" s="250" t="s">
        <v>18</v>
      </c>
      <c r="M105" s="90">
        <v>0.5</v>
      </c>
      <c r="N105" s="251">
        <v>0.5</v>
      </c>
      <c r="O105" s="90">
        <v>1</v>
      </c>
      <c r="P105" s="93">
        <v>27.099613778523121</v>
      </c>
      <c r="Q105" s="93">
        <v>27.099613778523121</v>
      </c>
      <c r="R105" s="93">
        <v>74.908145703770415</v>
      </c>
      <c r="S105" s="104">
        <v>74.908145703770415</v>
      </c>
      <c r="T105" s="250" t="s">
        <v>18</v>
      </c>
      <c r="U105" s="90">
        <v>0.5</v>
      </c>
      <c r="V105" s="251">
        <v>0.5</v>
      </c>
      <c r="W105" s="92">
        <v>1</v>
      </c>
      <c r="X105" s="89">
        <v>27.099613778523121</v>
      </c>
      <c r="Y105" s="89">
        <v>27.099613778523121</v>
      </c>
      <c r="Z105" s="147">
        <v>74.908145703770415</v>
      </c>
      <c r="AA105" s="147">
        <v>74.908145703770415</v>
      </c>
      <c r="AB105" s="254" t="s">
        <v>107</v>
      </c>
      <c r="AC105" s="90">
        <v>0</v>
      </c>
      <c r="AD105" s="251">
        <v>0</v>
      </c>
      <c r="AE105" s="92">
        <v>0</v>
      </c>
      <c r="AF105" s="89">
        <v>0</v>
      </c>
      <c r="AG105" s="115">
        <v>0</v>
      </c>
      <c r="AH105" s="116">
        <v>0</v>
      </c>
      <c r="AI105" s="150">
        <v>0</v>
      </c>
      <c r="AJ105" s="248" t="s">
        <v>49</v>
      </c>
      <c r="AK105" s="246"/>
      <c r="AL105" s="93">
        <v>0</v>
      </c>
      <c r="AM105" s="104">
        <v>0</v>
      </c>
      <c r="AN105" s="246" t="s">
        <v>0</v>
      </c>
      <c r="AO105" s="246">
        <v>0</v>
      </c>
      <c r="AP105" s="93">
        <v>0</v>
      </c>
      <c r="AQ105" s="93">
        <v>0</v>
      </c>
      <c r="AR105" s="114">
        <v>0</v>
      </c>
      <c r="AS105" s="93">
        <v>0</v>
      </c>
      <c r="AT105" s="261">
        <v>1</v>
      </c>
      <c r="AU105" s="260">
        <v>0</v>
      </c>
      <c r="AV105" s="93">
        <v>108.39845511409249</v>
      </c>
      <c r="AW105" s="104">
        <v>299.63258281508166</v>
      </c>
      <c r="AX105" s="93">
        <v>108.39845511409249</v>
      </c>
      <c r="AY105" s="166">
        <v>299.63258281508166</v>
      </c>
      <c r="BA105" s="166"/>
    </row>
    <row r="106" spans="1:53" ht="30">
      <c r="A106" s="96" t="s">
        <v>747</v>
      </c>
      <c r="B106" s="87" t="s">
        <v>716</v>
      </c>
      <c r="C106" s="246" t="s">
        <v>10</v>
      </c>
      <c r="D106" s="246" t="s">
        <v>1415</v>
      </c>
      <c r="E106" s="253" t="s">
        <v>211</v>
      </c>
      <c r="F106" s="253" t="s">
        <v>212</v>
      </c>
      <c r="G106" s="253" t="s">
        <v>122</v>
      </c>
      <c r="H106" s="246" t="s">
        <v>109</v>
      </c>
      <c r="I106" s="246" t="s">
        <v>142</v>
      </c>
      <c r="J106" s="246" t="s">
        <v>113</v>
      </c>
      <c r="K106" s="246" t="s">
        <v>49</v>
      </c>
      <c r="L106" s="250" t="s">
        <v>18</v>
      </c>
      <c r="M106" s="90">
        <v>0.5</v>
      </c>
      <c r="N106" s="251">
        <v>0.5</v>
      </c>
      <c r="O106" s="90">
        <v>1</v>
      </c>
      <c r="P106" s="93">
        <v>37.951648559259922</v>
      </c>
      <c r="Q106" s="93">
        <v>37.951648559259922</v>
      </c>
      <c r="R106" s="93">
        <v>104.90509729066193</v>
      </c>
      <c r="S106" s="104">
        <v>104.90509729066193</v>
      </c>
      <c r="T106" s="250" t="s">
        <v>18</v>
      </c>
      <c r="U106" s="90">
        <v>0.5</v>
      </c>
      <c r="V106" s="251">
        <v>0.5</v>
      </c>
      <c r="W106" s="92">
        <v>1</v>
      </c>
      <c r="X106" s="89">
        <v>37.951648559259922</v>
      </c>
      <c r="Y106" s="89">
        <v>37.951648559259922</v>
      </c>
      <c r="Z106" s="147">
        <v>104.90509729066193</v>
      </c>
      <c r="AA106" s="147">
        <v>104.90509729066193</v>
      </c>
      <c r="AB106" s="254" t="s">
        <v>107</v>
      </c>
      <c r="AC106" s="90">
        <v>0</v>
      </c>
      <c r="AD106" s="251">
        <v>0</v>
      </c>
      <c r="AE106" s="92">
        <v>0</v>
      </c>
      <c r="AF106" s="89">
        <v>0</v>
      </c>
      <c r="AG106" s="115">
        <v>0</v>
      </c>
      <c r="AH106" s="116">
        <v>0</v>
      </c>
      <c r="AI106" s="150">
        <v>0</v>
      </c>
      <c r="AJ106" s="248" t="s">
        <v>49</v>
      </c>
      <c r="AK106" s="246"/>
      <c r="AL106" s="93">
        <v>0</v>
      </c>
      <c r="AM106" s="104">
        <v>0</v>
      </c>
      <c r="AN106" s="246" t="s">
        <v>0</v>
      </c>
      <c r="AO106" s="246">
        <v>0</v>
      </c>
      <c r="AP106" s="93">
        <v>0</v>
      </c>
      <c r="AQ106" s="93">
        <v>0</v>
      </c>
      <c r="AR106" s="114">
        <v>0</v>
      </c>
      <c r="AS106" s="93">
        <v>0</v>
      </c>
      <c r="AT106" s="261">
        <v>1</v>
      </c>
      <c r="AU106" s="260">
        <v>0</v>
      </c>
      <c r="AV106" s="93">
        <v>151.80659423703969</v>
      </c>
      <c r="AW106" s="104">
        <v>419.62038916264771</v>
      </c>
      <c r="AX106" s="93">
        <v>151.80659423703969</v>
      </c>
      <c r="AY106" s="166">
        <v>419.62038916264771</v>
      </c>
      <c r="BA106" s="166"/>
    </row>
    <row r="107" spans="1:53" ht="45">
      <c r="A107" s="95"/>
      <c r="B107" s="87" t="s">
        <v>1186</v>
      </c>
      <c r="C107" s="246" t="s">
        <v>10</v>
      </c>
      <c r="D107" s="246" t="s">
        <v>305</v>
      </c>
      <c r="E107" s="253" t="s">
        <v>157</v>
      </c>
      <c r="F107" s="253" t="s">
        <v>1282</v>
      </c>
      <c r="G107" s="253" t="s">
        <v>105</v>
      </c>
      <c r="H107" s="246" t="s">
        <v>109</v>
      </c>
      <c r="I107" s="246" t="s">
        <v>142</v>
      </c>
      <c r="J107" s="246" t="s">
        <v>47</v>
      </c>
      <c r="K107" s="246" t="s">
        <v>49</v>
      </c>
      <c r="L107" s="250" t="s">
        <v>18</v>
      </c>
      <c r="M107" s="87">
        <v>0.5</v>
      </c>
      <c r="N107" s="251">
        <v>0.4</v>
      </c>
      <c r="O107" s="90">
        <v>0.9</v>
      </c>
      <c r="P107" s="93">
        <v>27.099613778523121</v>
      </c>
      <c r="Q107" s="93">
        <v>21.679691022818499</v>
      </c>
      <c r="R107" s="93">
        <v>74.908145703770415</v>
      </c>
      <c r="S107" s="104">
        <v>59.926516563016328</v>
      </c>
      <c r="T107" s="246" t="s">
        <v>107</v>
      </c>
      <c r="U107" s="87">
        <v>0</v>
      </c>
      <c r="V107" s="246">
        <v>0</v>
      </c>
      <c r="W107" s="92">
        <v>0</v>
      </c>
      <c r="X107" s="89">
        <v>0</v>
      </c>
      <c r="Y107" s="89">
        <v>0</v>
      </c>
      <c r="Z107" s="147">
        <v>0</v>
      </c>
      <c r="AA107" s="147">
        <v>0</v>
      </c>
      <c r="AB107" s="254" t="s">
        <v>107</v>
      </c>
      <c r="AC107" s="87">
        <v>0</v>
      </c>
      <c r="AD107" s="251">
        <v>0</v>
      </c>
      <c r="AE107" s="88">
        <v>0</v>
      </c>
      <c r="AF107" s="89">
        <v>0</v>
      </c>
      <c r="AG107" s="115">
        <v>0</v>
      </c>
      <c r="AH107" s="115">
        <v>0</v>
      </c>
      <c r="AI107" s="149">
        <v>0</v>
      </c>
      <c r="AJ107" s="248" t="s">
        <v>142</v>
      </c>
      <c r="AK107" s="246"/>
      <c r="AL107" s="93">
        <v>76.973615394593338</v>
      </c>
      <c r="AM107" s="104">
        <v>101.49833550597016</v>
      </c>
      <c r="AN107" s="246" t="s">
        <v>198</v>
      </c>
      <c r="AO107" s="246">
        <v>1</v>
      </c>
      <c r="AP107" s="93">
        <v>5.2098202497769854</v>
      </c>
      <c r="AQ107" s="93">
        <v>7.1067374153973377</v>
      </c>
      <c r="AR107" s="114">
        <v>0</v>
      </c>
      <c r="AS107" s="93">
        <v>0</v>
      </c>
      <c r="AT107" s="261">
        <v>0.33999999999999997</v>
      </c>
      <c r="AU107" s="260">
        <v>0.66</v>
      </c>
      <c r="AV107" s="93">
        <v>67.387549792887754</v>
      </c>
      <c r="AW107" s="104">
        <v>112.8326866046478</v>
      </c>
      <c r="AX107" s="93">
        <v>72.597370042664735</v>
      </c>
      <c r="AY107" s="166">
        <v>119.93942402004514</v>
      </c>
      <c r="BA107" s="166"/>
    </row>
    <row r="108" spans="1:53" ht="45">
      <c r="A108" s="95"/>
      <c r="B108" s="87" t="s">
        <v>1187</v>
      </c>
      <c r="C108" s="246" t="s">
        <v>10</v>
      </c>
      <c r="D108" s="246" t="s">
        <v>305</v>
      </c>
      <c r="E108" s="253" t="s">
        <v>157</v>
      </c>
      <c r="F108" s="253" t="s">
        <v>1282</v>
      </c>
      <c r="G108" s="253" t="s">
        <v>111</v>
      </c>
      <c r="H108" s="246" t="s">
        <v>109</v>
      </c>
      <c r="I108" s="246" t="s">
        <v>142</v>
      </c>
      <c r="J108" s="246" t="s">
        <v>47</v>
      </c>
      <c r="K108" s="246" t="s">
        <v>49</v>
      </c>
      <c r="L108" s="250" t="s">
        <v>18</v>
      </c>
      <c r="M108" s="87">
        <v>0.5</v>
      </c>
      <c r="N108" s="251">
        <v>0.4</v>
      </c>
      <c r="O108" s="92">
        <v>0.9</v>
      </c>
      <c r="P108" s="93">
        <v>27.099613778523121</v>
      </c>
      <c r="Q108" s="93">
        <v>21.679691022818499</v>
      </c>
      <c r="R108" s="93">
        <v>74.908145703770415</v>
      </c>
      <c r="S108" s="104">
        <v>59.926516563016328</v>
      </c>
      <c r="T108" s="253" t="s">
        <v>107</v>
      </c>
      <c r="U108" s="90">
        <v>0</v>
      </c>
      <c r="V108" s="251">
        <v>0</v>
      </c>
      <c r="W108" s="92">
        <v>0</v>
      </c>
      <c r="X108" s="89">
        <v>0</v>
      </c>
      <c r="Y108" s="89">
        <v>0</v>
      </c>
      <c r="Z108" s="147">
        <v>0</v>
      </c>
      <c r="AA108" s="147">
        <v>0</v>
      </c>
      <c r="AB108" s="254" t="s">
        <v>107</v>
      </c>
      <c r="AC108" s="87">
        <v>0</v>
      </c>
      <c r="AD108" s="251">
        <v>0</v>
      </c>
      <c r="AE108" s="88">
        <v>0</v>
      </c>
      <c r="AF108" s="89">
        <v>0</v>
      </c>
      <c r="AG108" s="115">
        <v>0</v>
      </c>
      <c r="AH108" s="115">
        <v>0</v>
      </c>
      <c r="AI108" s="149">
        <v>0</v>
      </c>
      <c r="AJ108" s="248" t="s">
        <v>142</v>
      </c>
      <c r="AK108" s="246"/>
      <c r="AL108" s="93">
        <v>76.973615394593338</v>
      </c>
      <c r="AM108" s="104">
        <v>101.49833550597016</v>
      </c>
      <c r="AN108" s="246" t="s">
        <v>198</v>
      </c>
      <c r="AO108" s="246">
        <v>1</v>
      </c>
      <c r="AP108" s="93">
        <v>5.2098202497769854</v>
      </c>
      <c r="AQ108" s="93">
        <v>7.1067374153973377</v>
      </c>
      <c r="AR108" s="114">
        <v>0</v>
      </c>
      <c r="AS108" s="93">
        <v>0</v>
      </c>
      <c r="AT108" s="261">
        <v>0.33999999999999997</v>
      </c>
      <c r="AU108" s="260">
        <v>0.66</v>
      </c>
      <c r="AV108" s="93">
        <v>67.387549792887754</v>
      </c>
      <c r="AW108" s="104">
        <v>112.8326866046478</v>
      </c>
      <c r="AX108" s="93">
        <v>72.597370042664735</v>
      </c>
      <c r="AY108" s="166">
        <v>119.93942402004514</v>
      </c>
      <c r="BA108" s="166"/>
    </row>
    <row r="109" spans="1:53" ht="45">
      <c r="A109" s="95" t="s">
        <v>748</v>
      </c>
      <c r="B109" s="87" t="s">
        <v>717</v>
      </c>
      <c r="C109" s="246" t="s">
        <v>10</v>
      </c>
      <c r="D109" s="246" t="s">
        <v>305</v>
      </c>
      <c r="E109" s="253" t="s">
        <v>157</v>
      </c>
      <c r="F109" s="253" t="s">
        <v>1282</v>
      </c>
      <c r="G109" s="253" t="s">
        <v>112</v>
      </c>
      <c r="H109" s="246" t="s">
        <v>109</v>
      </c>
      <c r="I109" s="246" t="s">
        <v>142</v>
      </c>
      <c r="J109" s="246" t="s">
        <v>113</v>
      </c>
      <c r="K109" s="246" t="s">
        <v>49</v>
      </c>
      <c r="L109" s="250" t="s">
        <v>18</v>
      </c>
      <c r="M109" s="87">
        <v>0.5</v>
      </c>
      <c r="N109" s="251">
        <v>0.4</v>
      </c>
      <c r="O109" s="92">
        <v>0.9</v>
      </c>
      <c r="P109" s="93">
        <v>37.951648559259922</v>
      </c>
      <c r="Q109" s="93">
        <v>30.36131884740794</v>
      </c>
      <c r="R109" s="93">
        <v>104.90509729066193</v>
      </c>
      <c r="S109" s="104">
        <v>83.924077832529548</v>
      </c>
      <c r="T109" s="246" t="s">
        <v>107</v>
      </c>
      <c r="U109" s="87">
        <v>0</v>
      </c>
      <c r="V109" s="246">
        <v>0</v>
      </c>
      <c r="W109" s="92">
        <v>0</v>
      </c>
      <c r="X109" s="89">
        <v>0</v>
      </c>
      <c r="Y109" s="89">
        <v>0</v>
      </c>
      <c r="Z109" s="147">
        <v>0</v>
      </c>
      <c r="AA109" s="147">
        <v>0</v>
      </c>
      <c r="AB109" s="254" t="s">
        <v>107</v>
      </c>
      <c r="AC109" s="87">
        <v>0</v>
      </c>
      <c r="AD109" s="251">
        <v>0</v>
      </c>
      <c r="AE109" s="88">
        <v>0</v>
      </c>
      <c r="AF109" s="89">
        <v>0</v>
      </c>
      <c r="AG109" s="115">
        <v>0</v>
      </c>
      <c r="AH109" s="115">
        <v>0</v>
      </c>
      <c r="AI109" s="149">
        <v>0</v>
      </c>
      <c r="AJ109" s="248" t="s">
        <v>142</v>
      </c>
      <c r="AK109" s="246"/>
      <c r="AL109" s="93">
        <v>100.06570001297133</v>
      </c>
      <c r="AM109" s="104">
        <v>131.94783615776117</v>
      </c>
      <c r="AN109" s="246" t="s">
        <v>198</v>
      </c>
      <c r="AO109" s="246">
        <v>1</v>
      </c>
      <c r="AP109" s="93">
        <v>5.2098202497769854</v>
      </c>
      <c r="AQ109" s="93">
        <v>7.1067374153973377</v>
      </c>
      <c r="AR109" s="114">
        <v>0</v>
      </c>
      <c r="AS109" s="93">
        <v>0</v>
      </c>
      <c r="AT109" s="261">
        <v>0.33999999999999997</v>
      </c>
      <c r="AU109" s="260">
        <v>0.66</v>
      </c>
      <c r="AV109" s="93">
        <v>89.269770926828159</v>
      </c>
      <c r="AW109" s="104">
        <v>151.28749140600746</v>
      </c>
      <c r="AX109" s="93">
        <v>94.47959117660514</v>
      </c>
      <c r="AY109" s="166">
        <v>158.39422882140479</v>
      </c>
      <c r="BA109" s="166"/>
    </row>
    <row r="110" spans="1:53" ht="45">
      <c r="A110" s="95" t="s">
        <v>749</v>
      </c>
      <c r="B110" s="87" t="s">
        <v>718</v>
      </c>
      <c r="C110" s="246" t="s">
        <v>10</v>
      </c>
      <c r="D110" s="246" t="s">
        <v>305</v>
      </c>
      <c r="E110" s="253" t="s">
        <v>157</v>
      </c>
      <c r="F110" s="253" t="s">
        <v>1282</v>
      </c>
      <c r="G110" s="253" t="s">
        <v>121</v>
      </c>
      <c r="H110" s="246" t="s">
        <v>109</v>
      </c>
      <c r="I110" s="246" t="s">
        <v>142</v>
      </c>
      <c r="J110" s="246" t="s">
        <v>113</v>
      </c>
      <c r="K110" s="246" t="s">
        <v>49</v>
      </c>
      <c r="L110" s="250" t="s">
        <v>18</v>
      </c>
      <c r="M110" s="87">
        <v>0.5</v>
      </c>
      <c r="N110" s="251">
        <v>0.4</v>
      </c>
      <c r="O110" s="92">
        <v>0.9</v>
      </c>
      <c r="P110" s="93">
        <v>37.951648559259922</v>
      </c>
      <c r="Q110" s="93">
        <v>30.36131884740794</v>
      </c>
      <c r="R110" s="93">
        <v>104.90509729066193</v>
      </c>
      <c r="S110" s="104">
        <v>83.924077832529548</v>
      </c>
      <c r="T110" s="253" t="s">
        <v>107</v>
      </c>
      <c r="U110" s="90">
        <v>0</v>
      </c>
      <c r="V110" s="251">
        <v>0</v>
      </c>
      <c r="W110" s="92">
        <v>0</v>
      </c>
      <c r="X110" s="89">
        <v>0</v>
      </c>
      <c r="Y110" s="89">
        <v>0</v>
      </c>
      <c r="Z110" s="147">
        <v>0</v>
      </c>
      <c r="AA110" s="147">
        <v>0</v>
      </c>
      <c r="AB110" s="254" t="s">
        <v>107</v>
      </c>
      <c r="AC110" s="87">
        <v>0</v>
      </c>
      <c r="AD110" s="251">
        <v>0</v>
      </c>
      <c r="AE110" s="88">
        <v>0</v>
      </c>
      <c r="AF110" s="89">
        <v>0</v>
      </c>
      <c r="AG110" s="115">
        <v>0</v>
      </c>
      <c r="AH110" s="115">
        <v>0</v>
      </c>
      <c r="AI110" s="149">
        <v>0</v>
      </c>
      <c r="AJ110" s="248" t="s">
        <v>142</v>
      </c>
      <c r="AK110" s="246"/>
      <c r="AL110" s="93">
        <v>100.06570001297133</v>
      </c>
      <c r="AM110" s="104">
        <v>131.94783615776117</v>
      </c>
      <c r="AN110" s="246" t="s">
        <v>198</v>
      </c>
      <c r="AO110" s="246">
        <v>1</v>
      </c>
      <c r="AP110" s="93">
        <v>5.2098202497769854</v>
      </c>
      <c r="AQ110" s="93">
        <v>7.1067374153973377</v>
      </c>
      <c r="AR110" s="114">
        <v>0</v>
      </c>
      <c r="AS110" s="93">
        <v>0</v>
      </c>
      <c r="AT110" s="261">
        <v>0.33999999999999997</v>
      </c>
      <c r="AU110" s="260">
        <v>0.66</v>
      </c>
      <c r="AV110" s="93">
        <v>89.269770926828159</v>
      </c>
      <c r="AW110" s="104">
        <v>151.28749140600746</v>
      </c>
      <c r="AX110" s="93">
        <v>94.47959117660514</v>
      </c>
      <c r="AY110" s="166">
        <v>158.39422882140479</v>
      </c>
      <c r="BA110" s="166"/>
    </row>
    <row r="111" spans="1:53" ht="30">
      <c r="A111" s="95" t="s">
        <v>750</v>
      </c>
      <c r="B111" s="87" t="s">
        <v>719</v>
      </c>
      <c r="C111" s="246" t="s">
        <v>10</v>
      </c>
      <c r="D111" s="246" t="s">
        <v>305</v>
      </c>
      <c r="E111" s="253" t="s">
        <v>158</v>
      </c>
      <c r="F111" s="253" t="s">
        <v>246</v>
      </c>
      <c r="G111" s="253" t="s">
        <v>105</v>
      </c>
      <c r="H111" s="246" t="s">
        <v>109</v>
      </c>
      <c r="I111" s="246" t="s">
        <v>142</v>
      </c>
      <c r="J111" s="246" t="s">
        <v>47</v>
      </c>
      <c r="K111" s="246" t="s">
        <v>49</v>
      </c>
      <c r="L111" s="250" t="s">
        <v>18</v>
      </c>
      <c r="M111" s="87">
        <v>0.5</v>
      </c>
      <c r="N111" s="251">
        <v>2.0499999999999998</v>
      </c>
      <c r="O111" s="90">
        <v>2.5499999999999998</v>
      </c>
      <c r="P111" s="93">
        <v>27.099613778523121</v>
      </c>
      <c r="Q111" s="93">
        <v>111.10841649194479</v>
      </c>
      <c r="R111" s="93">
        <v>74.908145703770415</v>
      </c>
      <c r="S111" s="104">
        <v>307.1233973854587</v>
      </c>
      <c r="T111" s="253" t="s">
        <v>18</v>
      </c>
      <c r="U111" s="87">
        <v>0.5</v>
      </c>
      <c r="V111" s="251">
        <v>2.0499999999999998</v>
      </c>
      <c r="W111" s="92">
        <v>2.5499999999999998</v>
      </c>
      <c r="X111" s="89">
        <v>27.099613778523121</v>
      </c>
      <c r="Y111" s="89">
        <v>111.10841649194479</v>
      </c>
      <c r="Z111" s="147">
        <v>74.908145703770415</v>
      </c>
      <c r="AA111" s="147">
        <v>307.1233973854587</v>
      </c>
      <c r="AB111" s="254" t="s">
        <v>107</v>
      </c>
      <c r="AC111" s="87">
        <v>0</v>
      </c>
      <c r="AD111" s="251">
        <v>0</v>
      </c>
      <c r="AE111" s="88">
        <v>0</v>
      </c>
      <c r="AF111" s="89">
        <v>0</v>
      </c>
      <c r="AG111" s="115">
        <v>0</v>
      </c>
      <c r="AH111" s="115">
        <v>0</v>
      </c>
      <c r="AI111" s="149">
        <v>0</v>
      </c>
      <c r="AJ111" s="248" t="s">
        <v>49</v>
      </c>
      <c r="AK111" s="246"/>
      <c r="AL111" s="93">
        <v>0</v>
      </c>
      <c r="AM111" s="104">
        <v>0</v>
      </c>
      <c r="AN111" s="246" t="s">
        <v>198</v>
      </c>
      <c r="AO111" s="246">
        <v>1</v>
      </c>
      <c r="AP111" s="93">
        <v>5.2098202497769854</v>
      </c>
      <c r="AQ111" s="93">
        <v>7.1067374153973377</v>
      </c>
      <c r="AR111" s="114">
        <v>0</v>
      </c>
      <c r="AS111" s="93">
        <v>0</v>
      </c>
      <c r="AT111" s="261">
        <v>1</v>
      </c>
      <c r="AU111" s="260">
        <v>0</v>
      </c>
      <c r="AV111" s="93">
        <v>276.41606054093586</v>
      </c>
      <c r="AW111" s="104">
        <v>764.06308617845821</v>
      </c>
      <c r="AX111" s="93">
        <v>281.62588079071287</v>
      </c>
      <c r="AY111" s="166">
        <v>771.16982359385554</v>
      </c>
      <c r="BA111" s="166"/>
    </row>
    <row r="112" spans="1:53" ht="30">
      <c r="A112" s="95" t="s">
        <v>751</v>
      </c>
      <c r="B112" s="87" t="s">
        <v>720</v>
      </c>
      <c r="C112" s="246" t="s">
        <v>10</v>
      </c>
      <c r="D112" s="246" t="s">
        <v>305</v>
      </c>
      <c r="E112" s="253" t="s">
        <v>158</v>
      </c>
      <c r="F112" s="253" t="s">
        <v>246</v>
      </c>
      <c r="G112" s="253" t="s">
        <v>111</v>
      </c>
      <c r="H112" s="246" t="s">
        <v>109</v>
      </c>
      <c r="I112" s="246" t="s">
        <v>142</v>
      </c>
      <c r="J112" s="246" t="s">
        <v>47</v>
      </c>
      <c r="K112" s="246" t="s">
        <v>49</v>
      </c>
      <c r="L112" s="250" t="s">
        <v>18</v>
      </c>
      <c r="M112" s="87">
        <v>0.5</v>
      </c>
      <c r="N112" s="251">
        <v>2.1666666666666665</v>
      </c>
      <c r="O112" s="92">
        <v>2.6666666666666665</v>
      </c>
      <c r="P112" s="93">
        <v>27.099613778523121</v>
      </c>
      <c r="Q112" s="93">
        <v>117.43165970693352</v>
      </c>
      <c r="R112" s="93">
        <v>74.908145703770415</v>
      </c>
      <c r="S112" s="104">
        <v>324.60196471633839</v>
      </c>
      <c r="T112" s="253" t="s">
        <v>18</v>
      </c>
      <c r="U112" s="90">
        <v>0.5</v>
      </c>
      <c r="V112" s="251">
        <v>2.1666666666666665</v>
      </c>
      <c r="W112" s="92">
        <v>2.6666666666666665</v>
      </c>
      <c r="X112" s="89">
        <v>27.099613778523121</v>
      </c>
      <c r="Y112" s="89">
        <v>117.43165970693352</v>
      </c>
      <c r="Z112" s="147">
        <v>74.908145703770415</v>
      </c>
      <c r="AA112" s="147">
        <v>324.60196471633839</v>
      </c>
      <c r="AB112" s="254" t="s">
        <v>107</v>
      </c>
      <c r="AC112" s="87">
        <v>0</v>
      </c>
      <c r="AD112" s="251">
        <v>0</v>
      </c>
      <c r="AE112" s="88">
        <v>0</v>
      </c>
      <c r="AF112" s="89">
        <v>0</v>
      </c>
      <c r="AG112" s="115">
        <v>0</v>
      </c>
      <c r="AH112" s="115">
        <v>0</v>
      </c>
      <c r="AI112" s="149">
        <v>0</v>
      </c>
      <c r="AJ112" s="248" t="s">
        <v>49</v>
      </c>
      <c r="AK112" s="246"/>
      <c r="AL112" s="93">
        <v>0</v>
      </c>
      <c r="AM112" s="104">
        <v>0</v>
      </c>
      <c r="AN112" s="246" t="s">
        <v>198</v>
      </c>
      <c r="AO112" s="246">
        <v>1</v>
      </c>
      <c r="AP112" s="93">
        <v>5.2098202497769854</v>
      </c>
      <c r="AQ112" s="93">
        <v>7.1067374153973377</v>
      </c>
      <c r="AR112" s="114">
        <v>0</v>
      </c>
      <c r="AS112" s="93">
        <v>0</v>
      </c>
      <c r="AT112" s="261">
        <v>1</v>
      </c>
      <c r="AU112" s="260">
        <v>0</v>
      </c>
      <c r="AV112" s="93">
        <v>289.06254697091327</v>
      </c>
      <c r="AW112" s="104">
        <v>799.02022084021758</v>
      </c>
      <c r="AX112" s="93">
        <v>294.27236722069028</v>
      </c>
      <c r="AY112" s="166">
        <v>806.12695825561491</v>
      </c>
      <c r="BA112" s="166"/>
    </row>
    <row r="113" spans="1:53" ht="30">
      <c r="A113" s="95" t="s">
        <v>752</v>
      </c>
      <c r="B113" s="87" t="s">
        <v>721</v>
      </c>
      <c r="C113" s="246" t="s">
        <v>10</v>
      </c>
      <c r="D113" s="246" t="s">
        <v>305</v>
      </c>
      <c r="E113" s="253" t="s">
        <v>158</v>
      </c>
      <c r="F113" s="253" t="s">
        <v>246</v>
      </c>
      <c r="G113" s="253" t="s">
        <v>112</v>
      </c>
      <c r="H113" s="246" t="s">
        <v>109</v>
      </c>
      <c r="I113" s="246" t="s">
        <v>142</v>
      </c>
      <c r="J113" s="246" t="s">
        <v>113</v>
      </c>
      <c r="K113" s="246" t="s">
        <v>49</v>
      </c>
      <c r="L113" s="250" t="s">
        <v>18</v>
      </c>
      <c r="M113" s="87">
        <v>0.5</v>
      </c>
      <c r="N113" s="251">
        <v>2.0499999999999998</v>
      </c>
      <c r="O113" s="92">
        <v>2.5499999999999998</v>
      </c>
      <c r="P113" s="93">
        <v>37.951648559259922</v>
      </c>
      <c r="Q113" s="93">
        <v>155.60175909296566</v>
      </c>
      <c r="R113" s="93">
        <v>104.90509729066193</v>
      </c>
      <c r="S113" s="104">
        <v>430.11089889171387</v>
      </c>
      <c r="T113" s="253" t="s">
        <v>18</v>
      </c>
      <c r="U113" s="90">
        <v>0.5</v>
      </c>
      <c r="V113" s="251">
        <v>2.0499999999999998</v>
      </c>
      <c r="W113" s="92">
        <v>2.5499999999999998</v>
      </c>
      <c r="X113" s="89">
        <v>37.951648559259922</v>
      </c>
      <c r="Y113" s="89">
        <v>155.60175909296566</v>
      </c>
      <c r="Z113" s="147">
        <v>104.90509729066193</v>
      </c>
      <c r="AA113" s="147">
        <v>430.11089889171387</v>
      </c>
      <c r="AB113" s="254" t="s">
        <v>107</v>
      </c>
      <c r="AC113" s="87">
        <v>0</v>
      </c>
      <c r="AD113" s="251">
        <v>0</v>
      </c>
      <c r="AE113" s="88">
        <v>0</v>
      </c>
      <c r="AF113" s="89">
        <v>0</v>
      </c>
      <c r="AG113" s="115">
        <v>0</v>
      </c>
      <c r="AH113" s="115">
        <v>0</v>
      </c>
      <c r="AI113" s="149">
        <v>0</v>
      </c>
      <c r="AJ113" s="248" t="s">
        <v>49</v>
      </c>
      <c r="AK113" s="246"/>
      <c r="AL113" s="93">
        <v>0</v>
      </c>
      <c r="AM113" s="104">
        <v>0</v>
      </c>
      <c r="AN113" s="246" t="s">
        <v>198</v>
      </c>
      <c r="AO113" s="246">
        <v>1</v>
      </c>
      <c r="AP113" s="93">
        <v>5.2098202497769854</v>
      </c>
      <c r="AQ113" s="93">
        <v>7.1067374153973377</v>
      </c>
      <c r="AR113" s="114">
        <v>0</v>
      </c>
      <c r="AS113" s="93">
        <v>0</v>
      </c>
      <c r="AT113" s="261">
        <v>1</v>
      </c>
      <c r="AU113" s="260">
        <v>0</v>
      </c>
      <c r="AV113" s="93">
        <v>387.10681530445117</v>
      </c>
      <c r="AW113" s="104">
        <v>1070.0319923647517</v>
      </c>
      <c r="AX113" s="93">
        <v>392.31663555422818</v>
      </c>
      <c r="AY113" s="166">
        <v>1077.1387297801491</v>
      </c>
      <c r="BA113" s="166"/>
    </row>
    <row r="114" spans="1:53" ht="30">
      <c r="A114" s="95" t="s">
        <v>753</v>
      </c>
      <c r="B114" s="87" t="s">
        <v>1141</v>
      </c>
      <c r="C114" s="246" t="s">
        <v>10</v>
      </c>
      <c r="D114" s="246" t="s">
        <v>305</v>
      </c>
      <c r="E114" s="253" t="s">
        <v>158</v>
      </c>
      <c r="F114" s="253" t="s">
        <v>246</v>
      </c>
      <c r="G114" s="253" t="s">
        <v>121</v>
      </c>
      <c r="H114" s="246" t="s">
        <v>109</v>
      </c>
      <c r="I114" s="246" t="s">
        <v>142</v>
      </c>
      <c r="J114" s="246" t="s">
        <v>113</v>
      </c>
      <c r="K114" s="246" t="s">
        <v>49</v>
      </c>
      <c r="L114" s="250" t="s">
        <v>18</v>
      </c>
      <c r="M114" s="87">
        <v>0.5</v>
      </c>
      <c r="N114" s="251">
        <v>2.1666666666666665</v>
      </c>
      <c r="O114" s="92">
        <v>2.6666666666666665</v>
      </c>
      <c r="P114" s="93">
        <v>37.951648559259922</v>
      </c>
      <c r="Q114" s="93">
        <v>164.45714375679299</v>
      </c>
      <c r="R114" s="93">
        <v>104.90509729066193</v>
      </c>
      <c r="S114" s="104">
        <v>454.58875492620166</v>
      </c>
      <c r="T114" s="253" t="s">
        <v>18</v>
      </c>
      <c r="U114" s="90">
        <v>0.5</v>
      </c>
      <c r="V114" s="251">
        <v>2.1666666666666665</v>
      </c>
      <c r="W114" s="92">
        <v>2.6666666666666665</v>
      </c>
      <c r="X114" s="89">
        <v>37.951648559259922</v>
      </c>
      <c r="Y114" s="89">
        <v>164.45714375679299</v>
      </c>
      <c r="Z114" s="147">
        <v>104.90509729066193</v>
      </c>
      <c r="AA114" s="147">
        <v>454.58875492620166</v>
      </c>
      <c r="AB114" s="254" t="s">
        <v>107</v>
      </c>
      <c r="AC114" s="87">
        <v>0</v>
      </c>
      <c r="AD114" s="251">
        <v>0</v>
      </c>
      <c r="AE114" s="88">
        <v>0</v>
      </c>
      <c r="AF114" s="89">
        <v>0</v>
      </c>
      <c r="AG114" s="115">
        <v>0</v>
      </c>
      <c r="AH114" s="115">
        <v>0</v>
      </c>
      <c r="AI114" s="149">
        <v>0</v>
      </c>
      <c r="AJ114" s="248" t="s">
        <v>49</v>
      </c>
      <c r="AK114" s="246"/>
      <c r="AL114" s="93">
        <v>0</v>
      </c>
      <c r="AM114" s="104">
        <v>0</v>
      </c>
      <c r="AN114" s="246" t="s">
        <v>198</v>
      </c>
      <c r="AO114" s="246">
        <v>1</v>
      </c>
      <c r="AP114" s="93">
        <v>5.2098202497769854</v>
      </c>
      <c r="AQ114" s="93">
        <v>7.1067374153973377</v>
      </c>
      <c r="AR114" s="114">
        <v>0</v>
      </c>
      <c r="AS114" s="93">
        <v>0</v>
      </c>
      <c r="AT114" s="261">
        <v>1</v>
      </c>
      <c r="AU114" s="260">
        <v>0</v>
      </c>
      <c r="AV114" s="93">
        <v>404.81758463210582</v>
      </c>
      <c r="AW114" s="104">
        <v>1118.9877044337272</v>
      </c>
      <c r="AX114" s="93">
        <v>410.02740488188283</v>
      </c>
      <c r="AY114" s="166">
        <v>1126.0944418491247</v>
      </c>
      <c r="BA114" s="166"/>
    </row>
    <row r="115" spans="1:53" ht="45">
      <c r="A115" s="95" t="s">
        <v>754</v>
      </c>
      <c r="B115" s="87" t="s">
        <v>1142</v>
      </c>
      <c r="C115" s="246" t="s">
        <v>10</v>
      </c>
      <c r="D115" s="246" t="s">
        <v>305</v>
      </c>
      <c r="E115" s="253" t="s">
        <v>159</v>
      </c>
      <c r="F115" s="253" t="s">
        <v>247</v>
      </c>
      <c r="G115" s="253" t="s">
        <v>105</v>
      </c>
      <c r="H115" s="246" t="s">
        <v>109</v>
      </c>
      <c r="I115" s="246" t="s">
        <v>142</v>
      </c>
      <c r="J115" s="246" t="s">
        <v>47</v>
      </c>
      <c r="K115" s="246" t="s">
        <v>49</v>
      </c>
      <c r="L115" s="250" t="s">
        <v>18</v>
      </c>
      <c r="M115" s="87">
        <v>0.5</v>
      </c>
      <c r="N115" s="251">
        <v>0.46666666666666667</v>
      </c>
      <c r="O115" s="92">
        <v>0.96666666666666667</v>
      </c>
      <c r="P115" s="93">
        <v>27.099613778523121</v>
      </c>
      <c r="Q115" s="93">
        <v>25.292972859954915</v>
      </c>
      <c r="R115" s="93">
        <v>74.908145703770415</v>
      </c>
      <c r="S115" s="104">
        <v>69.914269323519065</v>
      </c>
      <c r="T115" s="246" t="s">
        <v>107</v>
      </c>
      <c r="U115" s="87">
        <v>0</v>
      </c>
      <c r="V115" s="246">
        <v>0</v>
      </c>
      <c r="W115" s="92">
        <v>0</v>
      </c>
      <c r="X115" s="89">
        <v>0</v>
      </c>
      <c r="Y115" s="89">
        <v>0</v>
      </c>
      <c r="Z115" s="147">
        <v>0</v>
      </c>
      <c r="AA115" s="147">
        <v>0</v>
      </c>
      <c r="AB115" s="254" t="s">
        <v>107</v>
      </c>
      <c r="AC115" s="87">
        <v>0</v>
      </c>
      <c r="AD115" s="251">
        <v>0</v>
      </c>
      <c r="AE115" s="88">
        <v>0</v>
      </c>
      <c r="AF115" s="89">
        <v>0</v>
      </c>
      <c r="AG115" s="115">
        <v>0</v>
      </c>
      <c r="AH115" s="115">
        <v>0</v>
      </c>
      <c r="AI115" s="149">
        <v>0</v>
      </c>
      <c r="AJ115" s="248" t="s">
        <v>142</v>
      </c>
      <c r="AK115" s="246"/>
      <c r="AL115" s="93">
        <v>50.490518280244338</v>
      </c>
      <c r="AM115" s="104">
        <v>66.577404971918725</v>
      </c>
      <c r="AN115" s="246" t="s">
        <v>198</v>
      </c>
      <c r="AO115" s="246">
        <v>1</v>
      </c>
      <c r="AP115" s="93">
        <v>5.2098202497769854</v>
      </c>
      <c r="AQ115" s="93">
        <v>7.1067374153973377</v>
      </c>
      <c r="AR115" s="114">
        <v>0</v>
      </c>
      <c r="AS115" s="93">
        <v>0</v>
      </c>
      <c r="AT115" s="261">
        <v>0.26194145000000002</v>
      </c>
      <c r="AU115" s="260">
        <v>0.73805854999999998</v>
      </c>
      <c r="AV115" s="93">
        <v>50.988748823999195</v>
      </c>
      <c r="AW115" s="104">
        <v>87.073016361087127</v>
      </c>
      <c r="AX115" s="93">
        <v>56.198569073776184</v>
      </c>
      <c r="AY115" s="166">
        <v>94.179753776484461</v>
      </c>
      <c r="BA115" s="166"/>
    </row>
    <row r="116" spans="1:53" ht="45">
      <c r="A116" s="95" t="s">
        <v>755</v>
      </c>
      <c r="B116" s="87" t="s">
        <v>1143</v>
      </c>
      <c r="C116" s="246" t="s">
        <v>10</v>
      </c>
      <c r="D116" s="246" t="s">
        <v>305</v>
      </c>
      <c r="E116" s="253" t="s">
        <v>159</v>
      </c>
      <c r="F116" s="253" t="s">
        <v>247</v>
      </c>
      <c r="G116" s="253" t="s">
        <v>112</v>
      </c>
      <c r="H116" s="246" t="s">
        <v>109</v>
      </c>
      <c r="I116" s="246" t="s">
        <v>142</v>
      </c>
      <c r="J116" s="246" t="s">
        <v>113</v>
      </c>
      <c r="K116" s="246" t="s">
        <v>49</v>
      </c>
      <c r="L116" s="250" t="s">
        <v>18</v>
      </c>
      <c r="M116" s="87">
        <v>0.5</v>
      </c>
      <c r="N116" s="251">
        <v>0.46666666666666667</v>
      </c>
      <c r="O116" s="92">
        <v>0.96666666666666667</v>
      </c>
      <c r="P116" s="93">
        <v>37.951648559259922</v>
      </c>
      <c r="Q116" s="93">
        <v>35.421538655309263</v>
      </c>
      <c r="R116" s="93">
        <v>104.90509729066193</v>
      </c>
      <c r="S116" s="104">
        <v>97.911424137951144</v>
      </c>
      <c r="T116" s="246" t="s">
        <v>107</v>
      </c>
      <c r="U116" s="87">
        <v>0</v>
      </c>
      <c r="V116" s="246">
        <v>0</v>
      </c>
      <c r="W116" s="92">
        <v>0</v>
      </c>
      <c r="X116" s="89">
        <v>0</v>
      </c>
      <c r="Y116" s="89">
        <v>0</v>
      </c>
      <c r="Z116" s="147">
        <v>0</v>
      </c>
      <c r="AA116" s="147">
        <v>0</v>
      </c>
      <c r="AB116" s="254" t="s">
        <v>107</v>
      </c>
      <c r="AC116" s="87">
        <v>0</v>
      </c>
      <c r="AD116" s="251">
        <v>0</v>
      </c>
      <c r="AE116" s="88">
        <v>0</v>
      </c>
      <c r="AF116" s="89">
        <v>0</v>
      </c>
      <c r="AG116" s="115">
        <v>0</v>
      </c>
      <c r="AH116" s="115">
        <v>0</v>
      </c>
      <c r="AI116" s="149">
        <v>0</v>
      </c>
      <c r="AJ116" s="248" t="s">
        <v>142</v>
      </c>
      <c r="AK116" s="246"/>
      <c r="AL116" s="93">
        <v>103.17182547208077</v>
      </c>
      <c r="AM116" s="104">
        <v>136.04361056508452</v>
      </c>
      <c r="AN116" s="246" t="s">
        <v>198</v>
      </c>
      <c r="AO116" s="246">
        <v>1</v>
      </c>
      <c r="AP116" s="93">
        <v>5.2098202497769854</v>
      </c>
      <c r="AQ116" s="93">
        <v>7.1067374153973377</v>
      </c>
      <c r="AR116" s="114">
        <v>0</v>
      </c>
      <c r="AS116" s="93">
        <v>0</v>
      </c>
      <c r="AT116" s="261">
        <v>0.26194145000000002</v>
      </c>
      <c r="AU116" s="260">
        <v>0.73805854999999998</v>
      </c>
      <c r="AV116" s="93">
        <v>95.366326958882709</v>
      </c>
      <c r="AW116" s="104">
        <v>153.53420365739794</v>
      </c>
      <c r="AX116" s="93">
        <v>100.57614720865969</v>
      </c>
      <c r="AY116" s="166">
        <v>160.64094107279527</v>
      </c>
      <c r="BA116" s="166"/>
    </row>
    <row r="117" spans="1:53" ht="45">
      <c r="A117" s="95" t="s">
        <v>756</v>
      </c>
      <c r="B117" s="87" t="s">
        <v>1144</v>
      </c>
      <c r="C117" s="246" t="s">
        <v>10</v>
      </c>
      <c r="D117" s="246" t="s">
        <v>305</v>
      </c>
      <c r="E117" s="253" t="s">
        <v>159</v>
      </c>
      <c r="F117" s="253" t="s">
        <v>247</v>
      </c>
      <c r="G117" s="253" t="s">
        <v>111</v>
      </c>
      <c r="H117" s="246" t="s">
        <v>109</v>
      </c>
      <c r="I117" s="246" t="s">
        <v>142</v>
      </c>
      <c r="J117" s="246" t="s">
        <v>47</v>
      </c>
      <c r="K117" s="246" t="s">
        <v>49</v>
      </c>
      <c r="L117" s="250" t="s">
        <v>18</v>
      </c>
      <c r="M117" s="87">
        <v>0.5</v>
      </c>
      <c r="N117" s="251">
        <v>0.7</v>
      </c>
      <c r="O117" s="90">
        <v>1.2</v>
      </c>
      <c r="P117" s="93">
        <v>27.099613778523121</v>
      </c>
      <c r="Q117" s="93">
        <v>37.939459289932365</v>
      </c>
      <c r="R117" s="93">
        <v>74.908145703770415</v>
      </c>
      <c r="S117" s="104">
        <v>104.87140398527855</v>
      </c>
      <c r="T117" s="253" t="s">
        <v>18</v>
      </c>
      <c r="U117" s="90">
        <v>0.5</v>
      </c>
      <c r="V117" s="251">
        <v>0.7</v>
      </c>
      <c r="W117" s="92">
        <v>1.2</v>
      </c>
      <c r="X117" s="89">
        <v>27.099613778523121</v>
      </c>
      <c r="Y117" s="89">
        <v>37.939459289932365</v>
      </c>
      <c r="Z117" s="147">
        <v>74.908145703770415</v>
      </c>
      <c r="AA117" s="147">
        <v>104.87140398527855</v>
      </c>
      <c r="AB117" s="254" t="s">
        <v>107</v>
      </c>
      <c r="AC117" s="87">
        <v>0</v>
      </c>
      <c r="AD117" s="251">
        <v>0</v>
      </c>
      <c r="AE117" s="88">
        <v>0</v>
      </c>
      <c r="AF117" s="89">
        <v>0</v>
      </c>
      <c r="AG117" s="115">
        <v>0</v>
      </c>
      <c r="AH117" s="115">
        <v>0</v>
      </c>
      <c r="AI117" s="149">
        <v>0</v>
      </c>
      <c r="AJ117" s="248" t="s">
        <v>49</v>
      </c>
      <c r="AK117" s="246"/>
      <c r="AL117" s="93">
        <v>0</v>
      </c>
      <c r="AM117" s="104">
        <v>0</v>
      </c>
      <c r="AN117" s="246" t="s">
        <v>198</v>
      </c>
      <c r="AO117" s="246">
        <v>1</v>
      </c>
      <c r="AP117" s="93">
        <v>5.2098202497769854</v>
      </c>
      <c r="AQ117" s="93">
        <v>7.1067374153973377</v>
      </c>
      <c r="AR117" s="114">
        <v>0</v>
      </c>
      <c r="AS117" s="93">
        <v>0</v>
      </c>
      <c r="AT117" s="261">
        <v>1</v>
      </c>
      <c r="AU117" s="260">
        <v>0</v>
      </c>
      <c r="AV117" s="93">
        <v>130.07814613691096</v>
      </c>
      <c r="AW117" s="104">
        <v>359.55909937809793</v>
      </c>
      <c r="AX117" s="93">
        <v>135.28796638668794</v>
      </c>
      <c r="AY117" s="166">
        <v>366.66583679349526</v>
      </c>
      <c r="BA117" s="166"/>
    </row>
    <row r="118" spans="1:53" ht="45">
      <c r="A118" s="95" t="s">
        <v>757</v>
      </c>
      <c r="B118" s="87" t="s">
        <v>722</v>
      </c>
      <c r="C118" s="246" t="s">
        <v>10</v>
      </c>
      <c r="D118" s="246" t="s">
        <v>305</v>
      </c>
      <c r="E118" s="253" t="s">
        <v>159</v>
      </c>
      <c r="F118" s="253" t="s">
        <v>247</v>
      </c>
      <c r="G118" s="253" t="s">
        <v>121</v>
      </c>
      <c r="H118" s="246" t="s">
        <v>109</v>
      </c>
      <c r="I118" s="246" t="s">
        <v>142</v>
      </c>
      <c r="J118" s="246" t="s">
        <v>113</v>
      </c>
      <c r="K118" s="246" t="s">
        <v>49</v>
      </c>
      <c r="L118" s="250" t="s">
        <v>18</v>
      </c>
      <c r="M118" s="87">
        <v>0.5</v>
      </c>
      <c r="N118" s="251">
        <v>0.7</v>
      </c>
      <c r="O118" s="90">
        <v>1.2</v>
      </c>
      <c r="P118" s="93">
        <v>37.951648559259922</v>
      </c>
      <c r="Q118" s="93">
        <v>53.132307982963887</v>
      </c>
      <c r="R118" s="93">
        <v>104.90509729066193</v>
      </c>
      <c r="S118" s="104">
        <v>146.86713620692669</v>
      </c>
      <c r="T118" s="253" t="s">
        <v>18</v>
      </c>
      <c r="U118" s="90">
        <v>0.5</v>
      </c>
      <c r="V118" s="251">
        <v>0.7</v>
      </c>
      <c r="W118" s="92">
        <v>1.2</v>
      </c>
      <c r="X118" s="89">
        <v>37.951648559259922</v>
      </c>
      <c r="Y118" s="89">
        <v>53.132307982963887</v>
      </c>
      <c r="Z118" s="147">
        <v>104.90509729066193</v>
      </c>
      <c r="AA118" s="147">
        <v>146.86713620692669</v>
      </c>
      <c r="AB118" s="254" t="s">
        <v>107</v>
      </c>
      <c r="AC118" s="87">
        <v>0</v>
      </c>
      <c r="AD118" s="251">
        <v>0</v>
      </c>
      <c r="AE118" s="88">
        <v>0</v>
      </c>
      <c r="AF118" s="89">
        <v>0</v>
      </c>
      <c r="AG118" s="115">
        <v>0</v>
      </c>
      <c r="AH118" s="115">
        <v>0</v>
      </c>
      <c r="AI118" s="149">
        <v>0</v>
      </c>
      <c r="AJ118" s="248" t="s">
        <v>49</v>
      </c>
      <c r="AK118" s="246"/>
      <c r="AL118" s="93">
        <v>0</v>
      </c>
      <c r="AM118" s="104">
        <v>0</v>
      </c>
      <c r="AN118" s="246" t="s">
        <v>198</v>
      </c>
      <c r="AO118" s="246">
        <v>1</v>
      </c>
      <c r="AP118" s="93">
        <v>5.2098202497769854</v>
      </c>
      <c r="AQ118" s="93">
        <v>7.1067374153973377</v>
      </c>
      <c r="AR118" s="114">
        <v>0</v>
      </c>
      <c r="AS118" s="93">
        <v>0</v>
      </c>
      <c r="AT118" s="261">
        <v>1</v>
      </c>
      <c r="AU118" s="260">
        <v>0</v>
      </c>
      <c r="AV118" s="93">
        <v>182.1679130844476</v>
      </c>
      <c r="AW118" s="104">
        <v>503.54446699517723</v>
      </c>
      <c r="AX118" s="93">
        <v>187.37773333422459</v>
      </c>
      <c r="AY118" s="166">
        <v>510.65120441057456</v>
      </c>
      <c r="BA118" s="166"/>
    </row>
    <row r="119" spans="1:53" ht="90">
      <c r="A119" s="95" t="s">
        <v>758</v>
      </c>
      <c r="B119" s="87" t="s">
        <v>723</v>
      </c>
      <c r="C119" s="246" t="s">
        <v>10</v>
      </c>
      <c r="D119" s="246" t="s">
        <v>305</v>
      </c>
      <c r="E119" s="253" t="s">
        <v>159</v>
      </c>
      <c r="F119" s="253" t="s">
        <v>1436</v>
      </c>
      <c r="G119" s="253" t="s">
        <v>127</v>
      </c>
      <c r="H119" s="246" t="s">
        <v>109</v>
      </c>
      <c r="I119" s="246" t="s">
        <v>142</v>
      </c>
      <c r="J119" s="246" t="s">
        <v>47</v>
      </c>
      <c r="K119" s="246" t="s">
        <v>49</v>
      </c>
      <c r="L119" s="250" t="s">
        <v>18</v>
      </c>
      <c r="M119" s="87">
        <v>0.5</v>
      </c>
      <c r="N119" s="251">
        <v>0.43333333333333335</v>
      </c>
      <c r="O119" s="92">
        <v>0.93333333333333335</v>
      </c>
      <c r="P119" s="93">
        <v>27.099613778523121</v>
      </c>
      <c r="Q119" s="93">
        <v>23.486331941386705</v>
      </c>
      <c r="R119" s="93">
        <v>74.908145703770415</v>
      </c>
      <c r="S119" s="104">
        <v>64.920392943267686</v>
      </c>
      <c r="T119" s="246" t="s">
        <v>107</v>
      </c>
      <c r="U119" s="87">
        <v>0</v>
      </c>
      <c r="V119" s="246">
        <v>0</v>
      </c>
      <c r="W119" s="92">
        <v>0</v>
      </c>
      <c r="X119" s="89">
        <v>0</v>
      </c>
      <c r="Y119" s="89">
        <v>0</v>
      </c>
      <c r="Z119" s="147">
        <v>0</v>
      </c>
      <c r="AA119" s="147">
        <v>0</v>
      </c>
      <c r="AB119" s="254" t="s">
        <v>107</v>
      </c>
      <c r="AC119" s="87">
        <v>0</v>
      </c>
      <c r="AD119" s="251">
        <v>0</v>
      </c>
      <c r="AE119" s="88">
        <v>0</v>
      </c>
      <c r="AF119" s="89">
        <v>0</v>
      </c>
      <c r="AG119" s="115">
        <v>0</v>
      </c>
      <c r="AH119" s="115">
        <v>0</v>
      </c>
      <c r="AI119" s="149">
        <v>0</v>
      </c>
      <c r="AJ119" s="248" t="s">
        <v>49</v>
      </c>
      <c r="AK119" s="246"/>
      <c r="AL119" s="93">
        <v>0</v>
      </c>
      <c r="AM119" s="104">
        <v>0</v>
      </c>
      <c r="AN119" s="246" t="s">
        <v>198</v>
      </c>
      <c r="AO119" s="246">
        <v>1</v>
      </c>
      <c r="AP119" s="93">
        <v>5.2098202497769854</v>
      </c>
      <c r="AQ119" s="93">
        <v>7.1067374153973377</v>
      </c>
      <c r="AR119" s="114">
        <v>0</v>
      </c>
      <c r="AS119" s="93">
        <v>0</v>
      </c>
      <c r="AT119" s="261">
        <v>1</v>
      </c>
      <c r="AU119" s="260">
        <v>0</v>
      </c>
      <c r="AV119" s="93">
        <v>50.58594571990983</v>
      </c>
      <c r="AW119" s="104">
        <v>139.8285386470381</v>
      </c>
      <c r="AX119" s="93">
        <v>55.795765969686812</v>
      </c>
      <c r="AY119" s="166">
        <v>146.93527606243543</v>
      </c>
      <c r="BA119" s="166"/>
    </row>
    <row r="120" spans="1:53" ht="90">
      <c r="A120" s="95" t="s">
        <v>759</v>
      </c>
      <c r="B120" s="87" t="s">
        <v>724</v>
      </c>
      <c r="C120" s="246" t="s">
        <v>10</v>
      </c>
      <c r="D120" s="246" t="s">
        <v>305</v>
      </c>
      <c r="E120" s="253" t="s">
        <v>159</v>
      </c>
      <c r="F120" s="253" t="s">
        <v>1436</v>
      </c>
      <c r="G120" s="253" t="s">
        <v>122</v>
      </c>
      <c r="H120" s="246" t="s">
        <v>109</v>
      </c>
      <c r="I120" s="246" t="s">
        <v>142</v>
      </c>
      <c r="J120" s="246" t="s">
        <v>113</v>
      </c>
      <c r="K120" s="246" t="s">
        <v>49</v>
      </c>
      <c r="L120" s="250" t="s">
        <v>18</v>
      </c>
      <c r="M120" s="87">
        <v>0.5</v>
      </c>
      <c r="N120" s="251">
        <v>0.43333333333333335</v>
      </c>
      <c r="O120" s="92">
        <v>0.93333333333333335</v>
      </c>
      <c r="P120" s="93">
        <v>37.951648559259922</v>
      </c>
      <c r="Q120" s="93">
        <v>32.891428751358603</v>
      </c>
      <c r="R120" s="93">
        <v>104.90509729066193</v>
      </c>
      <c r="S120" s="104">
        <v>90.917750985240346</v>
      </c>
      <c r="T120" s="246" t="s">
        <v>107</v>
      </c>
      <c r="U120" s="87">
        <v>0</v>
      </c>
      <c r="V120" s="246">
        <v>0</v>
      </c>
      <c r="W120" s="92">
        <v>0</v>
      </c>
      <c r="X120" s="89">
        <v>0</v>
      </c>
      <c r="Y120" s="89">
        <v>0</v>
      </c>
      <c r="Z120" s="147">
        <v>0</v>
      </c>
      <c r="AA120" s="147">
        <v>0</v>
      </c>
      <c r="AB120" s="254" t="s">
        <v>107</v>
      </c>
      <c r="AC120" s="87">
        <v>0</v>
      </c>
      <c r="AD120" s="251">
        <v>0</v>
      </c>
      <c r="AE120" s="88">
        <v>0</v>
      </c>
      <c r="AF120" s="89">
        <v>0</v>
      </c>
      <c r="AG120" s="115">
        <v>0</v>
      </c>
      <c r="AH120" s="115">
        <v>0</v>
      </c>
      <c r="AI120" s="149">
        <v>0</v>
      </c>
      <c r="AJ120" s="248" t="s">
        <v>49</v>
      </c>
      <c r="AK120" s="246"/>
      <c r="AL120" s="93">
        <v>0</v>
      </c>
      <c r="AM120" s="104">
        <v>0</v>
      </c>
      <c r="AN120" s="246" t="s">
        <v>198</v>
      </c>
      <c r="AO120" s="246">
        <v>1</v>
      </c>
      <c r="AP120" s="93">
        <v>5.2098202497769854</v>
      </c>
      <c r="AQ120" s="93">
        <v>7.1067374153973377</v>
      </c>
      <c r="AR120" s="114">
        <v>0</v>
      </c>
      <c r="AS120" s="93">
        <v>0</v>
      </c>
      <c r="AT120" s="261">
        <v>1</v>
      </c>
      <c r="AU120" s="260">
        <v>0</v>
      </c>
      <c r="AV120" s="93">
        <v>70.843077310618526</v>
      </c>
      <c r="AW120" s="104">
        <v>195.82284827590229</v>
      </c>
      <c r="AX120" s="93">
        <v>76.052897560395508</v>
      </c>
      <c r="AY120" s="166">
        <v>202.92958569129962</v>
      </c>
      <c r="BA120" s="166"/>
    </row>
    <row r="121" spans="1:53" ht="90">
      <c r="A121" s="95" t="s">
        <v>760</v>
      </c>
      <c r="B121" s="87" t="s">
        <v>725</v>
      </c>
      <c r="C121" s="246" t="s">
        <v>10</v>
      </c>
      <c r="D121" s="246" t="s">
        <v>305</v>
      </c>
      <c r="E121" s="253" t="s">
        <v>159</v>
      </c>
      <c r="F121" s="253" t="s">
        <v>1438</v>
      </c>
      <c r="G121" s="253" t="s">
        <v>127</v>
      </c>
      <c r="H121" s="246" t="s">
        <v>109</v>
      </c>
      <c r="I121" s="246" t="s">
        <v>49</v>
      </c>
      <c r="J121" s="246" t="s">
        <v>47</v>
      </c>
      <c r="K121" s="246" t="s">
        <v>49</v>
      </c>
      <c r="L121" s="250" t="s">
        <v>18</v>
      </c>
      <c r="M121" s="87">
        <v>0</v>
      </c>
      <c r="N121" s="251">
        <v>0.43333333333333335</v>
      </c>
      <c r="O121" s="92">
        <v>0.43333333333333335</v>
      </c>
      <c r="P121" s="93">
        <v>0</v>
      </c>
      <c r="Q121" s="93">
        <v>23.486331941386705</v>
      </c>
      <c r="R121" s="93">
        <v>0</v>
      </c>
      <c r="S121" s="104">
        <v>64.920392943267686</v>
      </c>
      <c r="T121" s="246" t="s">
        <v>107</v>
      </c>
      <c r="U121" s="87">
        <v>0</v>
      </c>
      <c r="V121" s="246">
        <v>0</v>
      </c>
      <c r="W121" s="92">
        <v>0</v>
      </c>
      <c r="X121" s="89">
        <v>0</v>
      </c>
      <c r="Y121" s="89">
        <v>0</v>
      </c>
      <c r="Z121" s="147">
        <v>0</v>
      </c>
      <c r="AA121" s="147">
        <v>0</v>
      </c>
      <c r="AB121" s="254" t="s">
        <v>107</v>
      </c>
      <c r="AC121" s="87">
        <v>0</v>
      </c>
      <c r="AD121" s="251">
        <v>0</v>
      </c>
      <c r="AE121" s="88">
        <v>0</v>
      </c>
      <c r="AF121" s="89">
        <v>0</v>
      </c>
      <c r="AG121" s="115">
        <v>0</v>
      </c>
      <c r="AH121" s="115">
        <v>0</v>
      </c>
      <c r="AI121" s="149">
        <v>0</v>
      </c>
      <c r="AJ121" s="248" t="s">
        <v>49</v>
      </c>
      <c r="AK121" s="246"/>
      <c r="AL121" s="93">
        <v>0</v>
      </c>
      <c r="AM121" s="104">
        <v>0</v>
      </c>
      <c r="AN121" s="246" t="s">
        <v>198</v>
      </c>
      <c r="AO121" s="246">
        <v>1</v>
      </c>
      <c r="AP121" s="93">
        <v>5.2098202497769854</v>
      </c>
      <c r="AQ121" s="93">
        <v>7.1067374153973377</v>
      </c>
      <c r="AR121" s="114">
        <v>0</v>
      </c>
      <c r="AS121" s="93">
        <v>0</v>
      </c>
      <c r="AT121" s="261">
        <v>1</v>
      </c>
      <c r="AU121" s="260">
        <v>0</v>
      </c>
      <c r="AV121" s="93">
        <v>23.486331941386705</v>
      </c>
      <c r="AW121" s="104">
        <v>64.920392943267686</v>
      </c>
      <c r="AX121" s="93">
        <v>28.696152191163691</v>
      </c>
      <c r="AY121" s="166">
        <v>72.027130358665019</v>
      </c>
      <c r="BA121" s="166"/>
    </row>
    <row r="122" spans="1:53" ht="90">
      <c r="A122" s="95" t="s">
        <v>761</v>
      </c>
      <c r="B122" s="87" t="s">
        <v>726</v>
      </c>
      <c r="C122" s="246" t="s">
        <v>10</v>
      </c>
      <c r="D122" s="246" t="s">
        <v>305</v>
      </c>
      <c r="E122" s="253" t="s">
        <v>159</v>
      </c>
      <c r="F122" s="253" t="s">
        <v>1438</v>
      </c>
      <c r="G122" s="253" t="s">
        <v>122</v>
      </c>
      <c r="H122" s="246" t="s">
        <v>109</v>
      </c>
      <c r="I122" s="246" t="s">
        <v>49</v>
      </c>
      <c r="J122" s="246" t="s">
        <v>113</v>
      </c>
      <c r="K122" s="246" t="s">
        <v>49</v>
      </c>
      <c r="L122" s="250" t="s">
        <v>18</v>
      </c>
      <c r="M122" s="87">
        <v>0</v>
      </c>
      <c r="N122" s="251">
        <v>0.43333333333333335</v>
      </c>
      <c r="O122" s="92">
        <v>0.43333333333333335</v>
      </c>
      <c r="P122" s="93">
        <v>0</v>
      </c>
      <c r="Q122" s="93">
        <v>32.891428751358603</v>
      </c>
      <c r="R122" s="93">
        <v>0</v>
      </c>
      <c r="S122" s="104">
        <v>90.917750985240346</v>
      </c>
      <c r="T122" s="253" t="s">
        <v>107</v>
      </c>
      <c r="U122" s="90">
        <v>0</v>
      </c>
      <c r="V122" s="251"/>
      <c r="W122" s="92">
        <v>0</v>
      </c>
      <c r="X122" s="89">
        <v>0</v>
      </c>
      <c r="Y122" s="89">
        <v>0</v>
      </c>
      <c r="Z122" s="147">
        <v>0</v>
      </c>
      <c r="AA122" s="147">
        <v>0</v>
      </c>
      <c r="AB122" s="254" t="s">
        <v>107</v>
      </c>
      <c r="AC122" s="87">
        <v>0</v>
      </c>
      <c r="AD122" s="251">
        <v>0</v>
      </c>
      <c r="AE122" s="88">
        <v>0</v>
      </c>
      <c r="AF122" s="89">
        <v>0</v>
      </c>
      <c r="AG122" s="115">
        <v>0</v>
      </c>
      <c r="AH122" s="115">
        <v>0</v>
      </c>
      <c r="AI122" s="149">
        <v>0</v>
      </c>
      <c r="AJ122" s="248" t="s">
        <v>49</v>
      </c>
      <c r="AK122" s="246"/>
      <c r="AL122" s="93">
        <v>0</v>
      </c>
      <c r="AM122" s="104">
        <v>0</v>
      </c>
      <c r="AN122" s="246" t="s">
        <v>198</v>
      </c>
      <c r="AO122" s="246">
        <v>1</v>
      </c>
      <c r="AP122" s="93">
        <v>5.2098202497769854</v>
      </c>
      <c r="AQ122" s="93">
        <v>7.1067374153973377</v>
      </c>
      <c r="AR122" s="114">
        <v>0</v>
      </c>
      <c r="AS122" s="93">
        <v>0</v>
      </c>
      <c r="AT122" s="261">
        <v>1</v>
      </c>
      <c r="AU122" s="260">
        <v>0</v>
      </c>
      <c r="AV122" s="93">
        <v>32.891428751358603</v>
      </c>
      <c r="AW122" s="104">
        <v>90.917750985240346</v>
      </c>
      <c r="AX122" s="93">
        <v>38.101249001135585</v>
      </c>
      <c r="AY122" s="166">
        <v>98.024488400637679</v>
      </c>
      <c r="BA122" s="166"/>
    </row>
    <row r="123" spans="1:53" ht="30">
      <c r="A123" s="95" t="s">
        <v>762</v>
      </c>
      <c r="B123" s="87" t="s">
        <v>727</v>
      </c>
      <c r="C123" s="246" t="s">
        <v>10</v>
      </c>
      <c r="D123" s="246" t="s">
        <v>305</v>
      </c>
      <c r="E123" s="253" t="s">
        <v>160</v>
      </c>
      <c r="F123" s="253" t="s">
        <v>248</v>
      </c>
      <c r="G123" s="253" t="s">
        <v>105</v>
      </c>
      <c r="H123" s="246" t="s">
        <v>109</v>
      </c>
      <c r="I123" s="246" t="s">
        <v>142</v>
      </c>
      <c r="J123" s="246" t="s">
        <v>47</v>
      </c>
      <c r="K123" s="246" t="s">
        <v>49</v>
      </c>
      <c r="L123" s="250" t="s">
        <v>18</v>
      </c>
      <c r="M123" s="87">
        <v>0.5</v>
      </c>
      <c r="N123" s="251">
        <v>0.45</v>
      </c>
      <c r="O123" s="90">
        <v>0.95</v>
      </c>
      <c r="P123" s="93">
        <v>27.099613778523121</v>
      </c>
      <c r="Q123" s="93">
        <v>24.389652400670808</v>
      </c>
      <c r="R123" s="93">
        <v>74.908145703770415</v>
      </c>
      <c r="S123" s="104">
        <v>67.417331133393361</v>
      </c>
      <c r="T123" s="246" t="s">
        <v>107</v>
      </c>
      <c r="U123" s="87">
        <v>0</v>
      </c>
      <c r="V123" s="246">
        <v>0</v>
      </c>
      <c r="W123" s="92">
        <v>0</v>
      </c>
      <c r="X123" s="89">
        <v>0</v>
      </c>
      <c r="Y123" s="89">
        <v>0</v>
      </c>
      <c r="Z123" s="147">
        <v>0</v>
      </c>
      <c r="AA123" s="147">
        <v>0</v>
      </c>
      <c r="AB123" s="254" t="s">
        <v>107</v>
      </c>
      <c r="AC123" s="87">
        <v>0</v>
      </c>
      <c r="AD123" s="251">
        <v>0</v>
      </c>
      <c r="AE123" s="88">
        <v>0</v>
      </c>
      <c r="AF123" s="89">
        <v>0</v>
      </c>
      <c r="AG123" s="115">
        <v>0</v>
      </c>
      <c r="AH123" s="115">
        <v>0</v>
      </c>
      <c r="AI123" s="149">
        <v>0</v>
      </c>
      <c r="AJ123" s="248" t="s">
        <v>142</v>
      </c>
      <c r="AK123" s="246"/>
      <c r="AL123" s="93">
        <v>50.490518280244338</v>
      </c>
      <c r="AM123" s="104">
        <v>66.577404971918725</v>
      </c>
      <c r="AN123" s="246" t="s">
        <v>198</v>
      </c>
      <c r="AO123" s="246">
        <v>1</v>
      </c>
      <c r="AP123" s="93">
        <v>5.2098202497769854</v>
      </c>
      <c r="AQ123" s="93">
        <v>7.1067374153973377</v>
      </c>
      <c r="AR123" s="114">
        <v>0</v>
      </c>
      <c r="AS123" s="93">
        <v>0</v>
      </c>
      <c r="AT123" s="261">
        <v>0.26194145000000002</v>
      </c>
      <c r="AU123" s="260">
        <v>0.73805854999999998</v>
      </c>
      <c r="AV123" s="93">
        <v>50.752131753079652</v>
      </c>
      <c r="AW123" s="104">
        <v>86.41896475100522</v>
      </c>
      <c r="AX123" s="93">
        <v>55.961952002856634</v>
      </c>
      <c r="AY123" s="166">
        <v>93.525702166402553</v>
      </c>
      <c r="BA123" s="166"/>
    </row>
    <row r="124" spans="1:53" ht="30">
      <c r="A124" s="95" t="s">
        <v>763</v>
      </c>
      <c r="B124" s="87" t="s">
        <v>728</v>
      </c>
      <c r="C124" s="246" t="s">
        <v>10</v>
      </c>
      <c r="D124" s="246" t="s">
        <v>305</v>
      </c>
      <c r="E124" s="253" t="s">
        <v>160</v>
      </c>
      <c r="F124" s="253" t="s">
        <v>248</v>
      </c>
      <c r="G124" s="253" t="s">
        <v>112</v>
      </c>
      <c r="H124" s="246" t="s">
        <v>109</v>
      </c>
      <c r="I124" s="246" t="s">
        <v>142</v>
      </c>
      <c r="J124" s="246" t="s">
        <v>113</v>
      </c>
      <c r="K124" s="246" t="s">
        <v>49</v>
      </c>
      <c r="L124" s="250" t="s">
        <v>18</v>
      </c>
      <c r="M124" s="87">
        <v>0.5</v>
      </c>
      <c r="N124" s="251">
        <v>0.45</v>
      </c>
      <c r="O124" s="90">
        <v>0.95</v>
      </c>
      <c r="P124" s="93">
        <v>37.951648559259922</v>
      </c>
      <c r="Q124" s="93">
        <v>34.156483703333933</v>
      </c>
      <c r="R124" s="93">
        <v>104.90509729066193</v>
      </c>
      <c r="S124" s="104">
        <v>94.414587561595766</v>
      </c>
      <c r="T124" s="246" t="s">
        <v>107</v>
      </c>
      <c r="U124" s="87">
        <v>0</v>
      </c>
      <c r="V124" s="246">
        <v>0</v>
      </c>
      <c r="W124" s="92">
        <v>0</v>
      </c>
      <c r="X124" s="89">
        <v>0</v>
      </c>
      <c r="Y124" s="89">
        <v>0</v>
      </c>
      <c r="Z124" s="147">
        <v>0</v>
      </c>
      <c r="AA124" s="147">
        <v>0</v>
      </c>
      <c r="AB124" s="254" t="s">
        <v>107</v>
      </c>
      <c r="AC124" s="87">
        <v>0</v>
      </c>
      <c r="AD124" s="251">
        <v>0</v>
      </c>
      <c r="AE124" s="88">
        <v>0</v>
      </c>
      <c r="AF124" s="89">
        <v>0</v>
      </c>
      <c r="AG124" s="115">
        <v>0</v>
      </c>
      <c r="AH124" s="115">
        <v>0</v>
      </c>
      <c r="AI124" s="149">
        <v>0</v>
      </c>
      <c r="AJ124" s="248" t="s">
        <v>142</v>
      </c>
      <c r="AK124" s="246"/>
      <c r="AL124" s="93">
        <v>103.17182547208077</v>
      </c>
      <c r="AM124" s="104">
        <v>136.04361056508452</v>
      </c>
      <c r="AN124" s="246" t="s">
        <v>198</v>
      </c>
      <c r="AO124" s="246">
        <v>1</v>
      </c>
      <c r="AP124" s="93">
        <v>5.2098202497769854</v>
      </c>
      <c r="AQ124" s="93">
        <v>7.1067374153973377</v>
      </c>
      <c r="AR124" s="114">
        <v>0</v>
      </c>
      <c r="AS124" s="93">
        <v>0</v>
      </c>
      <c r="AT124" s="261">
        <v>0.26194145000000002</v>
      </c>
      <c r="AU124" s="260">
        <v>0.73805854999999998</v>
      </c>
      <c r="AV124" s="93">
        <v>95.034956630432603</v>
      </c>
      <c r="AW124" s="104">
        <v>152.61823721417437</v>
      </c>
      <c r="AX124" s="93">
        <v>100.24477688020959</v>
      </c>
      <c r="AY124" s="166">
        <v>159.7249746295717</v>
      </c>
      <c r="BA124" s="166"/>
    </row>
    <row r="125" spans="1:53" ht="30">
      <c r="A125" s="95" t="s">
        <v>764</v>
      </c>
      <c r="B125" s="87" t="s">
        <v>729</v>
      </c>
      <c r="C125" s="246" t="s">
        <v>10</v>
      </c>
      <c r="D125" s="246" t="s">
        <v>305</v>
      </c>
      <c r="E125" s="253" t="s">
        <v>160</v>
      </c>
      <c r="F125" s="253" t="s">
        <v>248</v>
      </c>
      <c r="G125" s="253" t="s">
        <v>111</v>
      </c>
      <c r="H125" s="246" t="s">
        <v>109</v>
      </c>
      <c r="I125" s="246" t="s">
        <v>142</v>
      </c>
      <c r="J125" s="246" t="s">
        <v>47</v>
      </c>
      <c r="K125" s="246" t="s">
        <v>49</v>
      </c>
      <c r="L125" s="250" t="s">
        <v>18</v>
      </c>
      <c r="M125" s="87">
        <v>0.5</v>
      </c>
      <c r="N125" s="251">
        <v>0.5</v>
      </c>
      <c r="O125" s="90">
        <v>1</v>
      </c>
      <c r="P125" s="93">
        <v>27.099613778523121</v>
      </c>
      <c r="Q125" s="93">
        <v>27.099613778523121</v>
      </c>
      <c r="R125" s="93">
        <v>74.908145703770415</v>
      </c>
      <c r="S125" s="104">
        <v>74.908145703770415</v>
      </c>
      <c r="T125" s="253" t="s">
        <v>18</v>
      </c>
      <c r="U125" s="90">
        <v>0.5</v>
      </c>
      <c r="V125" s="251">
        <v>0.5</v>
      </c>
      <c r="W125" s="92">
        <v>1</v>
      </c>
      <c r="X125" s="89">
        <v>27.099613778523121</v>
      </c>
      <c r="Y125" s="89">
        <v>27.099613778523121</v>
      </c>
      <c r="Z125" s="147">
        <v>74.908145703770415</v>
      </c>
      <c r="AA125" s="147">
        <v>74.908145703770415</v>
      </c>
      <c r="AB125" s="254" t="s">
        <v>107</v>
      </c>
      <c r="AC125" s="87">
        <v>0</v>
      </c>
      <c r="AD125" s="251">
        <v>0</v>
      </c>
      <c r="AE125" s="88">
        <v>0</v>
      </c>
      <c r="AF125" s="89">
        <v>0</v>
      </c>
      <c r="AG125" s="115">
        <v>0</v>
      </c>
      <c r="AH125" s="115">
        <v>0</v>
      </c>
      <c r="AI125" s="149">
        <v>0</v>
      </c>
      <c r="AJ125" s="248" t="s">
        <v>49</v>
      </c>
      <c r="AK125" s="246"/>
      <c r="AL125" s="93">
        <v>0</v>
      </c>
      <c r="AM125" s="104">
        <v>0</v>
      </c>
      <c r="AN125" s="246" t="s">
        <v>198</v>
      </c>
      <c r="AO125" s="246">
        <v>1</v>
      </c>
      <c r="AP125" s="93">
        <v>5.2098202497769854</v>
      </c>
      <c r="AQ125" s="93">
        <v>7.1067374153973377</v>
      </c>
      <c r="AR125" s="114">
        <v>0</v>
      </c>
      <c r="AS125" s="93">
        <v>0</v>
      </c>
      <c r="AT125" s="261">
        <v>1</v>
      </c>
      <c r="AU125" s="260">
        <v>0</v>
      </c>
      <c r="AV125" s="93">
        <v>108.39845511409249</v>
      </c>
      <c r="AW125" s="104">
        <v>299.63258281508166</v>
      </c>
      <c r="AX125" s="93">
        <v>113.60827536386947</v>
      </c>
      <c r="AY125" s="166">
        <v>306.739320230479</v>
      </c>
      <c r="BA125" s="166"/>
    </row>
    <row r="126" spans="1:53" ht="30">
      <c r="A126" s="95" t="s">
        <v>765</v>
      </c>
      <c r="B126" s="87" t="s">
        <v>1145</v>
      </c>
      <c r="C126" s="246" t="s">
        <v>10</v>
      </c>
      <c r="D126" s="246" t="s">
        <v>305</v>
      </c>
      <c r="E126" s="253" t="s">
        <v>160</v>
      </c>
      <c r="F126" s="253" t="s">
        <v>248</v>
      </c>
      <c r="G126" s="253" t="s">
        <v>121</v>
      </c>
      <c r="H126" s="246" t="s">
        <v>109</v>
      </c>
      <c r="I126" s="246" t="s">
        <v>142</v>
      </c>
      <c r="J126" s="246" t="s">
        <v>113</v>
      </c>
      <c r="K126" s="246" t="s">
        <v>49</v>
      </c>
      <c r="L126" s="250" t="s">
        <v>18</v>
      </c>
      <c r="M126" s="87">
        <v>0.5</v>
      </c>
      <c r="N126" s="251">
        <v>0.5</v>
      </c>
      <c r="O126" s="90">
        <v>1</v>
      </c>
      <c r="P126" s="93">
        <v>37.951648559259922</v>
      </c>
      <c r="Q126" s="93">
        <v>37.951648559259922</v>
      </c>
      <c r="R126" s="93">
        <v>104.90509729066193</v>
      </c>
      <c r="S126" s="104">
        <v>104.90509729066193</v>
      </c>
      <c r="T126" s="253" t="s">
        <v>18</v>
      </c>
      <c r="U126" s="90">
        <v>0.5</v>
      </c>
      <c r="V126" s="251">
        <v>0.5</v>
      </c>
      <c r="W126" s="92">
        <v>1</v>
      </c>
      <c r="X126" s="89">
        <v>37.951648559259922</v>
      </c>
      <c r="Y126" s="89">
        <v>37.951648559259922</v>
      </c>
      <c r="Z126" s="147">
        <v>104.90509729066193</v>
      </c>
      <c r="AA126" s="147">
        <v>104.90509729066193</v>
      </c>
      <c r="AB126" s="254" t="s">
        <v>107</v>
      </c>
      <c r="AC126" s="87">
        <v>0</v>
      </c>
      <c r="AD126" s="251">
        <v>0</v>
      </c>
      <c r="AE126" s="88">
        <v>0</v>
      </c>
      <c r="AF126" s="89">
        <v>0</v>
      </c>
      <c r="AG126" s="115">
        <v>0</v>
      </c>
      <c r="AH126" s="115">
        <v>0</v>
      </c>
      <c r="AI126" s="149">
        <v>0</v>
      </c>
      <c r="AJ126" s="248" t="s">
        <v>49</v>
      </c>
      <c r="AK126" s="246"/>
      <c r="AL126" s="93">
        <v>0</v>
      </c>
      <c r="AM126" s="104">
        <v>0</v>
      </c>
      <c r="AN126" s="246" t="s">
        <v>198</v>
      </c>
      <c r="AO126" s="246">
        <v>1</v>
      </c>
      <c r="AP126" s="93">
        <v>5.2098202497769854</v>
      </c>
      <c r="AQ126" s="93">
        <v>7.1067374153973377</v>
      </c>
      <c r="AR126" s="114">
        <v>0</v>
      </c>
      <c r="AS126" s="93">
        <v>0</v>
      </c>
      <c r="AT126" s="261">
        <v>1</v>
      </c>
      <c r="AU126" s="260">
        <v>0</v>
      </c>
      <c r="AV126" s="93">
        <v>151.80659423703969</v>
      </c>
      <c r="AW126" s="104">
        <v>419.62038916264771</v>
      </c>
      <c r="AX126" s="93">
        <v>157.01641448681667</v>
      </c>
      <c r="AY126" s="166">
        <v>426.72712657804504</v>
      </c>
      <c r="BA126" s="166"/>
    </row>
    <row r="127" spans="1:53" ht="30">
      <c r="A127" s="95" t="s">
        <v>766</v>
      </c>
      <c r="B127" s="87" t="s">
        <v>1146</v>
      </c>
      <c r="C127" s="246" t="s">
        <v>10</v>
      </c>
      <c r="D127" s="246" t="s">
        <v>305</v>
      </c>
      <c r="E127" s="253" t="s">
        <v>160</v>
      </c>
      <c r="F127" s="253" t="s">
        <v>1439</v>
      </c>
      <c r="G127" s="253" t="s">
        <v>105</v>
      </c>
      <c r="H127" s="246" t="s">
        <v>109</v>
      </c>
      <c r="I127" s="246" t="s">
        <v>142</v>
      </c>
      <c r="J127" s="246" t="s">
        <v>47</v>
      </c>
      <c r="K127" s="246" t="s">
        <v>49</v>
      </c>
      <c r="L127" s="250" t="s">
        <v>18</v>
      </c>
      <c r="M127" s="87">
        <v>0.5</v>
      </c>
      <c r="N127" s="251">
        <v>0.45</v>
      </c>
      <c r="O127" s="90">
        <v>0.95</v>
      </c>
      <c r="P127" s="93">
        <v>27.099613778523121</v>
      </c>
      <c r="Q127" s="93">
        <v>24.389652400670808</v>
      </c>
      <c r="R127" s="93">
        <v>74.908145703770415</v>
      </c>
      <c r="S127" s="104">
        <v>67.417331133393361</v>
      </c>
      <c r="T127" s="246" t="s">
        <v>107</v>
      </c>
      <c r="U127" s="87">
        <v>0</v>
      </c>
      <c r="V127" s="246">
        <v>0</v>
      </c>
      <c r="W127" s="92">
        <v>0</v>
      </c>
      <c r="X127" s="89">
        <v>0</v>
      </c>
      <c r="Y127" s="89">
        <v>0</v>
      </c>
      <c r="Z127" s="147">
        <v>0</v>
      </c>
      <c r="AA127" s="147">
        <v>0</v>
      </c>
      <c r="AB127" s="254" t="s">
        <v>107</v>
      </c>
      <c r="AC127" s="87">
        <v>0</v>
      </c>
      <c r="AD127" s="251">
        <v>0</v>
      </c>
      <c r="AE127" s="88">
        <v>0</v>
      </c>
      <c r="AF127" s="89">
        <v>0</v>
      </c>
      <c r="AG127" s="115">
        <v>0</v>
      </c>
      <c r="AH127" s="115">
        <v>0</v>
      </c>
      <c r="AI127" s="149">
        <v>0</v>
      </c>
      <c r="AJ127" s="248" t="s">
        <v>142</v>
      </c>
      <c r="AK127" s="246"/>
      <c r="AL127" s="93">
        <v>50.490518280244338</v>
      </c>
      <c r="AM127" s="104">
        <v>66.577404971918725</v>
      </c>
      <c r="AN127" s="246" t="s">
        <v>198</v>
      </c>
      <c r="AO127" s="246">
        <v>1</v>
      </c>
      <c r="AP127" s="93">
        <v>5.2098202497769854</v>
      </c>
      <c r="AQ127" s="93">
        <v>7.1067374153973377</v>
      </c>
      <c r="AR127" s="114">
        <v>0</v>
      </c>
      <c r="AS127" s="93">
        <v>0</v>
      </c>
      <c r="AT127" s="261">
        <v>0.26194145000000002</v>
      </c>
      <c r="AU127" s="260">
        <v>0.73805854999999998</v>
      </c>
      <c r="AV127" s="93">
        <v>50.752131753079652</v>
      </c>
      <c r="AW127" s="104">
        <v>86.41896475100522</v>
      </c>
      <c r="AX127" s="93">
        <v>55.961952002856634</v>
      </c>
      <c r="AY127" s="166">
        <v>93.525702166402553</v>
      </c>
      <c r="BA127" s="166"/>
    </row>
    <row r="128" spans="1:53" ht="30">
      <c r="A128" s="95" t="s">
        <v>767</v>
      </c>
      <c r="B128" s="87" t="s">
        <v>1147</v>
      </c>
      <c r="C128" s="246" t="s">
        <v>10</v>
      </c>
      <c r="D128" s="246" t="s">
        <v>305</v>
      </c>
      <c r="E128" s="253" t="s">
        <v>160</v>
      </c>
      <c r="F128" s="253" t="s">
        <v>1439</v>
      </c>
      <c r="G128" s="253" t="s">
        <v>112</v>
      </c>
      <c r="H128" s="246" t="s">
        <v>109</v>
      </c>
      <c r="I128" s="246" t="s">
        <v>142</v>
      </c>
      <c r="J128" s="246" t="s">
        <v>113</v>
      </c>
      <c r="K128" s="246" t="s">
        <v>49</v>
      </c>
      <c r="L128" s="250" t="s">
        <v>18</v>
      </c>
      <c r="M128" s="87">
        <v>0.5</v>
      </c>
      <c r="N128" s="251">
        <v>0.45</v>
      </c>
      <c r="O128" s="90">
        <v>0.95</v>
      </c>
      <c r="P128" s="93">
        <v>37.951648559259922</v>
      </c>
      <c r="Q128" s="93">
        <v>34.156483703333933</v>
      </c>
      <c r="R128" s="93">
        <v>104.90509729066193</v>
      </c>
      <c r="S128" s="104">
        <v>94.414587561595766</v>
      </c>
      <c r="T128" s="246" t="s">
        <v>107</v>
      </c>
      <c r="U128" s="87">
        <v>0</v>
      </c>
      <c r="V128" s="246">
        <v>0</v>
      </c>
      <c r="W128" s="92">
        <v>0</v>
      </c>
      <c r="X128" s="89">
        <v>0</v>
      </c>
      <c r="Y128" s="89">
        <v>0</v>
      </c>
      <c r="Z128" s="147">
        <v>0</v>
      </c>
      <c r="AA128" s="147">
        <v>0</v>
      </c>
      <c r="AB128" s="254" t="s">
        <v>107</v>
      </c>
      <c r="AC128" s="87">
        <v>0</v>
      </c>
      <c r="AD128" s="251">
        <v>0</v>
      </c>
      <c r="AE128" s="88">
        <v>0</v>
      </c>
      <c r="AF128" s="89">
        <v>0</v>
      </c>
      <c r="AG128" s="115">
        <v>0</v>
      </c>
      <c r="AH128" s="115">
        <v>0</v>
      </c>
      <c r="AI128" s="149">
        <v>0</v>
      </c>
      <c r="AJ128" s="248" t="s">
        <v>142</v>
      </c>
      <c r="AK128" s="246"/>
      <c r="AL128" s="93">
        <v>103.17182547208077</v>
      </c>
      <c r="AM128" s="104">
        <v>136.04361056508452</v>
      </c>
      <c r="AN128" s="246" t="s">
        <v>198</v>
      </c>
      <c r="AO128" s="246">
        <v>1</v>
      </c>
      <c r="AP128" s="93">
        <v>5.2098202497769854</v>
      </c>
      <c r="AQ128" s="93">
        <v>7.1067374153973377</v>
      </c>
      <c r="AR128" s="114">
        <v>0</v>
      </c>
      <c r="AS128" s="93">
        <v>0</v>
      </c>
      <c r="AT128" s="261">
        <v>0.26194145000000002</v>
      </c>
      <c r="AU128" s="260">
        <v>0.73805854999999998</v>
      </c>
      <c r="AV128" s="93">
        <v>95.034956630432603</v>
      </c>
      <c r="AW128" s="104">
        <v>152.61823721417437</v>
      </c>
      <c r="AX128" s="93">
        <v>100.24477688020959</v>
      </c>
      <c r="AY128" s="166">
        <v>159.7249746295717</v>
      </c>
      <c r="BA128" s="166"/>
    </row>
    <row r="129" spans="1:53" ht="30">
      <c r="A129" s="95" t="s">
        <v>768</v>
      </c>
      <c r="B129" s="87" t="s">
        <v>1148</v>
      </c>
      <c r="C129" s="246" t="s">
        <v>10</v>
      </c>
      <c r="D129" s="246" t="s">
        <v>305</v>
      </c>
      <c r="E129" s="253" t="s">
        <v>160</v>
      </c>
      <c r="F129" s="253" t="s">
        <v>1439</v>
      </c>
      <c r="G129" s="253" t="s">
        <v>111</v>
      </c>
      <c r="H129" s="246" t="s">
        <v>109</v>
      </c>
      <c r="I129" s="246" t="s">
        <v>142</v>
      </c>
      <c r="J129" s="246" t="s">
        <v>47</v>
      </c>
      <c r="K129" s="246" t="s">
        <v>49</v>
      </c>
      <c r="L129" s="250" t="s">
        <v>18</v>
      </c>
      <c r="M129" s="87">
        <v>0.5</v>
      </c>
      <c r="N129" s="251">
        <v>1</v>
      </c>
      <c r="O129" s="90">
        <v>1.5</v>
      </c>
      <c r="P129" s="93">
        <v>27.099613778523121</v>
      </c>
      <c r="Q129" s="93">
        <v>54.199227557046243</v>
      </c>
      <c r="R129" s="93">
        <v>74.908145703770415</v>
      </c>
      <c r="S129" s="104">
        <v>149.81629140754083</v>
      </c>
      <c r="T129" s="253" t="s">
        <v>18</v>
      </c>
      <c r="U129" s="90">
        <v>0.5</v>
      </c>
      <c r="V129" s="251">
        <v>1</v>
      </c>
      <c r="W129" s="92">
        <v>1.5</v>
      </c>
      <c r="X129" s="89">
        <v>27.099613778523121</v>
      </c>
      <c r="Y129" s="89">
        <v>54.199227557046243</v>
      </c>
      <c r="Z129" s="147">
        <v>74.908145703770415</v>
      </c>
      <c r="AA129" s="147">
        <v>149.81629140754083</v>
      </c>
      <c r="AB129" s="254" t="s">
        <v>107</v>
      </c>
      <c r="AC129" s="87">
        <v>0</v>
      </c>
      <c r="AD129" s="251">
        <v>0</v>
      </c>
      <c r="AE129" s="88">
        <v>0</v>
      </c>
      <c r="AF129" s="89">
        <v>0</v>
      </c>
      <c r="AG129" s="115">
        <v>0</v>
      </c>
      <c r="AH129" s="115">
        <v>0</v>
      </c>
      <c r="AI129" s="149">
        <v>0</v>
      </c>
      <c r="AJ129" s="248" t="s">
        <v>49</v>
      </c>
      <c r="AK129" s="246"/>
      <c r="AL129" s="93">
        <v>0</v>
      </c>
      <c r="AM129" s="104">
        <v>0</v>
      </c>
      <c r="AN129" s="246" t="s">
        <v>198</v>
      </c>
      <c r="AO129" s="246">
        <v>1</v>
      </c>
      <c r="AP129" s="93">
        <v>5.2098202497769854</v>
      </c>
      <c r="AQ129" s="93">
        <v>7.1067374153973377</v>
      </c>
      <c r="AR129" s="114">
        <v>0</v>
      </c>
      <c r="AS129" s="93">
        <v>0</v>
      </c>
      <c r="AT129" s="261">
        <v>1</v>
      </c>
      <c r="AU129" s="260">
        <v>0</v>
      </c>
      <c r="AV129" s="93">
        <v>162.59768267113873</v>
      </c>
      <c r="AW129" s="104">
        <v>449.44887422262252</v>
      </c>
      <c r="AX129" s="93">
        <v>167.80750292091571</v>
      </c>
      <c r="AY129" s="166">
        <v>456.55561163801985</v>
      </c>
      <c r="BA129" s="166"/>
    </row>
    <row r="130" spans="1:53" ht="30">
      <c r="A130" s="95" t="s">
        <v>769</v>
      </c>
      <c r="B130" s="87" t="s">
        <v>730</v>
      </c>
      <c r="C130" s="246" t="s">
        <v>10</v>
      </c>
      <c r="D130" s="246" t="s">
        <v>305</v>
      </c>
      <c r="E130" s="253" t="s">
        <v>160</v>
      </c>
      <c r="F130" s="253" t="s">
        <v>1439</v>
      </c>
      <c r="G130" s="253" t="s">
        <v>121</v>
      </c>
      <c r="H130" s="246" t="s">
        <v>109</v>
      </c>
      <c r="I130" s="246" t="s">
        <v>142</v>
      </c>
      <c r="J130" s="246" t="s">
        <v>113</v>
      </c>
      <c r="K130" s="246" t="s">
        <v>49</v>
      </c>
      <c r="L130" s="250" t="s">
        <v>18</v>
      </c>
      <c r="M130" s="87">
        <v>0.5</v>
      </c>
      <c r="N130" s="251">
        <v>1</v>
      </c>
      <c r="O130" s="90">
        <v>1.5</v>
      </c>
      <c r="P130" s="93">
        <v>37.951648559259922</v>
      </c>
      <c r="Q130" s="93">
        <v>75.903297118519845</v>
      </c>
      <c r="R130" s="93">
        <v>104.90509729066193</v>
      </c>
      <c r="S130" s="104">
        <v>209.81019458132386</v>
      </c>
      <c r="T130" s="253" t="s">
        <v>18</v>
      </c>
      <c r="U130" s="90">
        <v>0.5</v>
      </c>
      <c r="V130" s="251">
        <v>1</v>
      </c>
      <c r="W130" s="92">
        <v>1.5</v>
      </c>
      <c r="X130" s="89">
        <v>37.951648559259922</v>
      </c>
      <c r="Y130" s="89">
        <v>75.903297118519845</v>
      </c>
      <c r="Z130" s="147">
        <v>104.90509729066193</v>
      </c>
      <c r="AA130" s="147">
        <v>209.81019458132386</v>
      </c>
      <c r="AB130" s="254" t="s">
        <v>107</v>
      </c>
      <c r="AC130" s="87">
        <v>0</v>
      </c>
      <c r="AD130" s="251">
        <v>0</v>
      </c>
      <c r="AE130" s="88">
        <v>0</v>
      </c>
      <c r="AF130" s="89">
        <v>0</v>
      </c>
      <c r="AG130" s="115">
        <v>0</v>
      </c>
      <c r="AH130" s="115">
        <v>0</v>
      </c>
      <c r="AI130" s="149">
        <v>0</v>
      </c>
      <c r="AJ130" s="248" t="s">
        <v>49</v>
      </c>
      <c r="AK130" s="246"/>
      <c r="AL130" s="93">
        <v>0</v>
      </c>
      <c r="AM130" s="104">
        <v>0</v>
      </c>
      <c r="AN130" s="246" t="s">
        <v>198</v>
      </c>
      <c r="AO130" s="246">
        <v>1</v>
      </c>
      <c r="AP130" s="93">
        <v>5.2098202497769854</v>
      </c>
      <c r="AQ130" s="93">
        <v>7.1067374153973377</v>
      </c>
      <c r="AR130" s="114">
        <v>0</v>
      </c>
      <c r="AS130" s="93">
        <v>0</v>
      </c>
      <c r="AT130" s="261">
        <v>1</v>
      </c>
      <c r="AU130" s="260">
        <v>0</v>
      </c>
      <c r="AV130" s="93">
        <v>227.70989135555953</v>
      </c>
      <c r="AW130" s="104">
        <v>629.43058374397151</v>
      </c>
      <c r="AX130" s="93">
        <v>232.91971160533652</v>
      </c>
      <c r="AY130" s="166">
        <v>636.53732115936884</v>
      </c>
      <c r="BA130" s="166"/>
    </row>
    <row r="131" spans="1:53" ht="30">
      <c r="A131" s="95" t="s">
        <v>770</v>
      </c>
      <c r="B131" s="87" t="s">
        <v>731</v>
      </c>
      <c r="C131" s="246" t="s">
        <v>10</v>
      </c>
      <c r="D131" s="246" t="s">
        <v>305</v>
      </c>
      <c r="E131" s="257" t="s">
        <v>203</v>
      </c>
      <c r="F131" s="253" t="s">
        <v>1359</v>
      </c>
      <c r="G131" s="253" t="s">
        <v>105</v>
      </c>
      <c r="H131" s="246" t="s">
        <v>109</v>
      </c>
      <c r="I131" s="246" t="s">
        <v>142</v>
      </c>
      <c r="J131" s="246" t="s">
        <v>47</v>
      </c>
      <c r="K131" s="246" t="s">
        <v>49</v>
      </c>
      <c r="L131" s="250" t="s">
        <v>18</v>
      </c>
      <c r="M131" s="87">
        <v>0.5</v>
      </c>
      <c r="N131" s="251">
        <v>0.4</v>
      </c>
      <c r="O131" s="90">
        <v>0.9</v>
      </c>
      <c r="P131" s="93">
        <v>27.099613778523121</v>
      </c>
      <c r="Q131" s="93">
        <v>21.679691022818499</v>
      </c>
      <c r="R131" s="93">
        <v>74.908145703770415</v>
      </c>
      <c r="S131" s="104">
        <v>59.926516563016328</v>
      </c>
      <c r="T131" s="246" t="s">
        <v>107</v>
      </c>
      <c r="U131" s="87">
        <v>0</v>
      </c>
      <c r="V131" s="246">
        <v>0</v>
      </c>
      <c r="W131" s="92">
        <v>0</v>
      </c>
      <c r="X131" s="89">
        <v>0</v>
      </c>
      <c r="Y131" s="89">
        <v>0</v>
      </c>
      <c r="Z131" s="147">
        <v>0</v>
      </c>
      <c r="AA131" s="147">
        <v>0</v>
      </c>
      <c r="AB131" s="254" t="s">
        <v>107</v>
      </c>
      <c r="AC131" s="87">
        <v>0</v>
      </c>
      <c r="AD131" s="251">
        <v>0</v>
      </c>
      <c r="AE131" s="88">
        <v>0</v>
      </c>
      <c r="AF131" s="89">
        <v>0</v>
      </c>
      <c r="AG131" s="115">
        <v>0</v>
      </c>
      <c r="AH131" s="115">
        <v>0</v>
      </c>
      <c r="AI131" s="149">
        <v>0</v>
      </c>
      <c r="AJ131" s="248" t="s">
        <v>49</v>
      </c>
      <c r="AK131" s="246"/>
      <c r="AL131" s="93">
        <v>0</v>
      </c>
      <c r="AM131" s="104">
        <v>0</v>
      </c>
      <c r="AN131" s="246" t="s">
        <v>198</v>
      </c>
      <c r="AO131" s="246">
        <v>1</v>
      </c>
      <c r="AP131" s="93">
        <v>5.2098202497769854</v>
      </c>
      <c r="AQ131" s="93">
        <v>7.1067374153973377</v>
      </c>
      <c r="AR131" s="114">
        <v>0</v>
      </c>
      <c r="AS131" s="93">
        <v>0</v>
      </c>
      <c r="AT131" s="261">
        <v>1</v>
      </c>
      <c r="AU131" s="260">
        <v>0</v>
      </c>
      <c r="AV131" s="93">
        <v>48.779304801341624</v>
      </c>
      <c r="AW131" s="104">
        <v>134.83466226678675</v>
      </c>
      <c r="AX131" s="93">
        <v>53.989125051118606</v>
      </c>
      <c r="AY131" s="166">
        <v>141.94139968218408</v>
      </c>
      <c r="BA131" s="166"/>
    </row>
    <row r="132" spans="1:53" ht="30">
      <c r="A132" s="95" t="s">
        <v>771</v>
      </c>
      <c r="B132" s="87" t="s">
        <v>732</v>
      </c>
      <c r="C132" s="246" t="s">
        <v>10</v>
      </c>
      <c r="D132" s="246" t="s">
        <v>305</v>
      </c>
      <c r="E132" s="257" t="s">
        <v>203</v>
      </c>
      <c r="F132" s="253" t="s">
        <v>1359</v>
      </c>
      <c r="G132" s="253" t="s">
        <v>111</v>
      </c>
      <c r="H132" s="246" t="s">
        <v>109</v>
      </c>
      <c r="I132" s="246" t="s">
        <v>142</v>
      </c>
      <c r="J132" s="246" t="s">
        <v>47</v>
      </c>
      <c r="K132" s="246" t="s">
        <v>49</v>
      </c>
      <c r="L132" s="250" t="s">
        <v>18</v>
      </c>
      <c r="M132" s="87">
        <v>0.5</v>
      </c>
      <c r="N132" s="251">
        <v>0.8833333333333333</v>
      </c>
      <c r="O132" s="92">
        <v>1.3833333333333333</v>
      </c>
      <c r="P132" s="93">
        <v>27.099613778523121</v>
      </c>
      <c r="Q132" s="93">
        <v>47.875984342057514</v>
      </c>
      <c r="R132" s="93">
        <v>74.908145703770415</v>
      </c>
      <c r="S132" s="104">
        <v>132.33772407666106</v>
      </c>
      <c r="T132" s="253" t="s">
        <v>18</v>
      </c>
      <c r="U132" s="90">
        <v>0.5</v>
      </c>
      <c r="V132" s="251">
        <v>0.8833333333333333</v>
      </c>
      <c r="W132" s="92">
        <v>1.3833333333333333</v>
      </c>
      <c r="X132" s="89">
        <v>27.099613778523121</v>
      </c>
      <c r="Y132" s="89">
        <v>47.875984342057514</v>
      </c>
      <c r="Z132" s="147">
        <v>74.908145703770415</v>
      </c>
      <c r="AA132" s="147">
        <v>132.33772407666106</v>
      </c>
      <c r="AB132" s="254" t="s">
        <v>107</v>
      </c>
      <c r="AC132" s="87">
        <v>0</v>
      </c>
      <c r="AD132" s="251">
        <v>0</v>
      </c>
      <c r="AE132" s="88">
        <v>0</v>
      </c>
      <c r="AF132" s="89">
        <v>0</v>
      </c>
      <c r="AG132" s="115">
        <v>0</v>
      </c>
      <c r="AH132" s="115">
        <v>0</v>
      </c>
      <c r="AI132" s="149">
        <v>0</v>
      </c>
      <c r="AJ132" s="248" t="s">
        <v>49</v>
      </c>
      <c r="AK132" s="246"/>
      <c r="AL132" s="93">
        <v>0</v>
      </c>
      <c r="AM132" s="104">
        <v>0</v>
      </c>
      <c r="AN132" s="246" t="s">
        <v>198</v>
      </c>
      <c r="AO132" s="246">
        <v>1</v>
      </c>
      <c r="AP132" s="93">
        <v>5.2098202497769854</v>
      </c>
      <c r="AQ132" s="93">
        <v>7.1067374153973377</v>
      </c>
      <c r="AR132" s="114">
        <v>0</v>
      </c>
      <c r="AS132" s="93">
        <v>0</v>
      </c>
      <c r="AT132" s="261">
        <v>1</v>
      </c>
      <c r="AU132" s="260">
        <v>0</v>
      </c>
      <c r="AV132" s="93">
        <v>149.95119624116126</v>
      </c>
      <c r="AW132" s="104">
        <v>414.49173956086292</v>
      </c>
      <c r="AX132" s="93">
        <v>155.16101649093824</v>
      </c>
      <c r="AY132" s="166">
        <v>421.59847697626026</v>
      </c>
      <c r="BA132" s="166"/>
    </row>
    <row r="133" spans="1:53" ht="45">
      <c r="A133" s="95" t="s">
        <v>772</v>
      </c>
      <c r="B133" s="87" t="s">
        <v>733</v>
      </c>
      <c r="C133" s="246" t="s">
        <v>10</v>
      </c>
      <c r="D133" s="246" t="s">
        <v>305</v>
      </c>
      <c r="E133" s="253" t="s">
        <v>161</v>
      </c>
      <c r="F133" s="253" t="s">
        <v>1441</v>
      </c>
      <c r="G133" s="253" t="s">
        <v>105</v>
      </c>
      <c r="H133" s="246" t="s">
        <v>109</v>
      </c>
      <c r="I133" s="246" t="s">
        <v>142</v>
      </c>
      <c r="J133" s="246" t="s">
        <v>47</v>
      </c>
      <c r="K133" s="246" t="s">
        <v>49</v>
      </c>
      <c r="L133" s="250" t="s">
        <v>18</v>
      </c>
      <c r="M133" s="87">
        <v>0.5</v>
      </c>
      <c r="N133" s="251">
        <v>0.71666666666666667</v>
      </c>
      <c r="O133" s="92">
        <v>1.2166666666666668</v>
      </c>
      <c r="P133" s="93">
        <v>27.099613778523121</v>
      </c>
      <c r="Q133" s="93">
        <v>38.842779749216476</v>
      </c>
      <c r="R133" s="93">
        <v>74.908145703770415</v>
      </c>
      <c r="S133" s="104">
        <v>107.36834217540427</v>
      </c>
      <c r="T133" s="246" t="s">
        <v>107</v>
      </c>
      <c r="U133" s="87">
        <v>0</v>
      </c>
      <c r="V133" s="246">
        <v>0</v>
      </c>
      <c r="W133" s="92">
        <v>0</v>
      </c>
      <c r="X133" s="89">
        <v>0</v>
      </c>
      <c r="Y133" s="89">
        <v>0</v>
      </c>
      <c r="Z133" s="147">
        <v>0</v>
      </c>
      <c r="AA133" s="147">
        <v>0</v>
      </c>
      <c r="AB133" s="254" t="s">
        <v>107</v>
      </c>
      <c r="AC133" s="87">
        <v>0</v>
      </c>
      <c r="AD133" s="251">
        <v>0</v>
      </c>
      <c r="AE133" s="88">
        <v>0</v>
      </c>
      <c r="AF133" s="89">
        <v>0</v>
      </c>
      <c r="AG133" s="115">
        <v>0</v>
      </c>
      <c r="AH133" s="115">
        <v>0</v>
      </c>
      <c r="AI133" s="149">
        <v>0</v>
      </c>
      <c r="AJ133" s="248" t="s">
        <v>142</v>
      </c>
      <c r="AK133" s="246"/>
      <c r="AL133" s="93">
        <v>72.019626135749959</v>
      </c>
      <c r="AM133" s="104">
        <v>94.965945656416892</v>
      </c>
      <c r="AN133" s="246" t="s">
        <v>198</v>
      </c>
      <c r="AO133" s="246">
        <v>1</v>
      </c>
      <c r="AP133" s="93">
        <v>5.2098202497769854</v>
      </c>
      <c r="AQ133" s="93">
        <v>7.1067374153973377</v>
      </c>
      <c r="AR133" s="114">
        <v>0</v>
      </c>
      <c r="AS133" s="93">
        <v>0</v>
      </c>
      <c r="AT133" s="261">
        <v>0.34452296819999995</v>
      </c>
      <c r="AU133" s="260">
        <v>0.65547703180000005</v>
      </c>
      <c r="AV133" s="93">
        <v>69.925879919196404</v>
      </c>
      <c r="AW133" s="104">
        <v>125.04643281815282</v>
      </c>
      <c r="AX133" s="93">
        <v>75.135700168973386</v>
      </c>
      <c r="AY133" s="166">
        <v>132.15317023355016</v>
      </c>
      <c r="BA133" s="166"/>
    </row>
    <row r="134" spans="1:53" ht="45">
      <c r="A134" s="95" t="s">
        <v>773</v>
      </c>
      <c r="B134" s="87" t="s">
        <v>1149</v>
      </c>
      <c r="C134" s="246" t="s">
        <v>10</v>
      </c>
      <c r="D134" s="246" t="s">
        <v>305</v>
      </c>
      <c r="E134" s="253" t="s">
        <v>161</v>
      </c>
      <c r="F134" s="253" t="s">
        <v>1441</v>
      </c>
      <c r="G134" s="253" t="s">
        <v>112</v>
      </c>
      <c r="H134" s="246" t="s">
        <v>109</v>
      </c>
      <c r="I134" s="246" t="s">
        <v>142</v>
      </c>
      <c r="J134" s="246" t="s">
        <v>113</v>
      </c>
      <c r="K134" s="246" t="s">
        <v>49</v>
      </c>
      <c r="L134" s="250" t="s">
        <v>18</v>
      </c>
      <c r="M134" s="87">
        <v>0.5</v>
      </c>
      <c r="N134" s="251">
        <v>0.71666666666666667</v>
      </c>
      <c r="O134" s="92">
        <v>1.2166666666666668</v>
      </c>
      <c r="P134" s="93">
        <v>37.951648559259922</v>
      </c>
      <c r="Q134" s="93">
        <v>54.397362934939224</v>
      </c>
      <c r="R134" s="93">
        <v>104.90509729066193</v>
      </c>
      <c r="S134" s="104">
        <v>150.36397278328209</v>
      </c>
      <c r="T134" s="246" t="s">
        <v>107</v>
      </c>
      <c r="U134" s="87">
        <v>0</v>
      </c>
      <c r="V134" s="246">
        <v>0</v>
      </c>
      <c r="W134" s="92">
        <v>0</v>
      </c>
      <c r="X134" s="89">
        <v>0</v>
      </c>
      <c r="Y134" s="89">
        <v>0</v>
      </c>
      <c r="Z134" s="147">
        <v>0</v>
      </c>
      <c r="AA134" s="147">
        <v>0</v>
      </c>
      <c r="AB134" s="254" t="s">
        <v>107</v>
      </c>
      <c r="AC134" s="87">
        <v>0</v>
      </c>
      <c r="AD134" s="251">
        <v>0</v>
      </c>
      <c r="AE134" s="88">
        <v>0</v>
      </c>
      <c r="AF134" s="89">
        <v>0</v>
      </c>
      <c r="AG134" s="115">
        <v>0</v>
      </c>
      <c r="AH134" s="115">
        <v>0</v>
      </c>
      <c r="AI134" s="149">
        <v>0</v>
      </c>
      <c r="AJ134" s="248" t="s">
        <v>142</v>
      </c>
      <c r="AK134" s="246"/>
      <c r="AL134" s="93">
        <v>103.17182547208077</v>
      </c>
      <c r="AM134" s="104">
        <v>136.04361056508452</v>
      </c>
      <c r="AN134" s="246" t="s">
        <v>198</v>
      </c>
      <c r="AO134" s="246">
        <v>1</v>
      </c>
      <c r="AP134" s="93">
        <v>5.2098202497769854</v>
      </c>
      <c r="AQ134" s="93">
        <v>7.1067374153973377</v>
      </c>
      <c r="AR134" s="114">
        <v>0</v>
      </c>
      <c r="AS134" s="93">
        <v>0</v>
      </c>
      <c r="AT134" s="261">
        <v>0.34452296819999995</v>
      </c>
      <c r="AU134" s="260">
        <v>0.65547703180000005</v>
      </c>
      <c r="AV134" s="93">
        <v>99.44311747614455</v>
      </c>
      <c r="AW134" s="104">
        <v>177.11951976008572</v>
      </c>
      <c r="AX134" s="93">
        <v>104.65293772592153</v>
      </c>
      <c r="AY134" s="166">
        <v>184.22625717548306</v>
      </c>
      <c r="BA134" s="166"/>
    </row>
    <row r="135" spans="1:53" ht="45">
      <c r="A135" s="95" t="s">
        <v>774</v>
      </c>
      <c r="B135" s="87" t="s">
        <v>1150</v>
      </c>
      <c r="C135" s="246" t="s">
        <v>10</v>
      </c>
      <c r="D135" s="246" t="s">
        <v>305</v>
      </c>
      <c r="E135" s="253" t="s">
        <v>161</v>
      </c>
      <c r="F135" s="253" t="s">
        <v>1441</v>
      </c>
      <c r="G135" s="253" t="s">
        <v>111</v>
      </c>
      <c r="H135" s="246" t="s">
        <v>109</v>
      </c>
      <c r="I135" s="246" t="s">
        <v>142</v>
      </c>
      <c r="J135" s="246" t="s">
        <v>47</v>
      </c>
      <c r="K135" s="246" t="s">
        <v>49</v>
      </c>
      <c r="L135" s="250" t="s">
        <v>18</v>
      </c>
      <c r="M135" s="87">
        <v>0.5</v>
      </c>
      <c r="N135" s="251">
        <v>2.2666666666666666</v>
      </c>
      <c r="O135" s="92">
        <v>2.7666666666666666</v>
      </c>
      <c r="P135" s="93">
        <v>27.099613778523121</v>
      </c>
      <c r="Q135" s="93">
        <v>122.85158246263815</v>
      </c>
      <c r="R135" s="93">
        <v>74.908145703770415</v>
      </c>
      <c r="S135" s="104">
        <v>339.58359385709252</v>
      </c>
      <c r="T135" s="253" t="s">
        <v>18</v>
      </c>
      <c r="U135" s="90">
        <v>0.5</v>
      </c>
      <c r="V135" s="251">
        <v>2.2666666666666666</v>
      </c>
      <c r="W135" s="92">
        <v>2.7666666666666666</v>
      </c>
      <c r="X135" s="89">
        <v>27.099613778523121</v>
      </c>
      <c r="Y135" s="89">
        <v>122.85158246263815</v>
      </c>
      <c r="Z135" s="147">
        <v>74.908145703770415</v>
      </c>
      <c r="AA135" s="147">
        <v>339.58359385709252</v>
      </c>
      <c r="AB135" s="254" t="s">
        <v>107</v>
      </c>
      <c r="AC135" s="87">
        <v>0</v>
      </c>
      <c r="AD135" s="251">
        <v>0</v>
      </c>
      <c r="AE135" s="88">
        <v>0</v>
      </c>
      <c r="AF135" s="89">
        <v>0</v>
      </c>
      <c r="AG135" s="115">
        <v>0</v>
      </c>
      <c r="AH135" s="115">
        <v>0</v>
      </c>
      <c r="AI135" s="149">
        <v>0</v>
      </c>
      <c r="AJ135" s="248" t="s">
        <v>49</v>
      </c>
      <c r="AK135" s="246"/>
      <c r="AL135" s="93">
        <v>0</v>
      </c>
      <c r="AM135" s="104">
        <v>0</v>
      </c>
      <c r="AN135" s="246" t="s">
        <v>198</v>
      </c>
      <c r="AO135" s="246">
        <v>1</v>
      </c>
      <c r="AP135" s="93">
        <v>5.2098202497769854</v>
      </c>
      <c r="AQ135" s="93">
        <v>7.1067374153973377</v>
      </c>
      <c r="AR135" s="114">
        <v>0</v>
      </c>
      <c r="AS135" s="93">
        <v>0</v>
      </c>
      <c r="AT135" s="261">
        <v>1</v>
      </c>
      <c r="AU135" s="260">
        <v>0</v>
      </c>
      <c r="AV135" s="93">
        <v>299.90239248232251</v>
      </c>
      <c r="AW135" s="104">
        <v>828.98347912172585</v>
      </c>
      <c r="AX135" s="93">
        <v>305.11221273209952</v>
      </c>
      <c r="AY135" s="166">
        <v>836.09021653712318</v>
      </c>
      <c r="BA135" s="166"/>
    </row>
    <row r="136" spans="1:53" ht="45">
      <c r="A136" s="95" t="s">
        <v>775</v>
      </c>
      <c r="B136" s="87" t="s">
        <v>734</v>
      </c>
      <c r="C136" s="246" t="s">
        <v>10</v>
      </c>
      <c r="D136" s="246" t="s">
        <v>305</v>
      </c>
      <c r="E136" s="253" t="s">
        <v>161</v>
      </c>
      <c r="F136" s="253" t="s">
        <v>1441</v>
      </c>
      <c r="G136" s="253" t="s">
        <v>121</v>
      </c>
      <c r="H136" s="246" t="s">
        <v>109</v>
      </c>
      <c r="I136" s="246" t="s">
        <v>142</v>
      </c>
      <c r="J136" s="246" t="s">
        <v>113</v>
      </c>
      <c r="K136" s="246" t="s">
        <v>49</v>
      </c>
      <c r="L136" s="250" t="s">
        <v>18</v>
      </c>
      <c r="M136" s="87">
        <v>0.5</v>
      </c>
      <c r="N136" s="251">
        <v>2.2666666666666666</v>
      </c>
      <c r="O136" s="92">
        <v>2.7666666666666666</v>
      </c>
      <c r="P136" s="93">
        <v>37.951648559259922</v>
      </c>
      <c r="Q136" s="93">
        <v>172.04747346864497</v>
      </c>
      <c r="R136" s="93">
        <v>104.90509729066193</v>
      </c>
      <c r="S136" s="104">
        <v>475.56977438433404</v>
      </c>
      <c r="T136" s="253" t="s">
        <v>18</v>
      </c>
      <c r="U136" s="90">
        <v>0.5</v>
      </c>
      <c r="V136" s="251">
        <v>2.2666666666666666</v>
      </c>
      <c r="W136" s="92">
        <v>2.7666666666666666</v>
      </c>
      <c r="X136" s="89">
        <v>37.951648559259922</v>
      </c>
      <c r="Y136" s="89">
        <v>172.04747346864497</v>
      </c>
      <c r="Z136" s="147">
        <v>104.90509729066193</v>
      </c>
      <c r="AA136" s="147">
        <v>475.56977438433404</v>
      </c>
      <c r="AB136" s="254" t="s">
        <v>107</v>
      </c>
      <c r="AC136" s="87">
        <v>0</v>
      </c>
      <c r="AD136" s="251">
        <v>0</v>
      </c>
      <c r="AE136" s="88">
        <v>0</v>
      </c>
      <c r="AF136" s="89">
        <v>0</v>
      </c>
      <c r="AG136" s="115">
        <v>0</v>
      </c>
      <c r="AH136" s="115">
        <v>0</v>
      </c>
      <c r="AI136" s="149">
        <v>0</v>
      </c>
      <c r="AJ136" s="248" t="s">
        <v>49</v>
      </c>
      <c r="AK136" s="246"/>
      <c r="AL136" s="93">
        <v>0</v>
      </c>
      <c r="AM136" s="104">
        <v>0</v>
      </c>
      <c r="AN136" s="246" t="s">
        <v>198</v>
      </c>
      <c r="AO136" s="246">
        <v>1</v>
      </c>
      <c r="AP136" s="93">
        <v>5.2098202497769854</v>
      </c>
      <c r="AQ136" s="93">
        <v>7.1067374153973377</v>
      </c>
      <c r="AR136" s="114">
        <v>0</v>
      </c>
      <c r="AS136" s="93">
        <v>0</v>
      </c>
      <c r="AT136" s="261">
        <v>1</v>
      </c>
      <c r="AU136" s="260">
        <v>0</v>
      </c>
      <c r="AV136" s="93">
        <v>419.99824405580978</v>
      </c>
      <c r="AW136" s="104">
        <v>1160.9497433499919</v>
      </c>
      <c r="AX136" s="93">
        <v>425.20806430558679</v>
      </c>
      <c r="AY136" s="166">
        <v>1168.0564807653893</v>
      </c>
      <c r="BA136" s="166"/>
    </row>
    <row r="137" spans="1:53" ht="60">
      <c r="A137" s="96" t="s">
        <v>776</v>
      </c>
      <c r="B137" s="87" t="s">
        <v>735</v>
      </c>
      <c r="C137" s="246" t="s">
        <v>10</v>
      </c>
      <c r="D137" s="246" t="s">
        <v>305</v>
      </c>
      <c r="E137" s="253" t="s">
        <v>179</v>
      </c>
      <c r="F137" s="253" t="s">
        <v>1360</v>
      </c>
      <c r="G137" s="253" t="s">
        <v>127</v>
      </c>
      <c r="H137" s="246" t="s">
        <v>109</v>
      </c>
      <c r="I137" s="246" t="s">
        <v>49</v>
      </c>
      <c r="J137" s="246" t="s">
        <v>47</v>
      </c>
      <c r="K137" s="246" t="s">
        <v>49</v>
      </c>
      <c r="L137" s="250" t="s">
        <v>107</v>
      </c>
      <c r="M137" s="87">
        <v>0</v>
      </c>
      <c r="N137" s="267">
        <v>0</v>
      </c>
      <c r="O137" s="90">
        <v>0</v>
      </c>
      <c r="P137" s="93">
        <v>0</v>
      </c>
      <c r="Q137" s="93">
        <v>0</v>
      </c>
      <c r="R137" s="93">
        <v>0</v>
      </c>
      <c r="S137" s="104">
        <v>0</v>
      </c>
      <c r="T137" s="246" t="s">
        <v>107</v>
      </c>
      <c r="U137" s="90">
        <v>0</v>
      </c>
      <c r="V137" s="246">
        <v>0</v>
      </c>
      <c r="W137" s="90">
        <v>0</v>
      </c>
      <c r="X137" s="89">
        <v>0</v>
      </c>
      <c r="Y137" s="89">
        <v>0</v>
      </c>
      <c r="Z137" s="147">
        <v>0</v>
      </c>
      <c r="AA137" s="147">
        <v>0</v>
      </c>
      <c r="AB137" s="254" t="s">
        <v>107</v>
      </c>
      <c r="AC137" s="87">
        <v>0</v>
      </c>
      <c r="AD137" s="251">
        <v>0</v>
      </c>
      <c r="AE137" s="88">
        <v>0</v>
      </c>
      <c r="AF137" s="89">
        <v>0</v>
      </c>
      <c r="AG137" s="115">
        <v>0</v>
      </c>
      <c r="AH137" s="115">
        <v>0</v>
      </c>
      <c r="AI137" s="149">
        <v>0</v>
      </c>
      <c r="AJ137" s="248" t="s">
        <v>142</v>
      </c>
      <c r="AK137" s="246"/>
      <c r="AL137" s="93">
        <v>8.589121013204581</v>
      </c>
      <c r="AM137" s="104">
        <v>11.32571832348739</v>
      </c>
      <c r="AN137" s="246" t="s">
        <v>0</v>
      </c>
      <c r="AO137" s="246">
        <v>0</v>
      </c>
      <c r="AP137" s="93">
        <v>0</v>
      </c>
      <c r="AQ137" s="93">
        <v>0</v>
      </c>
      <c r="AR137" s="114">
        <v>0</v>
      </c>
      <c r="AS137" s="93">
        <v>0</v>
      </c>
      <c r="AT137" s="261">
        <v>0</v>
      </c>
      <c r="AU137" s="260">
        <v>1</v>
      </c>
      <c r="AV137" s="93">
        <v>8.589121013204581</v>
      </c>
      <c r="AW137" s="104">
        <v>11.32571832348739</v>
      </c>
      <c r="AX137" s="93">
        <v>8.589121013204581</v>
      </c>
      <c r="AY137" s="166">
        <v>11.32571832348739</v>
      </c>
      <c r="BA137" s="166"/>
    </row>
    <row r="138" spans="1:53" ht="30">
      <c r="A138" s="96" t="s">
        <v>777</v>
      </c>
      <c r="B138" s="87" t="s">
        <v>736</v>
      </c>
      <c r="C138" s="246" t="s">
        <v>10</v>
      </c>
      <c r="D138" s="246" t="s">
        <v>305</v>
      </c>
      <c r="E138" s="253" t="s">
        <v>179</v>
      </c>
      <c r="F138" s="253" t="s">
        <v>1361</v>
      </c>
      <c r="G138" s="253" t="s">
        <v>127</v>
      </c>
      <c r="H138" s="246" t="s">
        <v>109</v>
      </c>
      <c r="I138" s="246" t="s">
        <v>49</v>
      </c>
      <c r="J138" s="246" t="s">
        <v>47</v>
      </c>
      <c r="K138" s="246" t="s">
        <v>49</v>
      </c>
      <c r="L138" s="250" t="s">
        <v>107</v>
      </c>
      <c r="M138" s="87">
        <v>0</v>
      </c>
      <c r="N138" s="267">
        <v>0</v>
      </c>
      <c r="O138" s="90">
        <v>0</v>
      </c>
      <c r="P138" s="93">
        <v>0</v>
      </c>
      <c r="Q138" s="93">
        <v>0</v>
      </c>
      <c r="R138" s="93">
        <v>0</v>
      </c>
      <c r="S138" s="104">
        <v>0</v>
      </c>
      <c r="T138" s="246" t="s">
        <v>107</v>
      </c>
      <c r="U138" s="90">
        <v>0</v>
      </c>
      <c r="V138" s="246">
        <v>0</v>
      </c>
      <c r="W138" s="90">
        <v>0</v>
      </c>
      <c r="X138" s="89">
        <v>0</v>
      </c>
      <c r="Y138" s="89">
        <v>0</v>
      </c>
      <c r="Z138" s="147">
        <v>0</v>
      </c>
      <c r="AA138" s="147">
        <v>0</v>
      </c>
      <c r="AB138" s="254" t="s">
        <v>107</v>
      </c>
      <c r="AC138" s="87">
        <v>0</v>
      </c>
      <c r="AD138" s="251">
        <v>0</v>
      </c>
      <c r="AE138" s="88">
        <v>0</v>
      </c>
      <c r="AF138" s="89">
        <v>0</v>
      </c>
      <c r="AG138" s="115">
        <v>0</v>
      </c>
      <c r="AH138" s="115">
        <v>0</v>
      </c>
      <c r="AI138" s="149">
        <v>0</v>
      </c>
      <c r="AJ138" s="248" t="s">
        <v>142</v>
      </c>
      <c r="AK138" s="246"/>
      <c r="AL138" s="93">
        <v>8.589121013204581</v>
      </c>
      <c r="AM138" s="104">
        <v>11.32571832348739</v>
      </c>
      <c r="AN138" s="246" t="s">
        <v>0</v>
      </c>
      <c r="AO138" s="246">
        <v>0</v>
      </c>
      <c r="AP138" s="93">
        <v>0</v>
      </c>
      <c r="AQ138" s="93">
        <v>0</v>
      </c>
      <c r="AR138" s="114">
        <v>0</v>
      </c>
      <c r="AS138" s="93">
        <v>0</v>
      </c>
      <c r="AT138" s="261">
        <v>0</v>
      </c>
      <c r="AU138" s="260">
        <v>1</v>
      </c>
      <c r="AV138" s="93">
        <v>8.589121013204581</v>
      </c>
      <c r="AW138" s="104">
        <v>11.32571832348739</v>
      </c>
      <c r="AX138" s="93">
        <v>8.589121013204581</v>
      </c>
      <c r="AY138" s="166">
        <v>11.32571832348739</v>
      </c>
      <c r="BA138" s="166"/>
    </row>
    <row r="139" spans="1:53" ht="30">
      <c r="A139" s="96" t="s">
        <v>1127</v>
      </c>
      <c r="B139" s="87" t="s">
        <v>737</v>
      </c>
      <c r="C139" s="246" t="s">
        <v>10</v>
      </c>
      <c r="D139" s="246" t="s">
        <v>305</v>
      </c>
      <c r="E139" s="253" t="s">
        <v>179</v>
      </c>
      <c r="F139" s="253" t="s">
        <v>1362</v>
      </c>
      <c r="G139" s="253" t="s">
        <v>127</v>
      </c>
      <c r="H139" s="246" t="s">
        <v>109</v>
      </c>
      <c r="I139" s="246" t="s">
        <v>49</v>
      </c>
      <c r="J139" s="246" t="s">
        <v>47</v>
      </c>
      <c r="K139" s="246" t="s">
        <v>49</v>
      </c>
      <c r="L139" s="250" t="s">
        <v>107</v>
      </c>
      <c r="M139" s="87">
        <v>0</v>
      </c>
      <c r="N139" s="267">
        <v>0</v>
      </c>
      <c r="O139" s="90">
        <v>0</v>
      </c>
      <c r="P139" s="93">
        <v>0</v>
      </c>
      <c r="Q139" s="93">
        <v>0</v>
      </c>
      <c r="R139" s="93">
        <v>0</v>
      </c>
      <c r="S139" s="104">
        <v>0</v>
      </c>
      <c r="T139" s="246" t="s">
        <v>107</v>
      </c>
      <c r="U139" s="90">
        <v>0</v>
      </c>
      <c r="V139" s="246">
        <v>0</v>
      </c>
      <c r="W139" s="90">
        <v>0</v>
      </c>
      <c r="X139" s="89">
        <v>0</v>
      </c>
      <c r="Y139" s="89">
        <v>0</v>
      </c>
      <c r="Z139" s="147">
        <v>0</v>
      </c>
      <c r="AA139" s="147">
        <v>0</v>
      </c>
      <c r="AB139" s="254" t="s">
        <v>107</v>
      </c>
      <c r="AC139" s="87">
        <v>0</v>
      </c>
      <c r="AD139" s="251">
        <v>0</v>
      </c>
      <c r="AE139" s="88">
        <v>0</v>
      </c>
      <c r="AF139" s="89">
        <v>0</v>
      </c>
      <c r="AG139" s="115">
        <v>0</v>
      </c>
      <c r="AH139" s="115">
        <v>0</v>
      </c>
      <c r="AI139" s="149">
        <v>0</v>
      </c>
      <c r="AJ139" s="248" t="s">
        <v>142</v>
      </c>
      <c r="AK139" s="246"/>
      <c r="AL139" s="93">
        <v>8.589121013204581</v>
      </c>
      <c r="AM139" s="104">
        <v>11.32571832348739</v>
      </c>
      <c r="AN139" s="246" t="s">
        <v>0</v>
      </c>
      <c r="AO139" s="246">
        <v>0</v>
      </c>
      <c r="AP139" s="93">
        <v>0</v>
      </c>
      <c r="AQ139" s="93">
        <v>0</v>
      </c>
      <c r="AR139" s="114">
        <v>0</v>
      </c>
      <c r="AS139" s="93">
        <v>0</v>
      </c>
      <c r="AT139" s="261">
        <v>0</v>
      </c>
      <c r="AU139" s="260">
        <v>1</v>
      </c>
      <c r="AV139" s="93">
        <v>8.589121013204581</v>
      </c>
      <c r="AW139" s="104">
        <v>11.32571832348739</v>
      </c>
      <c r="AX139" s="93">
        <v>8.589121013204581</v>
      </c>
      <c r="AY139" s="166">
        <v>11.32571832348739</v>
      </c>
      <c r="BA139" s="166"/>
    </row>
    <row r="140" spans="1:53" ht="45">
      <c r="A140" s="95" t="s">
        <v>778</v>
      </c>
      <c r="B140" s="87" t="s">
        <v>1151</v>
      </c>
      <c r="C140" s="246" t="s">
        <v>10</v>
      </c>
      <c r="D140" s="246" t="s">
        <v>305</v>
      </c>
      <c r="E140" s="253" t="s">
        <v>1454</v>
      </c>
      <c r="F140" s="253" t="s">
        <v>382</v>
      </c>
      <c r="G140" s="253" t="s">
        <v>127</v>
      </c>
      <c r="H140" s="246" t="s">
        <v>109</v>
      </c>
      <c r="I140" s="246" t="s">
        <v>142</v>
      </c>
      <c r="J140" s="246" t="s">
        <v>47</v>
      </c>
      <c r="K140" s="246" t="s">
        <v>49</v>
      </c>
      <c r="L140" s="250" t="s">
        <v>18</v>
      </c>
      <c r="M140" s="87">
        <v>0.5</v>
      </c>
      <c r="N140" s="251">
        <v>0.5</v>
      </c>
      <c r="O140" s="90">
        <v>1</v>
      </c>
      <c r="P140" s="93">
        <v>27.099613778523121</v>
      </c>
      <c r="Q140" s="93">
        <v>27.099613778523121</v>
      </c>
      <c r="R140" s="93">
        <v>74.908145703770415</v>
      </c>
      <c r="S140" s="104">
        <v>74.908145703770415</v>
      </c>
      <c r="T140" s="246" t="s">
        <v>107</v>
      </c>
      <c r="U140" s="90">
        <v>0</v>
      </c>
      <c r="V140" s="246">
        <v>0</v>
      </c>
      <c r="W140" s="90">
        <v>0</v>
      </c>
      <c r="X140" s="89">
        <v>0</v>
      </c>
      <c r="Y140" s="89">
        <v>0</v>
      </c>
      <c r="Z140" s="147">
        <v>0</v>
      </c>
      <c r="AA140" s="147">
        <v>0</v>
      </c>
      <c r="AB140" s="254" t="s">
        <v>107</v>
      </c>
      <c r="AC140" s="87">
        <v>0</v>
      </c>
      <c r="AD140" s="251">
        <v>0</v>
      </c>
      <c r="AE140" s="88">
        <v>0</v>
      </c>
      <c r="AF140" s="89">
        <v>0</v>
      </c>
      <c r="AG140" s="115">
        <v>0</v>
      </c>
      <c r="AH140" s="115">
        <v>0</v>
      </c>
      <c r="AI140" s="149">
        <v>0</v>
      </c>
      <c r="AJ140" s="248" t="s">
        <v>49</v>
      </c>
      <c r="AK140" s="246"/>
      <c r="AL140" s="93">
        <v>0</v>
      </c>
      <c r="AM140" s="104">
        <v>0</v>
      </c>
      <c r="AN140" s="246" t="s">
        <v>198</v>
      </c>
      <c r="AO140" s="246">
        <v>1</v>
      </c>
      <c r="AP140" s="93">
        <v>5.2098202497769854</v>
      </c>
      <c r="AQ140" s="93">
        <v>7.1067374153973377</v>
      </c>
      <c r="AR140" s="114">
        <v>0</v>
      </c>
      <c r="AS140" s="93">
        <v>0</v>
      </c>
      <c r="AT140" s="261">
        <v>1</v>
      </c>
      <c r="AU140" s="260">
        <v>0</v>
      </c>
      <c r="AV140" s="93">
        <v>54.199227557046243</v>
      </c>
      <c r="AW140" s="104">
        <v>149.81629140754083</v>
      </c>
      <c r="AX140" s="93">
        <v>59.409047806823224</v>
      </c>
      <c r="AY140" s="166">
        <v>156.92302882293816</v>
      </c>
      <c r="BA140" s="166"/>
    </row>
    <row r="141" spans="1:53" ht="30">
      <c r="A141" s="110" t="s">
        <v>779</v>
      </c>
      <c r="B141" s="87" t="s">
        <v>1152</v>
      </c>
      <c r="C141" s="246" t="s">
        <v>10</v>
      </c>
      <c r="D141" s="246" t="s">
        <v>305</v>
      </c>
      <c r="E141" s="249" t="s">
        <v>199</v>
      </c>
      <c r="F141" s="259" t="s">
        <v>200</v>
      </c>
      <c r="G141" s="259" t="s">
        <v>127</v>
      </c>
      <c r="H141" s="249" t="s">
        <v>109</v>
      </c>
      <c r="I141" s="246" t="s">
        <v>142</v>
      </c>
      <c r="J141" s="246" t="s">
        <v>47</v>
      </c>
      <c r="K141" s="256" t="s">
        <v>49</v>
      </c>
      <c r="L141" s="250" t="s">
        <v>18</v>
      </c>
      <c r="M141" s="90">
        <v>0.5</v>
      </c>
      <c r="N141" s="251">
        <v>0.25</v>
      </c>
      <c r="O141" s="90">
        <v>0.75</v>
      </c>
      <c r="P141" s="93">
        <v>27.099613778523121</v>
      </c>
      <c r="Q141" s="93">
        <v>13.549806889261561</v>
      </c>
      <c r="R141" s="93">
        <v>74.908145703770415</v>
      </c>
      <c r="S141" s="104">
        <v>37.454072851885208</v>
      </c>
      <c r="T141" s="254" t="s">
        <v>107</v>
      </c>
      <c r="U141" s="90">
        <v>0</v>
      </c>
      <c r="V141" s="246">
        <v>0</v>
      </c>
      <c r="W141" s="90">
        <v>0</v>
      </c>
      <c r="X141" s="89">
        <v>0</v>
      </c>
      <c r="Y141" s="89">
        <v>0</v>
      </c>
      <c r="Z141" s="147">
        <v>0</v>
      </c>
      <c r="AA141" s="147">
        <v>0</v>
      </c>
      <c r="AB141" s="254" t="s">
        <v>107</v>
      </c>
      <c r="AC141" s="87">
        <v>0</v>
      </c>
      <c r="AD141" s="251">
        <v>0</v>
      </c>
      <c r="AE141" s="88">
        <v>0</v>
      </c>
      <c r="AF141" s="89">
        <v>0</v>
      </c>
      <c r="AG141" s="115">
        <v>0</v>
      </c>
      <c r="AH141" s="115">
        <v>0</v>
      </c>
      <c r="AI141" s="149">
        <v>0</v>
      </c>
      <c r="AJ141" s="248" t="s">
        <v>142</v>
      </c>
      <c r="AK141" s="246"/>
      <c r="AL141" s="93">
        <v>27.648076896475249</v>
      </c>
      <c r="AM141" s="104">
        <v>36.457086893315108</v>
      </c>
      <c r="AN141" s="246" t="s">
        <v>0</v>
      </c>
      <c r="AO141" s="246">
        <v>0</v>
      </c>
      <c r="AP141" s="93">
        <v>0</v>
      </c>
      <c r="AQ141" s="93">
        <v>0</v>
      </c>
      <c r="AR141" s="114">
        <v>0</v>
      </c>
      <c r="AS141" s="93">
        <v>0</v>
      </c>
      <c r="AT141" s="261">
        <v>0.33999999999999997</v>
      </c>
      <c r="AU141" s="260">
        <v>0.66</v>
      </c>
      <c r="AV141" s="93">
        <v>32.068533778720457</v>
      </c>
      <c r="AW141" s="104">
        <v>62.264831658510886</v>
      </c>
      <c r="AX141" s="93">
        <v>32.068533778720457</v>
      </c>
      <c r="AY141" s="166">
        <v>62.264831658510886</v>
      </c>
      <c r="BA141" s="166"/>
    </row>
    <row r="142" spans="1:53" ht="61.5" customHeight="1">
      <c r="A142" s="110" t="s">
        <v>780</v>
      </c>
      <c r="B142" s="87" t="s">
        <v>738</v>
      </c>
      <c r="C142" s="246" t="s">
        <v>10</v>
      </c>
      <c r="D142" s="246" t="s">
        <v>1415</v>
      </c>
      <c r="E142" s="249" t="s">
        <v>312</v>
      </c>
      <c r="F142" s="253" t="s">
        <v>1447</v>
      </c>
      <c r="G142" s="253" t="s">
        <v>448</v>
      </c>
      <c r="H142" s="246" t="s">
        <v>109</v>
      </c>
      <c r="I142" s="246" t="s">
        <v>142</v>
      </c>
      <c r="J142" s="246" t="s">
        <v>47</v>
      </c>
      <c r="K142" s="256" t="s">
        <v>49</v>
      </c>
      <c r="L142" s="250" t="s">
        <v>18</v>
      </c>
      <c r="M142" s="90">
        <v>0.5</v>
      </c>
      <c r="N142" s="251">
        <v>0.17</v>
      </c>
      <c r="O142" s="90">
        <v>0.67</v>
      </c>
      <c r="P142" s="93">
        <v>27.099613778523121</v>
      </c>
      <c r="Q142" s="93">
        <v>9.2138686846978626</v>
      </c>
      <c r="R142" s="93">
        <v>74.908145703770415</v>
      </c>
      <c r="S142" s="104">
        <v>25.468769539281944</v>
      </c>
      <c r="T142" s="254" t="s">
        <v>107</v>
      </c>
      <c r="U142" s="90">
        <v>0</v>
      </c>
      <c r="V142" s="246">
        <v>0</v>
      </c>
      <c r="W142" s="90">
        <v>0</v>
      </c>
      <c r="X142" s="89">
        <v>0</v>
      </c>
      <c r="Y142" s="89">
        <v>0</v>
      </c>
      <c r="Z142" s="147">
        <v>0</v>
      </c>
      <c r="AA142" s="147">
        <v>0</v>
      </c>
      <c r="AB142" s="254" t="s">
        <v>107</v>
      </c>
      <c r="AC142" s="87">
        <v>0</v>
      </c>
      <c r="AD142" s="251">
        <v>0</v>
      </c>
      <c r="AE142" s="88">
        <v>0</v>
      </c>
      <c r="AF142" s="89">
        <v>0</v>
      </c>
      <c r="AG142" s="115">
        <v>0</v>
      </c>
      <c r="AH142" s="115">
        <v>0</v>
      </c>
      <c r="AI142" s="149">
        <v>0</v>
      </c>
      <c r="AJ142" s="248" t="s">
        <v>49</v>
      </c>
      <c r="AK142" s="246"/>
      <c r="AL142" s="93">
        <v>0</v>
      </c>
      <c r="AM142" s="104">
        <v>0</v>
      </c>
      <c r="AN142" s="246" t="s">
        <v>0</v>
      </c>
      <c r="AO142" s="246">
        <v>0</v>
      </c>
      <c r="AP142" s="93">
        <v>0</v>
      </c>
      <c r="AQ142" s="93">
        <v>0</v>
      </c>
      <c r="AR142" s="114">
        <v>0</v>
      </c>
      <c r="AS142" s="93">
        <v>0</v>
      </c>
      <c r="AT142" s="261">
        <v>1</v>
      </c>
      <c r="AU142" s="260">
        <v>0</v>
      </c>
      <c r="AV142" s="93">
        <v>36.313482463220986</v>
      </c>
      <c r="AW142" s="104">
        <v>100.37691524305237</v>
      </c>
      <c r="AX142" s="93">
        <v>36.313482463220986</v>
      </c>
      <c r="AY142" s="166">
        <v>100.37691524305237</v>
      </c>
      <c r="BA142" s="166"/>
    </row>
    <row r="143" spans="1:53" ht="61.5" customHeight="1">
      <c r="A143" s="110" t="s">
        <v>781</v>
      </c>
      <c r="B143" s="87" t="s">
        <v>739</v>
      </c>
      <c r="C143" s="246" t="s">
        <v>10</v>
      </c>
      <c r="D143" s="246" t="s">
        <v>1415</v>
      </c>
      <c r="E143" s="249" t="s">
        <v>312</v>
      </c>
      <c r="F143" s="253" t="s">
        <v>1447</v>
      </c>
      <c r="G143" s="253" t="s">
        <v>445</v>
      </c>
      <c r="H143" s="246" t="s">
        <v>109</v>
      </c>
      <c r="I143" s="246" t="s">
        <v>142</v>
      </c>
      <c r="J143" s="246" t="s">
        <v>47</v>
      </c>
      <c r="K143" s="256" t="s">
        <v>49</v>
      </c>
      <c r="L143" s="250" t="s">
        <v>18</v>
      </c>
      <c r="M143" s="90">
        <v>0.5</v>
      </c>
      <c r="N143" s="251">
        <v>0.17</v>
      </c>
      <c r="O143" s="90">
        <v>0.67</v>
      </c>
      <c r="P143" s="93">
        <v>27.099613778523121</v>
      </c>
      <c r="Q143" s="93">
        <v>9.2138686846978626</v>
      </c>
      <c r="R143" s="93">
        <v>74.908145703770415</v>
      </c>
      <c r="S143" s="104">
        <v>25.468769539281944</v>
      </c>
      <c r="T143" s="254" t="s">
        <v>18</v>
      </c>
      <c r="U143" s="90">
        <v>0.5</v>
      </c>
      <c r="V143" s="246">
        <v>0.17</v>
      </c>
      <c r="W143" s="90">
        <v>0.67</v>
      </c>
      <c r="X143" s="89">
        <v>27.099613778523121</v>
      </c>
      <c r="Y143" s="89">
        <v>9.2138686846978626</v>
      </c>
      <c r="Z143" s="147">
        <v>74.908145703770415</v>
      </c>
      <c r="AA143" s="147">
        <v>25.468769539281944</v>
      </c>
      <c r="AB143" s="254" t="s">
        <v>107</v>
      </c>
      <c r="AC143" s="87">
        <v>0</v>
      </c>
      <c r="AD143" s="251">
        <v>0</v>
      </c>
      <c r="AE143" s="88">
        <v>0</v>
      </c>
      <c r="AF143" s="89">
        <v>0</v>
      </c>
      <c r="AG143" s="115">
        <v>0</v>
      </c>
      <c r="AH143" s="115">
        <v>0</v>
      </c>
      <c r="AI143" s="149">
        <v>0</v>
      </c>
      <c r="AJ143" s="248" t="s">
        <v>49</v>
      </c>
      <c r="AK143" s="246"/>
      <c r="AL143" s="93">
        <v>0</v>
      </c>
      <c r="AM143" s="104">
        <v>0</v>
      </c>
      <c r="AN143" s="246" t="s">
        <v>0</v>
      </c>
      <c r="AO143" s="246">
        <v>0</v>
      </c>
      <c r="AP143" s="93">
        <v>0</v>
      </c>
      <c r="AQ143" s="93">
        <v>0</v>
      </c>
      <c r="AR143" s="114">
        <v>0</v>
      </c>
      <c r="AS143" s="93">
        <v>0</v>
      </c>
      <c r="AT143" s="261">
        <v>1</v>
      </c>
      <c r="AU143" s="260">
        <v>0</v>
      </c>
      <c r="AV143" s="93">
        <v>72.626964926441971</v>
      </c>
      <c r="AW143" s="104">
        <v>200.75383048610473</v>
      </c>
      <c r="AX143" s="93">
        <v>72.626964926441971</v>
      </c>
      <c r="AY143" s="166">
        <v>200.75383048610473</v>
      </c>
      <c r="BA143" s="166"/>
    </row>
    <row r="144" spans="1:53" ht="63.75" customHeight="1">
      <c r="A144" s="110" t="s">
        <v>782</v>
      </c>
      <c r="B144" s="87" t="s">
        <v>740</v>
      </c>
      <c r="C144" s="246" t="s">
        <v>10</v>
      </c>
      <c r="D144" s="246" t="s">
        <v>1415</v>
      </c>
      <c r="E144" s="249" t="s">
        <v>312</v>
      </c>
      <c r="F144" s="253" t="s">
        <v>1447</v>
      </c>
      <c r="G144" s="253" t="s">
        <v>449</v>
      </c>
      <c r="H144" s="246" t="s">
        <v>109</v>
      </c>
      <c r="I144" s="246" t="s">
        <v>142</v>
      </c>
      <c r="J144" s="246" t="s">
        <v>113</v>
      </c>
      <c r="K144" s="256" t="s">
        <v>49</v>
      </c>
      <c r="L144" s="250" t="s">
        <v>18</v>
      </c>
      <c r="M144" s="90">
        <v>0.5</v>
      </c>
      <c r="N144" s="251">
        <v>0.17</v>
      </c>
      <c r="O144" s="90">
        <v>0.67</v>
      </c>
      <c r="P144" s="93">
        <v>37.951648559259922</v>
      </c>
      <c r="Q144" s="93">
        <v>12.903560510148374</v>
      </c>
      <c r="R144" s="93">
        <v>104.90509729066193</v>
      </c>
      <c r="S144" s="104">
        <v>35.667733078825059</v>
      </c>
      <c r="T144" s="254" t="s">
        <v>107</v>
      </c>
      <c r="U144" s="90">
        <v>0</v>
      </c>
      <c r="V144" s="246">
        <v>0</v>
      </c>
      <c r="W144" s="90">
        <v>0</v>
      </c>
      <c r="X144" s="89">
        <v>0</v>
      </c>
      <c r="Y144" s="89">
        <v>0</v>
      </c>
      <c r="Z144" s="147">
        <v>0</v>
      </c>
      <c r="AA144" s="147">
        <v>0</v>
      </c>
      <c r="AB144" s="254" t="s">
        <v>107</v>
      </c>
      <c r="AC144" s="87">
        <v>0</v>
      </c>
      <c r="AD144" s="251">
        <v>0</v>
      </c>
      <c r="AE144" s="88">
        <v>0</v>
      </c>
      <c r="AF144" s="89">
        <v>0</v>
      </c>
      <c r="AG144" s="115">
        <v>0</v>
      </c>
      <c r="AH144" s="115">
        <v>0</v>
      </c>
      <c r="AI144" s="149">
        <v>0</v>
      </c>
      <c r="AJ144" s="248" t="s">
        <v>49</v>
      </c>
      <c r="AK144" s="246"/>
      <c r="AL144" s="93">
        <v>0</v>
      </c>
      <c r="AM144" s="104">
        <v>0</v>
      </c>
      <c r="AN144" s="246" t="s">
        <v>0</v>
      </c>
      <c r="AO144" s="246">
        <v>0</v>
      </c>
      <c r="AP144" s="93">
        <v>0</v>
      </c>
      <c r="AQ144" s="93">
        <v>0</v>
      </c>
      <c r="AR144" s="114">
        <v>0</v>
      </c>
      <c r="AS144" s="93">
        <v>0</v>
      </c>
      <c r="AT144" s="261">
        <v>1</v>
      </c>
      <c r="AU144" s="260">
        <v>0</v>
      </c>
      <c r="AV144" s="93">
        <v>50.855209069408296</v>
      </c>
      <c r="AW144" s="104">
        <v>140.57283036948698</v>
      </c>
      <c r="AX144" s="93">
        <v>50.855209069408296</v>
      </c>
      <c r="AY144" s="166">
        <v>140.57283036948698</v>
      </c>
      <c r="BA144" s="166"/>
    </row>
    <row r="145" spans="1:53" ht="65.25" customHeight="1">
      <c r="A145" s="110" t="s">
        <v>783</v>
      </c>
      <c r="B145" s="87" t="s">
        <v>741</v>
      </c>
      <c r="C145" s="246" t="s">
        <v>10</v>
      </c>
      <c r="D145" s="246" t="s">
        <v>1415</v>
      </c>
      <c r="E145" s="249" t="s">
        <v>312</v>
      </c>
      <c r="F145" s="253" t="s">
        <v>1447</v>
      </c>
      <c r="G145" s="253" t="s">
        <v>446</v>
      </c>
      <c r="H145" s="246" t="s">
        <v>109</v>
      </c>
      <c r="I145" s="246" t="s">
        <v>142</v>
      </c>
      <c r="J145" s="246" t="s">
        <v>113</v>
      </c>
      <c r="K145" s="256" t="s">
        <v>49</v>
      </c>
      <c r="L145" s="250" t="s">
        <v>18</v>
      </c>
      <c r="M145" s="90">
        <v>0.5</v>
      </c>
      <c r="N145" s="251">
        <v>0.17</v>
      </c>
      <c r="O145" s="90">
        <v>0.67</v>
      </c>
      <c r="P145" s="93">
        <v>37.951648559259922</v>
      </c>
      <c r="Q145" s="93">
        <v>12.903560510148374</v>
      </c>
      <c r="R145" s="93">
        <v>104.90509729066193</v>
      </c>
      <c r="S145" s="104">
        <v>35.667733078825059</v>
      </c>
      <c r="T145" s="254" t="s">
        <v>18</v>
      </c>
      <c r="U145" s="90">
        <v>0.5</v>
      </c>
      <c r="V145" s="246">
        <v>0.17</v>
      </c>
      <c r="W145" s="90">
        <v>0.67</v>
      </c>
      <c r="X145" s="89">
        <v>37.951648559259922</v>
      </c>
      <c r="Y145" s="89">
        <v>12.903560510148374</v>
      </c>
      <c r="Z145" s="147">
        <v>104.90509729066193</v>
      </c>
      <c r="AA145" s="147">
        <v>35.667733078825059</v>
      </c>
      <c r="AB145" s="254" t="s">
        <v>107</v>
      </c>
      <c r="AC145" s="87">
        <v>0</v>
      </c>
      <c r="AD145" s="251">
        <v>0</v>
      </c>
      <c r="AE145" s="88">
        <v>0</v>
      </c>
      <c r="AF145" s="89">
        <v>0</v>
      </c>
      <c r="AG145" s="115">
        <v>0</v>
      </c>
      <c r="AH145" s="115">
        <v>0</v>
      </c>
      <c r="AI145" s="149">
        <v>0</v>
      </c>
      <c r="AJ145" s="248" t="s">
        <v>49</v>
      </c>
      <c r="AK145" s="246"/>
      <c r="AL145" s="93">
        <v>0</v>
      </c>
      <c r="AM145" s="104">
        <v>0</v>
      </c>
      <c r="AN145" s="246" t="s">
        <v>0</v>
      </c>
      <c r="AO145" s="246">
        <v>0</v>
      </c>
      <c r="AP145" s="93">
        <v>0</v>
      </c>
      <c r="AQ145" s="93">
        <v>0</v>
      </c>
      <c r="AR145" s="114">
        <v>0</v>
      </c>
      <c r="AS145" s="93">
        <v>0</v>
      </c>
      <c r="AT145" s="261">
        <v>1</v>
      </c>
      <c r="AU145" s="260">
        <v>0</v>
      </c>
      <c r="AV145" s="93">
        <v>101.71041813881658</v>
      </c>
      <c r="AW145" s="104">
        <v>281.14566073897396</v>
      </c>
      <c r="AX145" s="93">
        <v>101.71041813881658</v>
      </c>
      <c r="AY145" s="166">
        <v>281.14566073897396</v>
      </c>
      <c r="BA145" s="166"/>
    </row>
    <row r="146" spans="1:53" ht="67.5" customHeight="1">
      <c r="A146" s="110" t="s">
        <v>784</v>
      </c>
      <c r="B146" s="87" t="s">
        <v>1153</v>
      </c>
      <c r="C146" s="246" t="s">
        <v>10</v>
      </c>
      <c r="D146" s="246" t="s">
        <v>1415</v>
      </c>
      <c r="E146" s="249" t="s">
        <v>312</v>
      </c>
      <c r="F146" s="253" t="s">
        <v>1448</v>
      </c>
      <c r="G146" s="253" t="s">
        <v>127</v>
      </c>
      <c r="H146" s="246" t="s">
        <v>109</v>
      </c>
      <c r="I146" s="277" t="s">
        <v>49</v>
      </c>
      <c r="J146" s="246" t="s">
        <v>47</v>
      </c>
      <c r="K146" s="256" t="s">
        <v>49</v>
      </c>
      <c r="L146" s="250" t="s">
        <v>107</v>
      </c>
      <c r="M146" s="90">
        <v>0</v>
      </c>
      <c r="N146" s="267">
        <v>0</v>
      </c>
      <c r="O146" s="90">
        <v>0</v>
      </c>
      <c r="P146" s="93">
        <v>0</v>
      </c>
      <c r="Q146" s="93">
        <v>0</v>
      </c>
      <c r="R146" s="93">
        <v>0</v>
      </c>
      <c r="S146" s="104">
        <v>0</v>
      </c>
      <c r="T146" s="254" t="s">
        <v>107</v>
      </c>
      <c r="U146" s="90">
        <v>0</v>
      </c>
      <c r="V146" s="246">
        <v>0</v>
      </c>
      <c r="W146" s="90">
        <v>0</v>
      </c>
      <c r="X146" s="89">
        <v>0</v>
      </c>
      <c r="Y146" s="89">
        <v>0</v>
      </c>
      <c r="Z146" s="147">
        <v>0</v>
      </c>
      <c r="AA146" s="147">
        <v>0</v>
      </c>
      <c r="AB146" s="254" t="s">
        <v>107</v>
      </c>
      <c r="AC146" s="87">
        <v>0</v>
      </c>
      <c r="AD146" s="251">
        <v>0</v>
      </c>
      <c r="AE146" s="88">
        <v>0</v>
      </c>
      <c r="AF146" s="89">
        <v>0</v>
      </c>
      <c r="AG146" s="115">
        <v>0</v>
      </c>
      <c r="AH146" s="115">
        <v>0</v>
      </c>
      <c r="AI146" s="149">
        <v>0</v>
      </c>
      <c r="AJ146" s="248" t="s">
        <v>142</v>
      </c>
      <c r="AK146" s="246"/>
      <c r="AL146" s="93">
        <v>5.630532249418974</v>
      </c>
      <c r="AM146" s="104">
        <v>7.4244875779714707</v>
      </c>
      <c r="AN146" s="246" t="s">
        <v>0</v>
      </c>
      <c r="AO146" s="246">
        <v>0</v>
      </c>
      <c r="AP146" s="93">
        <v>0</v>
      </c>
      <c r="AQ146" s="93">
        <v>0</v>
      </c>
      <c r="AR146" s="114">
        <v>0</v>
      </c>
      <c r="AS146" s="93">
        <v>0</v>
      </c>
      <c r="AT146" s="261">
        <v>0</v>
      </c>
      <c r="AU146" s="260">
        <v>1</v>
      </c>
      <c r="AV146" s="93">
        <v>5.630532249418974</v>
      </c>
      <c r="AW146" s="104">
        <v>7.4244875779714707</v>
      </c>
      <c r="AX146" s="93">
        <v>5.630532249418974</v>
      </c>
      <c r="AY146" s="166">
        <v>7.4244875779714707</v>
      </c>
      <c r="BA146" s="166"/>
    </row>
    <row r="147" spans="1:53" ht="67.5" customHeight="1">
      <c r="A147" s="110" t="s">
        <v>785</v>
      </c>
      <c r="B147" s="87" t="s">
        <v>1154</v>
      </c>
      <c r="C147" s="246" t="s">
        <v>10</v>
      </c>
      <c r="D147" s="246" t="s">
        <v>1415</v>
      </c>
      <c r="E147" s="249" t="s">
        <v>312</v>
      </c>
      <c r="F147" s="253" t="s">
        <v>1448</v>
      </c>
      <c r="G147" s="253" t="s">
        <v>122</v>
      </c>
      <c r="H147" s="246" t="s">
        <v>109</v>
      </c>
      <c r="I147" s="277" t="s">
        <v>49</v>
      </c>
      <c r="J147" s="246" t="s">
        <v>113</v>
      </c>
      <c r="K147" s="256" t="s">
        <v>49</v>
      </c>
      <c r="L147" s="250" t="s">
        <v>107</v>
      </c>
      <c r="M147" s="90">
        <v>0</v>
      </c>
      <c r="N147" s="267">
        <v>0</v>
      </c>
      <c r="O147" s="90">
        <v>0</v>
      </c>
      <c r="P147" s="93">
        <v>0</v>
      </c>
      <c r="Q147" s="93">
        <v>0</v>
      </c>
      <c r="R147" s="93">
        <v>0</v>
      </c>
      <c r="S147" s="104">
        <v>0</v>
      </c>
      <c r="T147" s="254" t="s">
        <v>107</v>
      </c>
      <c r="U147" s="90">
        <v>0</v>
      </c>
      <c r="V147" s="246">
        <v>0</v>
      </c>
      <c r="W147" s="90">
        <v>0</v>
      </c>
      <c r="X147" s="89">
        <v>0</v>
      </c>
      <c r="Y147" s="89">
        <v>0</v>
      </c>
      <c r="Z147" s="147">
        <v>0</v>
      </c>
      <c r="AA147" s="147">
        <v>0</v>
      </c>
      <c r="AB147" s="254" t="s">
        <v>107</v>
      </c>
      <c r="AC147" s="87">
        <v>0</v>
      </c>
      <c r="AD147" s="251">
        <v>0</v>
      </c>
      <c r="AE147" s="88">
        <v>0</v>
      </c>
      <c r="AF147" s="89">
        <v>0</v>
      </c>
      <c r="AG147" s="115">
        <v>0</v>
      </c>
      <c r="AH147" s="115">
        <v>0</v>
      </c>
      <c r="AI147" s="149">
        <v>0</v>
      </c>
      <c r="AJ147" s="248" t="s">
        <v>142</v>
      </c>
      <c r="AK147" s="246"/>
      <c r="AL147" s="93">
        <v>7.3196919242446672</v>
      </c>
      <c r="AM147" s="104">
        <v>9.6518338513629125</v>
      </c>
      <c r="AN147" s="246" t="s">
        <v>0</v>
      </c>
      <c r="AO147" s="246">
        <v>0</v>
      </c>
      <c r="AP147" s="93">
        <v>0</v>
      </c>
      <c r="AQ147" s="93">
        <v>0</v>
      </c>
      <c r="AR147" s="114">
        <v>0</v>
      </c>
      <c r="AS147" s="93">
        <v>0</v>
      </c>
      <c r="AT147" s="261">
        <v>0</v>
      </c>
      <c r="AU147" s="260">
        <v>1</v>
      </c>
      <c r="AV147" s="93">
        <v>7.3196919242446672</v>
      </c>
      <c r="AW147" s="104">
        <v>9.6518338513629125</v>
      </c>
      <c r="AX147" s="93">
        <v>7.3196919242446672</v>
      </c>
      <c r="AY147" s="166">
        <v>9.6518338513629125</v>
      </c>
      <c r="BA147" s="166"/>
    </row>
    <row r="148" spans="1:53">
      <c r="A148" s="308"/>
      <c r="B148" s="308"/>
      <c r="C148" s="308"/>
      <c r="D148" s="308"/>
      <c r="E148" s="308"/>
      <c r="F148" s="309"/>
      <c r="G148" s="309"/>
      <c r="H148" s="308"/>
      <c r="I148" s="308"/>
      <c r="J148" s="308"/>
      <c r="K148" s="308"/>
      <c r="L148" s="308"/>
      <c r="M148" s="308"/>
      <c r="N148" s="308"/>
      <c r="O148" s="308"/>
      <c r="P148" s="308"/>
      <c r="Q148" s="308"/>
      <c r="R148" s="308"/>
      <c r="S148" s="308"/>
      <c r="T148" s="308"/>
      <c r="U148" s="308"/>
      <c r="V148" s="308"/>
      <c r="W148" s="308"/>
      <c r="X148" s="308"/>
      <c r="Y148" s="310"/>
      <c r="Z148" s="310"/>
      <c r="AA148" s="310"/>
      <c r="AB148" s="308"/>
      <c r="AC148" s="308"/>
      <c r="AD148" s="308"/>
      <c r="AE148" s="308"/>
      <c r="AF148" s="308"/>
      <c r="AG148" s="308"/>
      <c r="AH148" s="308"/>
      <c r="AI148" s="311"/>
      <c r="AJ148" s="308"/>
      <c r="AK148" s="308"/>
      <c r="AL148" s="308"/>
      <c r="AM148" s="311"/>
      <c r="AN148" s="308"/>
      <c r="AO148" s="308"/>
      <c r="AP148" s="308"/>
      <c r="AQ148" s="308"/>
      <c r="AR148" s="308"/>
      <c r="AS148" s="308"/>
      <c r="AT148" s="312"/>
      <c r="AU148" s="313"/>
      <c r="AV148" s="313"/>
      <c r="AW148" s="311"/>
      <c r="AX148" s="308"/>
      <c r="AY148" s="314"/>
    </row>
    <row r="149" spans="1:53">
      <c r="AI149" s="111"/>
      <c r="AM149" s="111"/>
      <c r="AT149" s="110"/>
      <c r="AU149" s="87"/>
      <c r="AV149" s="87"/>
      <c r="AW149" s="111"/>
      <c r="AY149" s="166"/>
    </row>
    <row r="150" spans="1:53">
      <c r="AI150" s="111"/>
      <c r="AM150" s="111"/>
      <c r="AT150" s="110"/>
      <c r="AU150" s="87"/>
      <c r="AV150" s="87"/>
      <c r="AW150" s="111"/>
      <c r="AY150" s="166"/>
    </row>
    <row r="151" spans="1:53">
      <c r="AI151" s="111"/>
      <c r="AM151" s="111"/>
      <c r="AT151" s="110"/>
      <c r="AU151" s="87"/>
      <c r="AV151" s="87"/>
      <c r="AW151" s="111"/>
      <c r="AY151" s="166"/>
    </row>
    <row r="152" spans="1:53">
      <c r="AI152" s="111"/>
      <c r="AM152" s="111"/>
      <c r="AT152" s="110"/>
      <c r="AU152" s="87"/>
      <c r="AV152" s="87"/>
      <c r="AW152" s="111"/>
    </row>
    <row r="153" spans="1:53">
      <c r="AI153" s="111"/>
      <c r="AM153" s="111"/>
      <c r="AT153" s="110"/>
      <c r="AU153" s="87"/>
      <c r="AV153" s="87"/>
      <c r="AW153" s="111"/>
    </row>
    <row r="154" spans="1:53">
      <c r="AI154" s="111"/>
      <c r="AM154" s="111"/>
      <c r="AT154" s="110"/>
      <c r="AU154" s="87"/>
      <c r="AV154" s="87"/>
      <c r="AW154" s="111"/>
    </row>
    <row r="155" spans="1:53">
      <c r="AI155" s="111"/>
      <c r="AM155" s="111"/>
      <c r="AT155" s="110"/>
      <c r="AU155" s="87"/>
      <c r="AV155" s="87"/>
      <c r="AW155" s="111"/>
    </row>
    <row r="156" spans="1:53">
      <c r="AI156" s="111"/>
      <c r="AM156" s="111"/>
      <c r="AT156" s="110"/>
      <c r="AU156" s="87"/>
      <c r="AV156" s="87"/>
      <c r="AW156" s="111"/>
    </row>
    <row r="157" spans="1:53">
      <c r="AI157" s="111"/>
      <c r="AM157" s="111"/>
      <c r="AT157" s="110"/>
      <c r="AU157" s="87"/>
      <c r="AV157" s="87"/>
      <c r="AW157" s="111"/>
    </row>
    <row r="158" spans="1:53">
      <c r="AI158" s="111"/>
      <c r="AM158" s="111"/>
      <c r="AT158" s="110"/>
      <c r="AU158" s="87"/>
      <c r="AV158" s="87"/>
      <c r="AW158" s="111"/>
    </row>
    <row r="159" spans="1:53">
      <c r="AI159" s="111"/>
      <c r="AM159" s="111"/>
      <c r="AT159" s="110"/>
      <c r="AU159" s="87"/>
      <c r="AV159" s="87"/>
      <c r="AW159" s="111"/>
    </row>
    <row r="160" spans="1:53">
      <c r="AI160" s="111"/>
      <c r="AM160" s="111"/>
      <c r="AT160" s="110"/>
      <c r="AU160" s="87"/>
      <c r="AV160" s="87"/>
      <c r="AW160" s="111"/>
    </row>
    <row r="161" spans="35:49">
      <c r="AI161" s="111"/>
      <c r="AM161" s="111"/>
      <c r="AT161" s="110"/>
      <c r="AU161" s="87"/>
      <c r="AV161" s="87"/>
      <c r="AW161" s="111"/>
    </row>
    <row r="162" spans="35:49">
      <c r="AI162" s="111"/>
      <c r="AM162" s="111"/>
      <c r="AT162" s="110"/>
      <c r="AU162" s="87"/>
      <c r="AV162" s="87"/>
      <c r="AW162" s="111"/>
    </row>
    <row r="163" spans="35:49">
      <c r="AI163" s="111"/>
      <c r="AM163" s="111"/>
      <c r="AT163" s="110"/>
      <c r="AU163" s="87"/>
      <c r="AV163" s="87"/>
      <c r="AW163" s="111"/>
    </row>
    <row r="164" spans="35:49">
      <c r="AI164" s="111"/>
      <c r="AM164" s="111"/>
      <c r="AT164" s="110"/>
      <c r="AU164" s="87"/>
      <c r="AV164" s="87"/>
      <c r="AW164" s="111"/>
    </row>
    <row r="165" spans="35:49">
      <c r="AI165" s="111"/>
      <c r="AM165" s="111"/>
      <c r="AT165" s="110"/>
      <c r="AU165" s="87"/>
      <c r="AV165" s="87"/>
      <c r="AW165" s="111"/>
    </row>
    <row r="166" spans="35:49">
      <c r="AI166" s="111"/>
      <c r="AM166" s="111"/>
      <c r="AT166" s="110"/>
      <c r="AU166" s="87"/>
      <c r="AV166" s="87"/>
      <c r="AW166" s="111"/>
    </row>
    <row r="167" spans="35:49">
      <c r="AI167" s="111"/>
      <c r="AM167" s="111"/>
      <c r="AT167" s="110"/>
      <c r="AU167" s="87"/>
      <c r="AV167" s="87"/>
      <c r="AW167" s="111"/>
    </row>
    <row r="168" spans="35:49">
      <c r="AI168" s="111"/>
      <c r="AM168" s="111"/>
      <c r="AT168" s="110"/>
      <c r="AU168" s="87"/>
      <c r="AV168" s="87"/>
      <c r="AW168" s="111"/>
    </row>
    <row r="169" spans="35:49">
      <c r="AI169" s="111"/>
      <c r="AM169" s="111"/>
      <c r="AT169" s="110"/>
      <c r="AU169" s="87"/>
      <c r="AV169" s="87"/>
      <c r="AW169" s="111"/>
    </row>
    <row r="170" spans="35:49">
      <c r="AI170" s="111"/>
      <c r="AM170" s="111"/>
      <c r="AT170" s="110"/>
      <c r="AU170" s="87"/>
      <c r="AV170" s="87"/>
      <c r="AW170" s="111"/>
    </row>
    <row r="171" spans="35:49">
      <c r="AI171" s="111"/>
      <c r="AM171" s="111"/>
      <c r="AT171" s="110"/>
      <c r="AU171" s="87"/>
      <c r="AV171" s="87"/>
      <c r="AW171" s="111"/>
    </row>
    <row r="172" spans="35:49">
      <c r="AI172" s="111"/>
      <c r="AM172" s="111"/>
      <c r="AT172" s="110"/>
      <c r="AU172" s="87"/>
      <c r="AV172" s="87"/>
      <c r="AW172" s="111"/>
    </row>
    <row r="173" spans="35:49">
      <c r="AI173" s="111"/>
      <c r="AM173" s="111"/>
      <c r="AT173" s="110"/>
      <c r="AU173" s="87"/>
      <c r="AV173" s="87"/>
      <c r="AW173" s="111"/>
    </row>
    <row r="174" spans="35:49">
      <c r="AI174" s="111"/>
      <c r="AM174" s="111"/>
      <c r="AT174" s="110"/>
      <c r="AU174" s="87"/>
      <c r="AV174" s="87"/>
      <c r="AW174" s="111"/>
    </row>
    <row r="175" spans="35:49">
      <c r="AI175" s="111"/>
      <c r="AM175" s="111"/>
      <c r="AT175" s="110"/>
      <c r="AU175" s="87"/>
      <c r="AV175" s="87"/>
      <c r="AW175" s="111"/>
    </row>
    <row r="176" spans="35:49">
      <c r="AI176" s="111"/>
      <c r="AM176" s="111"/>
      <c r="AT176" s="110"/>
      <c r="AU176" s="87"/>
      <c r="AV176" s="87"/>
      <c r="AW176" s="111"/>
    </row>
    <row r="177" spans="35:49">
      <c r="AI177" s="111"/>
      <c r="AM177" s="111"/>
      <c r="AT177" s="110"/>
      <c r="AU177" s="87"/>
      <c r="AV177" s="87"/>
      <c r="AW177" s="111"/>
    </row>
    <row r="178" spans="35:49">
      <c r="AI178" s="111"/>
      <c r="AM178" s="111"/>
      <c r="AT178" s="110"/>
      <c r="AU178" s="87"/>
      <c r="AV178" s="87"/>
      <c r="AW178" s="111"/>
    </row>
    <row r="179" spans="35:49">
      <c r="AI179" s="111"/>
      <c r="AM179" s="111"/>
      <c r="AT179" s="110"/>
      <c r="AU179" s="87"/>
      <c r="AV179" s="87"/>
      <c r="AW179" s="111"/>
    </row>
    <row r="180" spans="35:49">
      <c r="AI180" s="111"/>
      <c r="AM180" s="111"/>
      <c r="AT180" s="110"/>
      <c r="AU180" s="87"/>
      <c r="AV180" s="87"/>
      <c r="AW180" s="111"/>
    </row>
    <row r="181" spans="35:49">
      <c r="AI181" s="111"/>
      <c r="AM181" s="111"/>
      <c r="AT181" s="110"/>
      <c r="AU181" s="87"/>
      <c r="AV181" s="87"/>
      <c r="AW181" s="111"/>
    </row>
    <row r="182" spans="35:49">
      <c r="AI182" s="111"/>
      <c r="AM182" s="111"/>
      <c r="AT182" s="110"/>
      <c r="AU182" s="87"/>
      <c r="AV182" s="87"/>
      <c r="AW182" s="111"/>
    </row>
    <row r="183" spans="35:49">
      <c r="AI183" s="111"/>
      <c r="AM183" s="111"/>
      <c r="AT183" s="110"/>
      <c r="AU183" s="87"/>
      <c r="AV183" s="87"/>
      <c r="AW183" s="111"/>
    </row>
    <row r="184" spans="35:49">
      <c r="AI184" s="111"/>
      <c r="AM184" s="111"/>
      <c r="AT184" s="110"/>
      <c r="AU184" s="87"/>
      <c r="AV184" s="87"/>
      <c r="AW184" s="111"/>
    </row>
    <row r="185" spans="35:49">
      <c r="AI185" s="111"/>
      <c r="AM185" s="111"/>
      <c r="AT185" s="110"/>
      <c r="AU185" s="87"/>
      <c r="AV185" s="87"/>
      <c r="AW185" s="111"/>
    </row>
    <row r="186" spans="35:49">
      <c r="AI186" s="111"/>
      <c r="AM186" s="111"/>
      <c r="AT186" s="110"/>
      <c r="AU186" s="87"/>
      <c r="AV186" s="87"/>
      <c r="AW186" s="111"/>
    </row>
    <row r="187" spans="35:49">
      <c r="AI187" s="111"/>
      <c r="AM187" s="111"/>
      <c r="AT187" s="110"/>
      <c r="AU187" s="87"/>
      <c r="AV187" s="87"/>
      <c r="AW187" s="111"/>
    </row>
    <row r="188" spans="35:49">
      <c r="AI188" s="111"/>
      <c r="AM188" s="111"/>
      <c r="AT188" s="110"/>
      <c r="AU188" s="87"/>
      <c r="AV188" s="87"/>
      <c r="AW188" s="111"/>
    </row>
    <row r="189" spans="35:49">
      <c r="AI189" s="111"/>
      <c r="AM189" s="111"/>
      <c r="AT189" s="110"/>
      <c r="AU189" s="87"/>
      <c r="AV189" s="87"/>
      <c r="AW189" s="111"/>
    </row>
    <row r="190" spans="35:49">
      <c r="AI190" s="111"/>
      <c r="AM190" s="111"/>
      <c r="AT190" s="110"/>
      <c r="AU190" s="87"/>
      <c r="AV190" s="87"/>
      <c r="AW190" s="111"/>
    </row>
    <row r="191" spans="35:49">
      <c r="AI191" s="111"/>
      <c r="AM191" s="111"/>
      <c r="AT191" s="110"/>
      <c r="AU191" s="87"/>
      <c r="AV191" s="87"/>
      <c r="AW191" s="111"/>
    </row>
    <row r="192" spans="35:49">
      <c r="AI192" s="111"/>
      <c r="AM192" s="111"/>
      <c r="AT192" s="110"/>
      <c r="AU192" s="87"/>
      <c r="AV192" s="87"/>
      <c r="AW192" s="111"/>
    </row>
    <row r="193" spans="35:49">
      <c r="AI193" s="111"/>
      <c r="AM193" s="111"/>
      <c r="AT193" s="110"/>
      <c r="AU193" s="87"/>
      <c r="AV193" s="87"/>
      <c r="AW193" s="111"/>
    </row>
    <row r="194" spans="35:49">
      <c r="AI194" s="111"/>
      <c r="AM194" s="111"/>
      <c r="AT194" s="110"/>
      <c r="AU194" s="87"/>
      <c r="AV194" s="87"/>
      <c r="AW194" s="111"/>
    </row>
    <row r="195" spans="35:49">
      <c r="AI195" s="111"/>
      <c r="AM195" s="111"/>
      <c r="AT195" s="110"/>
      <c r="AU195" s="87"/>
      <c r="AV195" s="87"/>
      <c r="AW195" s="111"/>
    </row>
    <row r="196" spans="35:49">
      <c r="AI196" s="111"/>
      <c r="AM196" s="111"/>
      <c r="AT196" s="110"/>
      <c r="AU196" s="87"/>
      <c r="AV196" s="87"/>
      <c r="AW196" s="111"/>
    </row>
    <row r="197" spans="35:49">
      <c r="AI197" s="111"/>
      <c r="AM197" s="111"/>
      <c r="AT197" s="110"/>
      <c r="AU197" s="87"/>
      <c r="AV197" s="87"/>
      <c r="AW197" s="111"/>
    </row>
    <row r="198" spans="35:49">
      <c r="AI198" s="111"/>
      <c r="AM198" s="111"/>
      <c r="AT198" s="110"/>
      <c r="AU198" s="87"/>
      <c r="AV198" s="87"/>
      <c r="AW198" s="111"/>
    </row>
    <row r="199" spans="35:49">
      <c r="AI199" s="111"/>
      <c r="AM199" s="111"/>
      <c r="AT199" s="110"/>
      <c r="AU199" s="87"/>
      <c r="AV199" s="87"/>
      <c r="AW199" s="111"/>
    </row>
    <row r="200" spans="35:49">
      <c r="AI200" s="111"/>
      <c r="AM200" s="111"/>
      <c r="AT200" s="110"/>
      <c r="AU200" s="87"/>
      <c r="AV200" s="87"/>
      <c r="AW200" s="111"/>
    </row>
    <row r="201" spans="35:49">
      <c r="AI201" s="111"/>
      <c r="AM201" s="111"/>
      <c r="AT201" s="110"/>
      <c r="AU201" s="87"/>
      <c r="AV201" s="87"/>
      <c r="AW201" s="111"/>
    </row>
    <row r="202" spans="35:49">
      <c r="AI202" s="111"/>
      <c r="AM202" s="111"/>
      <c r="AT202" s="110"/>
      <c r="AU202" s="87"/>
      <c r="AV202" s="87"/>
      <c r="AW202" s="111"/>
    </row>
    <row r="203" spans="35:49">
      <c r="AI203" s="111"/>
      <c r="AM203" s="111"/>
      <c r="AT203" s="110"/>
      <c r="AU203" s="87"/>
      <c r="AV203" s="87"/>
      <c r="AW203" s="111"/>
    </row>
    <row r="204" spans="35:49">
      <c r="AI204" s="111"/>
      <c r="AM204" s="111"/>
      <c r="AT204" s="110"/>
      <c r="AU204" s="87"/>
      <c r="AV204" s="87"/>
      <c r="AW204" s="111"/>
    </row>
    <row r="205" spans="35:49">
      <c r="AI205" s="111"/>
      <c r="AM205" s="111"/>
      <c r="AT205" s="110"/>
      <c r="AU205" s="87"/>
      <c r="AV205" s="87"/>
      <c r="AW205" s="111"/>
    </row>
    <row r="206" spans="35:49">
      <c r="AI206" s="111"/>
      <c r="AM206" s="111"/>
      <c r="AT206" s="110"/>
      <c r="AU206" s="87"/>
      <c r="AV206" s="87"/>
      <c r="AW206" s="111"/>
    </row>
    <row r="207" spans="35:49">
      <c r="AI207" s="111"/>
      <c r="AM207" s="111"/>
      <c r="AT207" s="110"/>
      <c r="AU207" s="87"/>
      <c r="AV207" s="87"/>
      <c r="AW207" s="111"/>
    </row>
    <row r="208" spans="35:49">
      <c r="AI208" s="111"/>
      <c r="AM208" s="111"/>
      <c r="AT208" s="110"/>
      <c r="AU208" s="87"/>
      <c r="AV208" s="87"/>
      <c r="AW208" s="111"/>
    </row>
    <row r="209" spans="35:49">
      <c r="AI209" s="111"/>
      <c r="AM209" s="111"/>
      <c r="AT209" s="110"/>
      <c r="AU209" s="87"/>
      <c r="AV209" s="87"/>
      <c r="AW209" s="111"/>
    </row>
    <row r="210" spans="35:49">
      <c r="AI210" s="111"/>
      <c r="AM210" s="111"/>
      <c r="AT210" s="110"/>
      <c r="AU210" s="87"/>
      <c r="AV210" s="87"/>
      <c r="AW210" s="111"/>
    </row>
    <row r="211" spans="35:49">
      <c r="AI211" s="111"/>
      <c r="AM211" s="111"/>
      <c r="AT211" s="110"/>
      <c r="AU211" s="87"/>
      <c r="AV211" s="87"/>
      <c r="AW211" s="111"/>
    </row>
    <row r="212" spans="35:49">
      <c r="AI212" s="111"/>
      <c r="AM212" s="111"/>
      <c r="AT212" s="110"/>
      <c r="AU212" s="87"/>
      <c r="AV212" s="87"/>
      <c r="AW212" s="111"/>
    </row>
    <row r="213" spans="35:49">
      <c r="AI213" s="111"/>
      <c r="AM213" s="111"/>
      <c r="AT213" s="110"/>
      <c r="AU213" s="87"/>
      <c r="AV213" s="87"/>
      <c r="AW213" s="111"/>
    </row>
    <row r="214" spans="35:49">
      <c r="AI214" s="111"/>
      <c r="AM214" s="111"/>
      <c r="AT214" s="110"/>
      <c r="AU214" s="87"/>
      <c r="AV214" s="87"/>
      <c r="AW214" s="111"/>
    </row>
    <row r="215" spans="35:49">
      <c r="AI215" s="111"/>
      <c r="AM215" s="111"/>
      <c r="AT215" s="110"/>
      <c r="AU215" s="87"/>
      <c r="AV215" s="87"/>
      <c r="AW215" s="111"/>
    </row>
    <row r="216" spans="35:49">
      <c r="AI216" s="111"/>
      <c r="AM216" s="111"/>
      <c r="AT216" s="110"/>
      <c r="AU216" s="87"/>
      <c r="AV216" s="87"/>
      <c r="AW216" s="111"/>
    </row>
    <row r="217" spans="35:49">
      <c r="AI217" s="111"/>
      <c r="AM217" s="111"/>
      <c r="AT217" s="110"/>
      <c r="AU217" s="87"/>
      <c r="AV217" s="87"/>
      <c r="AW217" s="111"/>
    </row>
    <row r="218" spans="35:49">
      <c r="AI218" s="111"/>
      <c r="AM218" s="111"/>
      <c r="AT218" s="110"/>
      <c r="AU218" s="87"/>
      <c r="AV218" s="87"/>
      <c r="AW218" s="111"/>
    </row>
    <row r="219" spans="35:49">
      <c r="AI219" s="111"/>
      <c r="AM219" s="111"/>
      <c r="AT219" s="110"/>
      <c r="AU219" s="87"/>
      <c r="AV219" s="87"/>
      <c r="AW219" s="111"/>
    </row>
    <row r="220" spans="35:49">
      <c r="AI220" s="111"/>
      <c r="AM220" s="111"/>
      <c r="AT220" s="110"/>
      <c r="AU220" s="87"/>
      <c r="AV220" s="87"/>
      <c r="AW220" s="111"/>
    </row>
    <row r="221" spans="35:49">
      <c r="AI221" s="111"/>
      <c r="AM221" s="111"/>
      <c r="AT221" s="110"/>
      <c r="AU221" s="87"/>
      <c r="AV221" s="87"/>
      <c r="AW221" s="111"/>
    </row>
    <row r="222" spans="35:49">
      <c r="AI222" s="111"/>
      <c r="AM222" s="111"/>
      <c r="AT222" s="110"/>
      <c r="AU222" s="87"/>
      <c r="AV222" s="87"/>
      <c r="AW222" s="111"/>
    </row>
    <row r="223" spans="35:49">
      <c r="AI223" s="111"/>
      <c r="AT223" s="110"/>
      <c r="AU223" s="87"/>
      <c r="AV223" s="87"/>
      <c r="AW223" s="111"/>
    </row>
    <row r="224" spans="35:49">
      <c r="AI224" s="111"/>
      <c r="AT224" s="110"/>
      <c r="AU224" s="87"/>
      <c r="AV224" s="87"/>
      <c r="AW224" s="111"/>
    </row>
    <row r="225" spans="35:49">
      <c r="AI225" s="111"/>
      <c r="AT225" s="110"/>
      <c r="AU225" s="87"/>
      <c r="AV225" s="87"/>
      <c r="AW225" s="111"/>
    </row>
    <row r="226" spans="35:49">
      <c r="AI226" s="111"/>
      <c r="AT226" s="110"/>
      <c r="AU226" s="87"/>
      <c r="AV226" s="87"/>
      <c r="AW226" s="111"/>
    </row>
    <row r="227" spans="35:49">
      <c r="AI227" s="111"/>
      <c r="AT227" s="110"/>
      <c r="AU227" s="87"/>
      <c r="AV227" s="87"/>
      <c r="AW227" s="111"/>
    </row>
    <row r="228" spans="35:49">
      <c r="AI228" s="111"/>
      <c r="AT228" s="110"/>
      <c r="AU228" s="87"/>
      <c r="AV228" s="87"/>
      <c r="AW228" s="111"/>
    </row>
    <row r="229" spans="35:49">
      <c r="AI229" s="111"/>
      <c r="AT229" s="110"/>
      <c r="AU229" s="87"/>
      <c r="AV229" s="87"/>
      <c r="AW229" s="111"/>
    </row>
    <row r="230" spans="35:49">
      <c r="AI230" s="111"/>
      <c r="AT230" s="110"/>
      <c r="AU230" s="87"/>
      <c r="AV230" s="87"/>
      <c r="AW230" s="111"/>
    </row>
    <row r="231" spans="35:49">
      <c r="AI231" s="111"/>
      <c r="AT231" s="110"/>
      <c r="AU231" s="87"/>
      <c r="AV231" s="87"/>
      <c r="AW231" s="111"/>
    </row>
    <row r="232" spans="35:49">
      <c r="AI232" s="111"/>
      <c r="AT232" s="110"/>
      <c r="AU232" s="87"/>
      <c r="AV232" s="87"/>
      <c r="AW232" s="111"/>
    </row>
    <row r="233" spans="35:49">
      <c r="AI233" s="111"/>
      <c r="AT233" s="110"/>
      <c r="AU233" s="87"/>
      <c r="AV233" s="87"/>
      <c r="AW233" s="111"/>
    </row>
    <row r="234" spans="35:49">
      <c r="AI234" s="111"/>
      <c r="AT234" s="110"/>
      <c r="AU234" s="87"/>
      <c r="AV234" s="87"/>
      <c r="AW234" s="111"/>
    </row>
    <row r="235" spans="35:49">
      <c r="AI235" s="111"/>
      <c r="AT235" s="110"/>
      <c r="AU235" s="87"/>
      <c r="AV235" s="87"/>
      <c r="AW235" s="111"/>
    </row>
    <row r="236" spans="35:49">
      <c r="AI236" s="111"/>
      <c r="AT236" s="110"/>
      <c r="AU236" s="87"/>
      <c r="AV236" s="87"/>
      <c r="AW236" s="111"/>
    </row>
    <row r="237" spans="35:49">
      <c r="AI237" s="111"/>
      <c r="AT237" s="110"/>
      <c r="AU237" s="87"/>
      <c r="AV237" s="87"/>
      <c r="AW237" s="111"/>
    </row>
    <row r="238" spans="35:49">
      <c r="AI238" s="111"/>
      <c r="AT238" s="110"/>
      <c r="AU238" s="87"/>
      <c r="AV238" s="87"/>
      <c r="AW238" s="111"/>
    </row>
    <row r="239" spans="35:49">
      <c r="AI239" s="111"/>
      <c r="AT239" s="110"/>
      <c r="AU239" s="87"/>
      <c r="AV239" s="87"/>
      <c r="AW239" s="111"/>
    </row>
    <row r="240" spans="35:49">
      <c r="AI240" s="111"/>
      <c r="AT240" s="110"/>
      <c r="AU240" s="87"/>
      <c r="AV240" s="87"/>
      <c r="AW240" s="111"/>
    </row>
    <row r="241" spans="35:49">
      <c r="AI241" s="111"/>
      <c r="AT241" s="110"/>
      <c r="AU241" s="87"/>
      <c r="AV241" s="87"/>
      <c r="AW241" s="111"/>
    </row>
    <row r="242" spans="35:49">
      <c r="AI242" s="111"/>
      <c r="AT242" s="110"/>
      <c r="AU242" s="87"/>
      <c r="AV242" s="87"/>
      <c r="AW242" s="111"/>
    </row>
    <row r="243" spans="35:49">
      <c r="AI243" s="111"/>
      <c r="AT243" s="110"/>
      <c r="AU243" s="87"/>
      <c r="AV243" s="87"/>
      <c r="AW243" s="111"/>
    </row>
    <row r="244" spans="35:49">
      <c r="AI244" s="111"/>
      <c r="AT244" s="110"/>
      <c r="AU244" s="87"/>
      <c r="AV244" s="87"/>
      <c r="AW244" s="111"/>
    </row>
    <row r="245" spans="35:49">
      <c r="AI245" s="111"/>
      <c r="AT245" s="110"/>
      <c r="AU245" s="87"/>
      <c r="AV245" s="87"/>
      <c r="AW245" s="111"/>
    </row>
    <row r="246" spans="35:49">
      <c r="AI246" s="111"/>
      <c r="AT246" s="110"/>
      <c r="AU246" s="87"/>
      <c r="AV246" s="87"/>
      <c r="AW246" s="111"/>
    </row>
    <row r="247" spans="35:49">
      <c r="AI247" s="111"/>
      <c r="AT247" s="110"/>
      <c r="AU247" s="87"/>
      <c r="AV247" s="87"/>
      <c r="AW247" s="111"/>
    </row>
    <row r="248" spans="35:49">
      <c r="AI248" s="111"/>
      <c r="AT248" s="110"/>
      <c r="AU248" s="87"/>
      <c r="AV248" s="87"/>
      <c r="AW248" s="111"/>
    </row>
    <row r="249" spans="35:49">
      <c r="AI249" s="111"/>
      <c r="AT249" s="110"/>
      <c r="AU249" s="87"/>
      <c r="AV249" s="87"/>
      <c r="AW249" s="111"/>
    </row>
    <row r="250" spans="35:49">
      <c r="AI250" s="111"/>
      <c r="AT250" s="110"/>
      <c r="AU250" s="87"/>
      <c r="AV250" s="87"/>
      <c r="AW250" s="111"/>
    </row>
    <row r="251" spans="35:49">
      <c r="AI251" s="111"/>
      <c r="AT251" s="110"/>
      <c r="AU251" s="87"/>
      <c r="AV251" s="87"/>
      <c r="AW251" s="111"/>
    </row>
    <row r="252" spans="35:49">
      <c r="AI252" s="111"/>
      <c r="AT252" s="110"/>
      <c r="AU252" s="87"/>
      <c r="AV252" s="87"/>
      <c r="AW252" s="111"/>
    </row>
    <row r="253" spans="35:49">
      <c r="AI253" s="111"/>
      <c r="AT253" s="110"/>
      <c r="AU253" s="87"/>
      <c r="AV253" s="87"/>
      <c r="AW253" s="111"/>
    </row>
    <row r="254" spans="35:49">
      <c r="AI254" s="111"/>
      <c r="AT254" s="110"/>
      <c r="AU254" s="87"/>
      <c r="AV254" s="87"/>
      <c r="AW254" s="111"/>
    </row>
    <row r="255" spans="35:49">
      <c r="AI255" s="111"/>
      <c r="AT255" s="110"/>
      <c r="AU255" s="87"/>
      <c r="AV255" s="87"/>
      <c r="AW255" s="111"/>
    </row>
    <row r="256" spans="35:49">
      <c r="AI256" s="111"/>
      <c r="AT256" s="110"/>
      <c r="AU256" s="87"/>
      <c r="AV256" s="87"/>
      <c r="AW256" s="111"/>
    </row>
    <row r="257" spans="35:49">
      <c r="AI257" s="111"/>
      <c r="AT257" s="110"/>
      <c r="AU257" s="87"/>
      <c r="AV257" s="87"/>
      <c r="AW257" s="111"/>
    </row>
    <row r="258" spans="35:49">
      <c r="AI258" s="111"/>
      <c r="AT258" s="110"/>
      <c r="AU258" s="87"/>
      <c r="AV258" s="87"/>
      <c r="AW258" s="111"/>
    </row>
    <row r="259" spans="35:49">
      <c r="AI259" s="111"/>
      <c r="AT259" s="110"/>
      <c r="AU259" s="87"/>
      <c r="AV259" s="87"/>
      <c r="AW259" s="111"/>
    </row>
    <row r="260" spans="35:49">
      <c r="AI260" s="111"/>
      <c r="AT260" s="110"/>
      <c r="AU260" s="87"/>
      <c r="AV260" s="87"/>
      <c r="AW260" s="111"/>
    </row>
    <row r="261" spans="35:49">
      <c r="AI261" s="111"/>
      <c r="AT261" s="110"/>
      <c r="AU261" s="87"/>
      <c r="AV261" s="87"/>
      <c r="AW261" s="111"/>
    </row>
    <row r="262" spans="35:49">
      <c r="AI262" s="111"/>
      <c r="AT262" s="110"/>
      <c r="AU262" s="87"/>
      <c r="AV262" s="87"/>
      <c r="AW262" s="111"/>
    </row>
    <row r="263" spans="35:49">
      <c r="AI263" s="111"/>
      <c r="AT263" s="110"/>
      <c r="AU263" s="87"/>
      <c r="AV263" s="87"/>
      <c r="AW263" s="111"/>
    </row>
    <row r="264" spans="35:49">
      <c r="AT264" s="110"/>
      <c r="AU264" s="87"/>
      <c r="AV264" s="87"/>
      <c r="AW264" s="111"/>
    </row>
    <row r="265" spans="35:49">
      <c r="AT265" s="110"/>
      <c r="AU265" s="87"/>
      <c r="AV265" s="87"/>
      <c r="AW265" s="111"/>
    </row>
    <row r="266" spans="35:49">
      <c r="AT266" s="110"/>
      <c r="AU266" s="87"/>
      <c r="AV266" s="87"/>
      <c r="AW266" s="111"/>
    </row>
    <row r="267" spans="35:49">
      <c r="AT267" s="110"/>
      <c r="AU267" s="87"/>
      <c r="AV267" s="87"/>
      <c r="AW267" s="111"/>
    </row>
    <row r="268" spans="35:49">
      <c r="AT268" s="110"/>
      <c r="AU268" s="87"/>
      <c r="AV268" s="87"/>
      <c r="AW268" s="111"/>
    </row>
    <row r="269" spans="35:49">
      <c r="AT269" s="110"/>
      <c r="AU269" s="87"/>
      <c r="AV269" s="87"/>
      <c r="AW269" s="111"/>
    </row>
    <row r="270" spans="35:49">
      <c r="AT270" s="110"/>
      <c r="AU270" s="87"/>
      <c r="AV270" s="87"/>
      <c r="AW270" s="111"/>
    </row>
    <row r="271" spans="35:49">
      <c r="AT271" s="110"/>
      <c r="AU271" s="87"/>
      <c r="AV271" s="87"/>
      <c r="AW271" s="111"/>
    </row>
    <row r="272" spans="35:49">
      <c r="AT272" s="110"/>
      <c r="AU272" s="87"/>
      <c r="AV272" s="87"/>
      <c r="AW272" s="111"/>
    </row>
    <row r="273" spans="46:49">
      <c r="AT273" s="110"/>
      <c r="AU273" s="87"/>
      <c r="AV273" s="87"/>
      <c r="AW273" s="111"/>
    </row>
    <row r="274" spans="46:49">
      <c r="AT274" s="110"/>
      <c r="AU274" s="87"/>
      <c r="AV274" s="87"/>
      <c r="AW274" s="111"/>
    </row>
    <row r="275" spans="46:49">
      <c r="AT275" s="110"/>
      <c r="AU275" s="87"/>
      <c r="AV275" s="87"/>
      <c r="AW275" s="111"/>
    </row>
    <row r="276" spans="46:49">
      <c r="AT276" s="110"/>
      <c r="AU276" s="87"/>
      <c r="AV276" s="87"/>
      <c r="AW276" s="111"/>
    </row>
    <row r="277" spans="46:49">
      <c r="AT277" s="110"/>
      <c r="AU277" s="87"/>
      <c r="AV277" s="87"/>
      <c r="AW277" s="111"/>
    </row>
    <row r="278" spans="46:49">
      <c r="AT278" s="110"/>
      <c r="AU278" s="87"/>
      <c r="AV278" s="87"/>
      <c r="AW278" s="111"/>
    </row>
    <row r="279" spans="46:49">
      <c r="AT279" s="110"/>
      <c r="AU279" s="87"/>
      <c r="AV279" s="87"/>
      <c r="AW279" s="111"/>
    </row>
    <row r="280" spans="46:49">
      <c r="AT280" s="110"/>
      <c r="AU280" s="87"/>
      <c r="AV280" s="87"/>
      <c r="AW280" s="111"/>
    </row>
    <row r="281" spans="46:49">
      <c r="AT281" s="110"/>
      <c r="AU281" s="87"/>
      <c r="AV281" s="87"/>
      <c r="AW281" s="111"/>
    </row>
    <row r="282" spans="46:49">
      <c r="AT282" s="110"/>
      <c r="AU282" s="87"/>
      <c r="AV282" s="87"/>
      <c r="AW282" s="111"/>
    </row>
  </sheetData>
  <autoFilter ref="D5:AY151"/>
  <dataValidations count="4">
    <dataValidation type="list" allowBlank="1" showInputMessage="1" showErrorMessage="1" sqref="N123:N124 N129">
      <formula1>$I$38:$I$115</formula1>
    </dataValidation>
    <dataValidation type="list" allowBlank="1" showInputMessage="1" showErrorMessage="1" sqref="AJ123:AJ124 AJ115:AJ116 AJ127:AJ128 AJ133:AJ134 AJ137:AJ139">
      <formula1>$M$46:$M$46</formula1>
    </dataValidation>
    <dataValidation type="list" allowBlank="1" showInputMessage="1" showErrorMessage="1" sqref="N45 N39 N41 N43">
      <formula1>$I$38:$I$45</formula1>
    </dataValidation>
    <dataValidation type="list" allowBlank="1" showInputMessage="1" showErrorMessage="1" sqref="N59:N60 N55:N56 N63">
      <formula1>$H$52:$H$68</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Lists!$G$138:$G$164</xm:f>
          </x14:formula1>
          <xm:sqref>N47:N52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8390"/>
  </sheetPr>
  <dimension ref="A1"/>
  <sheetViews>
    <sheetView workbookViewId="0"/>
  </sheetViews>
  <sheetFormatPr defaultColWidth="8.85546875" defaultRowHeight="15"/>
  <sheetData>
    <row r="1" spans="1:1">
      <c r="A1" t="s">
        <v>462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56"/>
  <sheetViews>
    <sheetView zoomScale="70" zoomScaleNormal="70" zoomScaleSheetLayoutView="100" workbookViewId="0"/>
  </sheetViews>
  <sheetFormatPr defaultColWidth="8.85546875" defaultRowHeight="15"/>
  <cols>
    <col min="1" max="1" width="14.28515625" customWidth="1"/>
    <col min="2" max="2" width="28.42578125" style="54" customWidth="1"/>
    <col min="3" max="3" width="19.28515625" style="54" customWidth="1"/>
    <col min="4" max="4" width="84" style="54" customWidth="1"/>
    <col min="5" max="5" width="59.28515625" customWidth="1"/>
    <col min="6" max="6" width="27.85546875" customWidth="1"/>
    <col min="7" max="7" width="13.85546875" bestFit="1" customWidth="1"/>
    <col min="8" max="11" width="13.42578125" bestFit="1" customWidth="1"/>
  </cols>
  <sheetData>
    <row r="1" spans="1:11" s="165" customFormat="1">
      <c r="A1" s="81" t="s">
        <v>250</v>
      </c>
      <c r="B1" s="54"/>
      <c r="C1" s="54"/>
      <c r="D1" s="54"/>
    </row>
    <row r="2" spans="1:11" ht="21.75" customHeight="1">
      <c r="A2" s="165" t="s">
        <v>560</v>
      </c>
      <c r="G2" s="169">
        <f>COLUMN()</f>
        <v>7</v>
      </c>
      <c r="H2" s="169">
        <f>COLUMN()</f>
        <v>8</v>
      </c>
      <c r="I2" s="169">
        <f>COLUMN()</f>
        <v>9</v>
      </c>
      <c r="J2" s="169">
        <f>COLUMN()</f>
        <v>10</v>
      </c>
      <c r="K2" s="169">
        <f>COLUMN()</f>
        <v>11</v>
      </c>
    </row>
    <row r="3" spans="1:11" ht="63" customHeight="1">
      <c r="A3" s="182" t="s">
        <v>800</v>
      </c>
      <c r="B3" s="146" t="s">
        <v>226</v>
      </c>
      <c r="C3" s="146" t="s">
        <v>115</v>
      </c>
      <c r="D3" s="141" t="s">
        <v>40</v>
      </c>
      <c r="E3" s="49" t="s">
        <v>104</v>
      </c>
      <c r="F3" s="49" t="s">
        <v>57</v>
      </c>
      <c r="G3" s="138" t="s">
        <v>58</v>
      </c>
      <c r="H3" s="49" t="s">
        <v>3</v>
      </c>
      <c r="I3" s="49" t="s">
        <v>4</v>
      </c>
      <c r="J3" s="49" t="s">
        <v>5</v>
      </c>
      <c r="K3" s="49" t="s">
        <v>6</v>
      </c>
    </row>
    <row r="4" spans="1:11" ht="45">
      <c r="A4" t="str">
        <f>'ERG Service assumptions'!B6</f>
        <v>EE_1</v>
      </c>
      <c r="B4" s="54" t="str">
        <f>VLOOKUP($A4,'ERG Service assumptions'!$B:$AR,'ERG Service assumptions'!D$3,FALSE)</f>
        <v>Connection application and management services</v>
      </c>
      <c r="C4" s="54" t="str">
        <f>VLOOKUP($A4,'ERG Service assumptions'!$B:$AR,'ERG Service assumptions'!E$3,FALSE)</f>
        <v>De-energisation</v>
      </c>
      <c r="D4" s="54" t="str">
        <f>VLOOKUP($A4,'ERG Service assumptions'!$B:$AR,'ERG Service assumptions'!F$3,FALSE)</f>
        <v>Retailer requested de-energisation of the customer's premises where the de-energisation can be performed at the premises ie by a method other than main switch seal (eg pole, pillar, transformer or meter isolation link)</v>
      </c>
      <c r="E4" s="129" t="str">
        <f>VLOOKUP($A4,'ERG Service assumptions'!$B:$AR,'ERG Service assumptions'!G$3,FALSE)</f>
        <v>BUSINESS HOURS - NO CT</v>
      </c>
      <c r="F4" s="122" t="str">
        <f>VLOOKUP($A4,'ERG Service assumptions'!$B:$AR,'ERG Service assumptions'!H$3,FALSE)</f>
        <v>Urban/Short Rural</v>
      </c>
      <c r="G4" s="168">
        <f>VLOOKUP(A4,'ERG Service assumptions'!$B$6:$AY$315,'ERG Service assumptions'!$AY$3,FALSE)</f>
        <v>116.09715069601559</v>
      </c>
      <c r="H4" s="24">
        <f>G4*(1+'Escalators &amp; overheads'!F$5)*(1-'Escalators &amp; overheads'!F$9)</f>
        <v>119.875809925642</v>
      </c>
      <c r="I4" s="24">
        <f>H4*(1+'Escalators &amp; overheads'!G$5)*(1-'Escalators &amp; overheads'!G$9)</f>
        <v>123.83627912825899</v>
      </c>
      <c r="J4" s="24">
        <f>I4*(1+'Escalators &amp; overheads'!H$5)*(1-'Escalators &amp; overheads'!H$9)</f>
        <v>127.96096547105115</v>
      </c>
      <c r="K4" s="24">
        <f>J4*(1+'Escalators &amp; overheads'!I$5)*(1-'Escalators &amp; overheads'!I$9)</f>
        <v>131.90955166435279</v>
      </c>
    </row>
    <row r="5" spans="1:11" ht="45">
      <c r="A5" s="269" t="str">
        <f>'ERG Service assumptions'!B7</f>
        <v>EE_2</v>
      </c>
      <c r="B5" s="270" t="str">
        <f>VLOOKUP($A5,'ERG Service assumptions'!$B:$AR,'ERG Service assumptions'!D$3,FALSE)</f>
        <v>Connection application and management services</v>
      </c>
      <c r="C5" s="270" t="str">
        <f>VLOOKUP($A5,'ERG Service assumptions'!$B:$AR,'ERG Service assumptions'!E$3,FALSE)</f>
        <v>De-energisation</v>
      </c>
      <c r="D5" s="270" t="str">
        <f>VLOOKUP($A5,'ERG Service assumptions'!$B:$AR,'ERG Service assumptions'!F$3,FALSE)</f>
        <v>Retailer requested de-energisation of the customer's premises where the de-energisation can be performed at the premises ie by a method other than main switch seal (eg pole, pillar, transformer or meter isolation link)</v>
      </c>
      <c r="E5" s="129" t="str">
        <f>VLOOKUP($A5,'ERG Service assumptions'!$B:$AR,'ERG Service assumptions'!G$3,FALSE)</f>
        <v>BUSINESS HOURS - NO CT</v>
      </c>
      <c r="F5" s="269" t="str">
        <f>VLOOKUP($A5,'ERG Service assumptions'!$B:$AR,'ERG Service assumptions'!H$3,FALSE)</f>
        <v>Long rural/Isolated</v>
      </c>
      <c r="G5" s="168">
        <f>VLOOKUP(A5,'ERG Service assumptions'!$B$6:$AY$315,'ERG Service assumptions'!$AY$3,FALSE)</f>
        <v>408.38193712166287</v>
      </c>
      <c r="H5" s="120">
        <f>G5*(1+'Escalators &amp; overheads'!F$5)*(1-'Escalators &amp; overheads'!F$9)</f>
        <v>421.67370325602712</v>
      </c>
      <c r="I5" s="120">
        <f>H5*(1+'Escalators &amp; overheads'!G$5)*(1-'Escalators &amp; overheads'!G$9)</f>
        <v>435.60500195869992</v>
      </c>
      <c r="J5" s="120">
        <f>I5*(1+'Escalators &amp; overheads'!H$5)*(1-'Escalators &amp; overheads'!H$9)</f>
        <v>450.11394889314465</v>
      </c>
      <c r="K5" s="120">
        <f>J5*(1+'Escalators &amp; overheads'!I$5)*(1-'Escalators &amp; overheads'!I$9)</f>
        <v>464.00344806556257</v>
      </c>
    </row>
    <row r="6" spans="1:11" ht="45">
      <c r="A6" s="269" t="str">
        <f>'ERG Service assumptions'!B8</f>
        <v>EE_3</v>
      </c>
      <c r="B6" s="270" t="str">
        <f>VLOOKUP($A6,'ERG Service assumptions'!$B:$AR,'ERG Service assumptions'!D$3,FALSE)</f>
        <v>Connection application and management services</v>
      </c>
      <c r="C6" s="270" t="str">
        <f>VLOOKUP($A6,'ERG Service assumptions'!$B:$AR,'ERG Service assumptions'!E$3,FALSE)</f>
        <v>De-energisation</v>
      </c>
      <c r="D6" s="270" t="str">
        <f>VLOOKUP($A6,'ERG Service assumptions'!$B:$AR,'ERG Service assumptions'!F$3,FALSE)</f>
        <v>Retailer requested de-energisation of the customer's premises where the de-energisation can be performed at the premises ie by a method other than main switch seal (eg pole, pillar, transformer or meter isolation link)</v>
      </c>
      <c r="E6" s="129" t="str">
        <f>VLOOKUP($A6,'ERG Service assumptions'!$B:$AR,'ERG Service assumptions'!G$3,FALSE)</f>
        <v>AFTER HOURS - NO CT</v>
      </c>
      <c r="F6" s="269" t="str">
        <f>VLOOKUP($A6,'ERG Service assumptions'!$B:$AR,'ERG Service assumptions'!H$3,FALSE)</f>
        <v>Urban/Short Rural</v>
      </c>
      <c r="G6" s="168">
        <f>VLOOKUP(A6,'ERG Service assumptions'!$B$6:$AY$315,'ERG Service assumptions'!$AY$3,FALSE)</f>
        <v>152.61650665757605</v>
      </c>
      <c r="H6" s="120">
        <f>G6*(1+'Escalators &amp; overheads'!F$5)*(1-'Escalators &amp; overheads'!F$9)</f>
        <v>157.58377560446834</v>
      </c>
      <c r="I6" s="120">
        <f>H6*(1+'Escalators &amp; overheads'!G$5)*(1-'Escalators &amp; overheads'!G$9)</f>
        <v>162.79004441300219</v>
      </c>
      <c r="J6" s="120">
        <f>I6*(1+'Escalators &amp; overheads'!H$5)*(1-'Escalators &amp; overheads'!H$9)</f>
        <v>168.21218627368745</v>
      </c>
      <c r="K6" s="120">
        <f>J6*(1+'Escalators &amp; overheads'!I$5)*(1-'Escalators &amp; overheads'!I$9)</f>
        <v>173.40283417025739</v>
      </c>
    </row>
    <row r="7" spans="1:11" ht="45">
      <c r="A7" s="269" t="str">
        <f>'ERG Service assumptions'!B9</f>
        <v>EE_4</v>
      </c>
      <c r="B7" s="270" t="str">
        <f>VLOOKUP($A7,'ERG Service assumptions'!$B:$AR,'ERG Service assumptions'!D$3,FALSE)</f>
        <v>Connection application and management services</v>
      </c>
      <c r="C7" s="270" t="str">
        <f>VLOOKUP($A7,'ERG Service assumptions'!$B:$AR,'ERG Service assumptions'!E$3,FALSE)</f>
        <v>De-energisation</v>
      </c>
      <c r="D7" s="270" t="str">
        <f>VLOOKUP($A7,'ERG Service assumptions'!$B:$AR,'ERG Service assumptions'!F$3,FALSE)</f>
        <v>Retailer requested de-energisation of the customer's premises where the de-energisation can be performed at the premises ie by a method other than main switch seal (eg pole, pillar, transformer or meter isolation link)</v>
      </c>
      <c r="E7" s="129" t="str">
        <f>VLOOKUP($A7,'ERG Service assumptions'!$B:$AR,'ERG Service assumptions'!G$3,FALSE)</f>
        <v>AFTER HOURS - NO CT</v>
      </c>
      <c r="F7" s="269" t="str">
        <f>VLOOKUP($A7,'ERG Service assumptions'!$B:$AR,'ERG Service assumptions'!H$3,FALSE)</f>
        <v>Long rural/Isolated</v>
      </c>
      <c r="G7" s="168">
        <f>VLOOKUP(A7,'ERG Service assumptions'!$B$6:$AY$315,'ERG Service assumptions'!$AY$3,FALSE)</f>
        <v>536.84198321760414</v>
      </c>
      <c r="H7" s="120">
        <f>G7*(1+'Escalators &amp; overheads'!F$5)*(1-'Escalators &amp; overheads'!F$9)</f>
        <v>554.31478855843125</v>
      </c>
      <c r="I7" s="120">
        <f>H7*(1+'Escalators &amp; overheads'!G$5)*(1-'Escalators &amp; overheads'!G$9)</f>
        <v>572.62829693015829</v>
      </c>
      <c r="J7" s="120">
        <f>I7*(1+'Escalators &amp; overheads'!H$5)*(1-'Escalators &amp; overheads'!H$9)</f>
        <v>591.70115774663918</v>
      </c>
      <c r="K7" s="120">
        <f>J7*(1+'Escalators &amp; overheads'!I$5)*(1-'Escalators &amp; overheads'!I$9)</f>
        <v>609.95971818683495</v>
      </c>
    </row>
    <row r="8" spans="1:11" s="53" customFormat="1" ht="45">
      <c r="A8" s="269" t="str">
        <f>'ERG Service assumptions'!B10</f>
        <v>EE_5</v>
      </c>
      <c r="B8" s="270" t="str">
        <f>VLOOKUP($A8,'ERG Service assumptions'!$B:$AR,'ERG Service assumptions'!D$3,FALSE)</f>
        <v>Connection application and management services</v>
      </c>
      <c r="C8" s="270" t="str">
        <f>VLOOKUP($A8,'ERG Service assumptions'!$B:$AR,'ERG Service assumptions'!E$3,FALSE)</f>
        <v>De-energisation</v>
      </c>
      <c r="D8" s="270" t="str">
        <f>VLOOKUP($A8,'ERG Service assumptions'!$B:$AR,'ERG Service assumptions'!F$3,FALSE)</f>
        <v>Retailer requested de-energisation of the customer's premises where the de-energisation can be performed at the premises ie by a method other than main switch seal (eg pole, pillar, transformer or meter isolation link)</v>
      </c>
      <c r="E8" s="129" t="str">
        <f>VLOOKUP($A8,'ERG Service assumptions'!$B:$AR,'ERG Service assumptions'!G$3,FALSE)</f>
        <v>BUSINESS HOURS - CT</v>
      </c>
      <c r="F8" s="269" t="str">
        <f>VLOOKUP($A8,'ERG Service assumptions'!$B:$AR,'ERG Service assumptions'!H$3,FALSE)</f>
        <v>Urban/Short Rural</v>
      </c>
      <c r="G8" s="168">
        <f>VLOOKUP(A8,'ERG Service assumptions'!$B$6:$AY$315,'ERG Service assumptions'!$AY$3,FALSE)</f>
        <v>350.04166038999676</v>
      </c>
      <c r="H8" s="120">
        <f>G8*(1+'Escalators &amp; overheads'!F$5)*(1-'Escalators &amp; overheads'!F$9)</f>
        <v>361.43460279088043</v>
      </c>
      <c r="I8" s="120">
        <f>H8*(1+'Escalators &amp; overheads'!G$5)*(1-'Escalators &amp; overheads'!G$9)</f>
        <v>373.37571596459998</v>
      </c>
      <c r="J8" s="120">
        <f>I8*(1+'Escalators &amp; overheads'!H$5)*(1-'Escalators &amp; overheads'!H$9)</f>
        <v>385.81195619412409</v>
      </c>
      <c r="K8" s="120">
        <f>J8*(1+'Escalators &amp; overheads'!I$5)*(1-'Escalators &amp; overheads'!I$9)</f>
        <v>397.71724119905372</v>
      </c>
    </row>
    <row r="9" spans="1:11" ht="45">
      <c r="A9" s="269" t="str">
        <f>'ERG Service assumptions'!B11</f>
        <v>EE_6</v>
      </c>
      <c r="B9" s="270" t="str">
        <f>VLOOKUP($A9,'ERG Service assumptions'!$B:$AR,'ERG Service assumptions'!D$3,FALSE)</f>
        <v>Connection application and management services</v>
      </c>
      <c r="C9" s="270" t="str">
        <f>VLOOKUP($A9,'ERG Service assumptions'!$B:$AR,'ERG Service assumptions'!E$3,FALSE)</f>
        <v>De-energisation</v>
      </c>
      <c r="D9" s="270" t="str">
        <f>VLOOKUP($A9,'ERG Service assumptions'!$B:$AR,'ERG Service assumptions'!F$3,FALSE)</f>
        <v>Retailer requested de-energisation of the customer's premises where the de-energisation can be performed at the premises ie by a method other than main switch seal (eg pole, pillar, transformer or meter isolation link)</v>
      </c>
      <c r="E9" s="129" t="str">
        <f>VLOOKUP($A9,'ERG Service assumptions'!$B:$AR,'ERG Service assumptions'!G$3,FALSE)</f>
        <v>BUSINESS HOURS - CT</v>
      </c>
      <c r="F9" s="269" t="str">
        <f>VLOOKUP($A9,'ERG Service assumptions'!$B:$AR,'ERG Service assumptions'!H$3,FALSE)</f>
        <v>Long rural/isolated</v>
      </c>
      <c r="G9" s="168">
        <f>VLOOKUP(A9,'ERG Service assumptions'!$B$6:$AY$315,'ERG Service assumptions'!$AY$3,FALSE)</f>
        <v>934.61123324129142</v>
      </c>
      <c r="H9" s="120">
        <f>G9*(1+'Escalators &amp; overheads'!F$5)*(1-'Escalators &amp; overheads'!F$9)</f>
        <v>965.03038945165088</v>
      </c>
      <c r="I9" s="120">
        <f>H9*(1+'Escalators &amp; overheads'!G$5)*(1-'Escalators &amp; overheads'!G$9)</f>
        <v>996.91316162548208</v>
      </c>
      <c r="J9" s="120">
        <f>I9*(1+'Escalators &amp; overheads'!H$5)*(1-'Escalators &amp; overheads'!H$9)</f>
        <v>1030.1179230383113</v>
      </c>
      <c r="K9" s="120">
        <f>J9*(1+'Escalators &amp; overheads'!I$5)*(1-'Escalators &amp; overheads'!I$9)</f>
        <v>1061.9050340014733</v>
      </c>
    </row>
    <row r="10" spans="1:11" s="53" customFormat="1" ht="45">
      <c r="A10" s="269" t="str">
        <f>'ERG Service assumptions'!B12</f>
        <v>EE_7</v>
      </c>
      <c r="B10" s="270" t="str">
        <f>VLOOKUP($A10,'ERG Service assumptions'!$B:$AR,'ERG Service assumptions'!D$3,FALSE)</f>
        <v>Connection application and management services</v>
      </c>
      <c r="C10" s="270" t="str">
        <f>VLOOKUP($A10,'ERG Service assumptions'!$B:$AR,'ERG Service assumptions'!E$3,FALSE)</f>
        <v>De-energisation</v>
      </c>
      <c r="D10" s="270" t="str">
        <f>VLOOKUP($A10,'ERG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E10" s="129" t="str">
        <f>VLOOKUP($A10,'ERG Service assumptions'!$B:$AR,'ERG Service assumptions'!G$3,FALSE)</f>
        <v>AFTER HOURS - CT</v>
      </c>
      <c r="F10" s="269" t="str">
        <f>VLOOKUP($A10,'ERG Service assumptions'!$B:$AR,'ERG Service assumptions'!H$3,FALSE)</f>
        <v>Urban/Short Rural</v>
      </c>
      <c r="G10" s="168">
        <f>VLOOKUP(A10,'ERG Service assumptions'!$B$6:$AY$315,'ERG Service assumptions'!$AY$3,FALSE)</f>
        <v>460.15027132937496</v>
      </c>
      <c r="H10" s="120">
        <f>G10*(1+'Escalators &amp; overheads'!F$5)*(1-'Escalators &amp; overheads'!F$9)</f>
        <v>475.12696162151246</v>
      </c>
      <c r="I10" s="120">
        <f>H10*(1+'Escalators &amp; overheads'!G$5)*(1-'Escalators &amp; overheads'!G$9)</f>
        <v>490.82425451156422</v>
      </c>
      <c r="J10" s="120">
        <f>I10*(1+'Escalators &amp; overheads'!H$5)*(1-'Escalators &amp; overheads'!H$9)</f>
        <v>507.17242092569063</v>
      </c>
      <c r="K10" s="120">
        <f>J10*(1+'Escalators &amp; overheads'!I$5)*(1-'Escalators &amp; overheads'!I$9)</f>
        <v>522.82261558871551</v>
      </c>
    </row>
    <row r="11" spans="1:11" ht="45">
      <c r="A11" s="269" t="str">
        <f>'ERG Service assumptions'!B13</f>
        <v>EE_8</v>
      </c>
      <c r="B11" s="270" t="str">
        <f>VLOOKUP($A11,'ERG Service assumptions'!$B:$AR,'ERG Service assumptions'!D$3,FALSE)</f>
        <v>Connection application and management services</v>
      </c>
      <c r="C11" s="270" t="str">
        <f>VLOOKUP($A11,'ERG Service assumptions'!$B:$AR,'ERG Service assumptions'!E$3,FALSE)</f>
        <v>De-energisation</v>
      </c>
      <c r="D11" s="270" t="str">
        <f>VLOOKUP($A11,'ERG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E11" s="129" t="str">
        <f>VLOOKUP($A11,'ERG Service assumptions'!$B:$AR,'ERG Service assumptions'!G$3,FALSE)</f>
        <v>AFTER HOURS - CT</v>
      </c>
      <c r="F11" s="269" t="str">
        <f>VLOOKUP($A11,'ERG Service assumptions'!$B:$AR,'ERG Service assumptions'!H$3,FALSE)</f>
        <v>Long rural/Isolated</v>
      </c>
      <c r="G11" s="168">
        <f>VLOOKUP(A11,'ERG Service assumptions'!$B$6:$AY$315,'ERG Service assumptions'!$AY$3,FALSE)</f>
        <v>1228.6012244494311</v>
      </c>
      <c r="H11" s="120">
        <f>G11*(1+'Escalators &amp; overheads'!F$5)*(1-'Escalators &amp; overheads'!F$9)</f>
        <v>1268.5889875294383</v>
      </c>
      <c r="I11" s="120">
        <f>H11*(1+'Escalators &amp; overheads'!G$5)*(1-'Escalators &amp; overheads'!G$9)</f>
        <v>1310.5007595458767</v>
      </c>
      <c r="J11" s="120">
        <f>I11*(1+'Escalators &amp; overheads'!H$5)*(1-'Escalators &amp; overheads'!H$9)</f>
        <v>1354.1503638715944</v>
      </c>
      <c r="K11" s="120">
        <f>J11*(1+'Escalators &amp; overheads'!I$5)*(1-'Escalators &amp; overheads'!I$9)</f>
        <v>1395.9363836218708</v>
      </c>
    </row>
    <row r="12" spans="1:11" s="53" customFormat="1" ht="45">
      <c r="A12" s="269" t="str">
        <f>'ERG Service assumptions'!B14</f>
        <v>EE_9</v>
      </c>
      <c r="B12" s="270" t="str">
        <f>VLOOKUP($A12,'ERG Service assumptions'!$B:$AR,'ERG Service assumptions'!D$3,FALSE)</f>
        <v>Connection application and management services</v>
      </c>
      <c r="C12" s="270" t="str">
        <f>VLOOKUP($A12,'ERG Service assumptions'!$B:$AR,'ERG Service assumptions'!E$3,FALSE)</f>
        <v>De-energisation</v>
      </c>
      <c r="D12" s="270" t="str">
        <f>VLOOKUP($A12,'ERG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E12" s="129" t="str">
        <f>VLOOKUP($A12,'ERG Service assumptions'!$B:$AR,'ERG Service assumptions'!G$3,FALSE)</f>
        <v>NON PAYMENT - NO CT</v>
      </c>
      <c r="F12" s="269" t="str">
        <f>VLOOKUP($A12,'ERG Service assumptions'!$B:$AR,'ERG Service assumptions'!H$3,FALSE)</f>
        <v>Urban/Short Rural</v>
      </c>
      <c r="G12" s="168">
        <f>VLOOKUP(A12,'ERG Service assumptions'!$B$6:$AY$315,'ERG Service assumptions'!$AY$3,FALSE)</f>
        <v>232.19430139203118</v>
      </c>
      <c r="H12" s="120">
        <f>G12*(1+'Escalators &amp; overheads'!F$5)*(1-'Escalators &amp; overheads'!F$9)</f>
        <v>239.751619851284</v>
      </c>
      <c r="I12" s="120">
        <f>H12*(1+'Escalators &amp; overheads'!G$5)*(1-'Escalators &amp; overheads'!G$9)</f>
        <v>247.67255825651799</v>
      </c>
      <c r="J12" s="120">
        <f>I12*(1+'Escalators &amp; overheads'!H$5)*(1-'Escalators &amp; overheads'!H$9)</f>
        <v>255.92193094210231</v>
      </c>
      <c r="K12" s="120">
        <f>J12*(1+'Escalators &amp; overheads'!I$5)*(1-'Escalators &amp; overheads'!I$9)</f>
        <v>263.81910332870558</v>
      </c>
    </row>
    <row r="13" spans="1:11" ht="45">
      <c r="A13" s="269" t="str">
        <f>'ERG Service assumptions'!B15</f>
        <v>EE_10</v>
      </c>
      <c r="B13" s="270" t="str">
        <f>VLOOKUP($A13,'ERG Service assumptions'!$B:$AR,'ERG Service assumptions'!D$3,FALSE)</f>
        <v>Connection application and management services</v>
      </c>
      <c r="C13" s="270" t="str">
        <f>VLOOKUP($A13,'ERG Service assumptions'!$B:$AR,'ERG Service assumptions'!E$3,FALSE)</f>
        <v>De-energisation</v>
      </c>
      <c r="D13" s="270" t="str">
        <f>VLOOKUP($A13,'ERG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E13" s="129" t="str">
        <f>VLOOKUP($A13,'ERG Service assumptions'!$B:$AR,'ERG Service assumptions'!G$3,FALSE)</f>
        <v>NON PAYMENT - NO CT</v>
      </c>
      <c r="F13" s="269" t="str">
        <f>VLOOKUP($A13,'ERG Service assumptions'!$B:$AR,'ERG Service assumptions'!H$3,FALSE)</f>
        <v>Long rural/Isolated</v>
      </c>
      <c r="G13" s="168">
        <f>VLOOKUP(A13,'ERG Service assumptions'!$B$6:$AY$315,'ERG Service assumptions'!$AY$3,FALSE)</f>
        <v>816.76387424332574</v>
      </c>
      <c r="H13" s="120">
        <f>G13*(1+'Escalators &amp; overheads'!F$5)*(1-'Escalators &amp; overheads'!F$9)</f>
        <v>843.34740651205425</v>
      </c>
      <c r="I13" s="120">
        <f>H13*(1+'Escalators &amp; overheads'!G$5)*(1-'Escalators &amp; overheads'!G$9)</f>
        <v>871.21000391739983</v>
      </c>
      <c r="J13" s="120">
        <f>I13*(1+'Escalators &amp; overheads'!H$5)*(1-'Escalators &amp; overheads'!H$9)</f>
        <v>900.2278977862893</v>
      </c>
      <c r="K13" s="120">
        <f>J13*(1+'Escalators &amp; overheads'!I$5)*(1-'Escalators &amp; overheads'!I$9)</f>
        <v>928.00689613112513</v>
      </c>
    </row>
    <row r="14" spans="1:11" ht="45">
      <c r="A14" s="269" t="str">
        <f>'ERG Service assumptions'!B16</f>
        <v>EE_11</v>
      </c>
      <c r="B14" s="270" t="str">
        <f>VLOOKUP($A14,'ERG Service assumptions'!$B:$AR,'ERG Service assumptions'!D$3,FALSE)</f>
        <v>Connection application and management services</v>
      </c>
      <c r="C14" s="270" t="str">
        <f>VLOOKUP($A14,'ERG Service assumptions'!$B:$AR,'ERG Service assumptions'!E$3,FALSE)</f>
        <v>De-energisation</v>
      </c>
      <c r="D14" s="270" t="str">
        <f>VLOOKUP($A14,'ERG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E14" s="129" t="str">
        <f>VLOOKUP($A14,'ERG Service assumptions'!$B:$AR,'ERG Service assumptions'!G$3,FALSE)</f>
        <v>NON PAYMENT - CT</v>
      </c>
      <c r="F14" s="269" t="str">
        <f>VLOOKUP($A14,'ERG Service assumptions'!$B:$AR,'ERG Service assumptions'!H$3,FALSE)</f>
        <v>Urban/Short Rural</v>
      </c>
      <c r="G14" s="168">
        <f>VLOOKUP(A14,'ERG Service assumptions'!$B$6:$AY$315,'ERG Service assumptions'!$AY$3,FALSE)</f>
        <v>350.04166038999676</v>
      </c>
      <c r="H14" s="120">
        <f>G14*(1+'Escalators &amp; overheads'!F$5)*(1-'Escalators &amp; overheads'!F$9)</f>
        <v>361.43460279088043</v>
      </c>
      <c r="I14" s="120">
        <f>H14*(1+'Escalators &amp; overheads'!G$5)*(1-'Escalators &amp; overheads'!G$9)</f>
        <v>373.37571596459998</v>
      </c>
      <c r="J14" s="120">
        <f>I14*(1+'Escalators &amp; overheads'!H$5)*(1-'Escalators &amp; overheads'!H$9)</f>
        <v>385.81195619412409</v>
      </c>
      <c r="K14" s="120">
        <f>J14*(1+'Escalators &amp; overheads'!I$5)*(1-'Escalators &amp; overheads'!I$9)</f>
        <v>397.71724119905372</v>
      </c>
    </row>
    <row r="15" spans="1:11" s="53" customFormat="1" ht="45">
      <c r="A15" s="269" t="str">
        <f>'ERG Service assumptions'!B17</f>
        <v>EE_12</v>
      </c>
      <c r="B15" s="270" t="str">
        <f>VLOOKUP($A15,'ERG Service assumptions'!$B:$AR,'ERG Service assumptions'!D$3,FALSE)</f>
        <v>Connection application and management services</v>
      </c>
      <c r="C15" s="270" t="str">
        <f>VLOOKUP($A15,'ERG Service assumptions'!$B:$AR,'ERG Service assumptions'!E$3,FALSE)</f>
        <v>De-energisation</v>
      </c>
      <c r="D15" s="270" t="str">
        <f>VLOOKUP($A15,'ERG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E15" s="129" t="str">
        <f>VLOOKUP($A15,'ERG Service assumptions'!$B:$AR,'ERG Service assumptions'!G$3,FALSE)</f>
        <v>NON PAYMENT - CT</v>
      </c>
      <c r="F15" s="269" t="str">
        <f>VLOOKUP($A15,'ERG Service assumptions'!$B:$AR,'ERG Service assumptions'!H$3,FALSE)</f>
        <v>Long rural/Isolated</v>
      </c>
      <c r="G15" s="168">
        <f>VLOOKUP(A15,'ERG Service assumptions'!$B$6:$AY$315,'ERG Service assumptions'!$AY$3,FALSE)</f>
        <v>934.61123324129142</v>
      </c>
      <c r="H15" s="120">
        <f>G15*(1+'Escalators &amp; overheads'!F$5)*(1-'Escalators &amp; overheads'!F$9)</f>
        <v>965.03038945165088</v>
      </c>
      <c r="I15" s="120">
        <f>H15*(1+'Escalators &amp; overheads'!G$5)*(1-'Escalators &amp; overheads'!G$9)</f>
        <v>996.91316162548208</v>
      </c>
      <c r="J15" s="120">
        <f>I15*(1+'Escalators &amp; overheads'!H$5)*(1-'Escalators &amp; overheads'!H$9)</f>
        <v>1030.1179230383113</v>
      </c>
      <c r="K15" s="120">
        <f>J15*(1+'Escalators &amp; overheads'!I$5)*(1-'Escalators &amp; overheads'!I$9)</f>
        <v>1061.9050340014733</v>
      </c>
    </row>
    <row r="16" spans="1:11" ht="30">
      <c r="A16" s="269" t="str">
        <f>'ERG Service assumptions'!B18</f>
        <v>EE_13</v>
      </c>
      <c r="B16" s="270" t="str">
        <f>VLOOKUP($A16,'ERG Service assumptions'!$B:$AR,'ERG Service assumptions'!D$3,FALSE)</f>
        <v>Connection application and management services</v>
      </c>
      <c r="C16" s="270" t="str">
        <f>VLOOKUP($A16,'ERG Service assumptions'!$B:$AR,'ERG Service assumptions'!E$3,FALSE)</f>
        <v>De-energisation</v>
      </c>
      <c r="D16" s="270" t="str">
        <f>VLOOKUP($A16,'ERG Service assumptions'!$B:$AR,'ERG Service assumptions'!F$3,FALSE)</f>
        <v>Retailer requested de-energisation (MSS)</v>
      </c>
      <c r="E16" s="129" t="str">
        <f>VLOOKUP($A16,'ERG Service assumptions'!$B:$AR,'ERG Service assumptions'!G$3,FALSE)</f>
        <v>BUSINESS HOURS</v>
      </c>
      <c r="F16" s="269" t="str">
        <f>VLOOKUP($A16,'ERG Service assumptions'!$B:$AR,'ERG Service assumptions'!H$3,FALSE)</f>
        <v>Urban/Short Rural</v>
      </c>
      <c r="G16" s="168">
        <f>VLOOKUP(A16,'ERG Service assumptions'!$B$6:$AY$315,'ERG Service assumptions'!$AY$3,FALSE)</f>
        <v>101.51208151309905</v>
      </c>
      <c r="H16" s="120">
        <f>G16*(1+'Escalators &amp; overheads'!F$5)*(1-'Escalators &amp; overheads'!F$9)</f>
        <v>104.81603480935532</v>
      </c>
      <c r="I16" s="120">
        <f>H16*(1+'Escalators &amp; overheads'!G$5)*(1-'Escalators &amp; overheads'!G$9)</f>
        <v>108.27895762973398</v>
      </c>
      <c r="J16" s="120">
        <f>I16*(1+'Escalators &amp; overheads'!H$5)*(1-'Escalators &amp; overheads'!H$9)</f>
        <v>111.88546729629597</v>
      </c>
      <c r="K16" s="120">
        <f>J16*(1+'Escalators &amp; overheads'!I$5)*(1-'Escalators &amp; overheads'!I$9)</f>
        <v>115.33799994772556</v>
      </c>
    </row>
    <row r="17" spans="1:11" s="53" customFormat="1" ht="30">
      <c r="A17" s="269" t="str">
        <f>'ERG Service assumptions'!B19</f>
        <v>EE_14</v>
      </c>
      <c r="B17" s="270" t="str">
        <f>VLOOKUP($A17,'ERG Service assumptions'!$B:$AR,'ERG Service assumptions'!D$3,FALSE)</f>
        <v>Connection application and management services</v>
      </c>
      <c r="C17" s="270" t="str">
        <f>VLOOKUP($A17,'ERG Service assumptions'!$B:$AR,'ERG Service assumptions'!E$3,FALSE)</f>
        <v>De-energisation</v>
      </c>
      <c r="D17" s="270" t="str">
        <f>VLOOKUP($A17,'ERG Service assumptions'!$B:$AR,'ERG Service assumptions'!F$3,FALSE)</f>
        <v>Retailer requested de-energisation (MSS)</v>
      </c>
      <c r="E17" s="129" t="str">
        <f>VLOOKUP($A17,'ERG Service assumptions'!$B:$AR,'ERG Service assumptions'!G$3,FALSE)</f>
        <v>BUSINESS HOURS</v>
      </c>
      <c r="F17" s="269" t="str">
        <f>VLOOKUP($A17,'ERG Service assumptions'!$B:$AR,'ERG Service assumptions'!H$3,FALSE)</f>
        <v>Long rural/isolated</v>
      </c>
      <c r="G17" s="168">
        <f>VLOOKUP(A17,'ERG Service assumptions'!$B$6:$AY$315,'ERG Service assumptions'!$AY$3,FALSE)</f>
        <v>393.79686793874635</v>
      </c>
      <c r="H17" s="120">
        <f>G17*(1+'Escalators &amp; overheads'!F$5)*(1-'Escalators &amp; overheads'!F$9)</f>
        <v>406.61392813974044</v>
      </c>
      <c r="I17" s="120">
        <f>H17*(1+'Escalators &amp; overheads'!G$5)*(1-'Escalators &amp; overheads'!G$9)</f>
        <v>420.04768046017494</v>
      </c>
      <c r="J17" s="120">
        <f>I17*(1+'Escalators &amp; overheads'!H$5)*(1-'Escalators &amp; overheads'!H$9)</f>
        <v>434.03845071838953</v>
      </c>
      <c r="K17" s="120">
        <f>J17*(1+'Escalators &amp; overheads'!I$5)*(1-'Escalators &amp; overheads'!I$9)</f>
        <v>447.43189634893537</v>
      </c>
    </row>
    <row r="18" spans="1:11" ht="30">
      <c r="A18" s="269" t="str">
        <f>'ERG Service assumptions'!B20</f>
        <v>EE_15</v>
      </c>
      <c r="B18" s="270" t="str">
        <f>VLOOKUP($A18,'ERG Service assumptions'!$B:$AR,'ERG Service assumptions'!D$3,FALSE)</f>
        <v>Connection application and management services</v>
      </c>
      <c r="C18" s="270" t="str">
        <f>VLOOKUP($A18,'ERG Service assumptions'!$B:$AR,'ERG Service assumptions'!E$3,FALSE)</f>
        <v>De-energisation</v>
      </c>
      <c r="D18" s="270" t="str">
        <f>VLOOKUP($A18,'ERG Service assumptions'!$B:$AR,'ERG Service assumptions'!F$3,FALSE)</f>
        <v>Retailer requested de-energisation (MSS)</v>
      </c>
      <c r="E18" s="129" t="str">
        <f>VLOOKUP($A18,'ERG Service assumptions'!$B:$AR,'ERG Service assumptions'!G$3,FALSE)</f>
        <v>AFTER HOURS</v>
      </c>
      <c r="F18" s="269" t="str">
        <f>VLOOKUP($A18,'ERG Service assumptions'!$B:$AR,'ERG Service assumptions'!H$3,FALSE)</f>
        <v>Urban/Short Rural</v>
      </c>
      <c r="G18" s="168">
        <f>VLOOKUP(A18,'ERG Service assumptions'!$B$6:$AY$315,'ERG Service assumptions'!$AY$3,FALSE)</f>
        <v>133.44357868551873</v>
      </c>
      <c r="H18" s="120">
        <f>G18*(1+'Escalators &amp; overheads'!F$5)*(1-'Escalators &amp; overheads'!F$9)</f>
        <v>137.78681887023859</v>
      </c>
      <c r="I18" s="120">
        <f>H18*(1+'Escalators &amp; overheads'!G$5)*(1-'Escalators &amp; overheads'!G$9)</f>
        <v>142.33903380835363</v>
      </c>
      <c r="J18" s="120">
        <f>I18*(1+'Escalators &amp; overheads'!H$5)*(1-'Escalators &amp; overheads'!H$9)</f>
        <v>147.08000206845031</v>
      </c>
      <c r="K18" s="120">
        <f>J18*(1+'Escalators &amp; overheads'!I$5)*(1-'Escalators &amp; overheads'!I$9)</f>
        <v>151.61855852072753</v>
      </c>
    </row>
    <row r="19" spans="1:11" ht="30">
      <c r="A19" s="269" t="str">
        <f>'ERG Service assumptions'!B21</f>
        <v>EE_16</v>
      </c>
      <c r="B19" s="270" t="str">
        <f>VLOOKUP($A19,'ERG Service assumptions'!$B:$AR,'ERG Service assumptions'!D$3,FALSE)</f>
        <v>Connection application and management services</v>
      </c>
      <c r="C19" s="270" t="str">
        <f>VLOOKUP($A19,'ERG Service assumptions'!$B:$AR,'ERG Service assumptions'!E$3,FALSE)</f>
        <v>De-energisation</v>
      </c>
      <c r="D19" s="270" t="str">
        <f>VLOOKUP($A19,'ERG Service assumptions'!$B:$AR,'ERG Service assumptions'!F$3,FALSE)</f>
        <v>Retailer requested de-energisation (MSS)</v>
      </c>
      <c r="E19" s="129" t="str">
        <f>VLOOKUP($A19,'ERG Service assumptions'!$B:$AR,'ERG Service assumptions'!G$3,FALSE)</f>
        <v>AFTER HOURS</v>
      </c>
      <c r="F19" s="269" t="str">
        <f>VLOOKUP($A19,'ERG Service assumptions'!$B:$AR,'ERG Service assumptions'!H$3,FALSE)</f>
        <v>Long rural/Isolated</v>
      </c>
      <c r="G19" s="168">
        <f>VLOOKUP(A19,'ERG Service assumptions'!$B$6:$AY$315,'ERG Service assumptions'!$AY$3,FALSE)</f>
        <v>517.66905524554682</v>
      </c>
      <c r="H19" s="120">
        <f>G19*(1+'Escalators &amp; overheads'!F$5)*(1-'Escalators &amp; overheads'!F$9)</f>
        <v>534.51783182420149</v>
      </c>
      <c r="I19" s="120">
        <f>H19*(1+'Escalators &amp; overheads'!G$5)*(1-'Escalators &amp; overheads'!G$9)</f>
        <v>552.17728632550973</v>
      </c>
      <c r="J19" s="120">
        <f>I19*(1+'Escalators &amp; overheads'!H$5)*(1-'Escalators &amp; overheads'!H$9)</f>
        <v>570.56897354140199</v>
      </c>
      <c r="K19" s="120">
        <f>J19*(1+'Escalators &amp; overheads'!I$5)*(1-'Escalators &amp; overheads'!I$9)</f>
        <v>588.175442537305</v>
      </c>
    </row>
    <row r="20" spans="1:11" s="53" customFormat="1" ht="30">
      <c r="A20" s="269" t="str">
        <f>'ERG Service assumptions'!B22</f>
        <v>EE_21</v>
      </c>
      <c r="B20" s="270" t="str">
        <f>VLOOKUP($A20,'ERG Service assumptions'!$B:$AR,'ERG Service assumptions'!D$3,FALSE)</f>
        <v>Connection application and management services</v>
      </c>
      <c r="C20" s="270" t="str">
        <f>VLOOKUP($A20,'ERG Service assumptions'!$B:$AR,'ERG Service assumptions'!E$3,FALSE)</f>
        <v>De-energisation</v>
      </c>
      <c r="D20" s="270" t="str">
        <f>VLOOKUP($A20,'ERG Service assumptions'!$B:$AR,'ERG Service assumptions'!F$3,FALSE)</f>
        <v>Retailer requested de-energisation (MSS)</v>
      </c>
      <c r="E20" s="129" t="str">
        <f>VLOOKUP($A20,'ERG Service assumptions'!$B:$AR,'ERG Service assumptions'!G$3,FALSE)</f>
        <v>NON PAYMENT</v>
      </c>
      <c r="F20" s="269" t="str">
        <f>VLOOKUP($A20,'ERG Service assumptions'!$B:$AR,'ERG Service assumptions'!H$3,FALSE)</f>
        <v>Urban/Short Rural</v>
      </c>
      <c r="G20" s="168">
        <f>VLOOKUP(A20,'ERG Service assumptions'!$B$6:$AY$315,'ERG Service assumptions'!$AY$3,FALSE)</f>
        <v>203.0241630261981</v>
      </c>
      <c r="H20" s="120">
        <f>G20*(1+'Escalators &amp; overheads'!F$5)*(1-'Escalators &amp; overheads'!F$9)</f>
        <v>209.63206961871063</v>
      </c>
      <c r="I20" s="120">
        <f>H20*(1+'Escalators &amp; overheads'!G$5)*(1-'Escalators &amp; overheads'!G$9)</f>
        <v>216.55791525946796</v>
      </c>
      <c r="J20" s="120">
        <f>I20*(1+'Escalators &amp; overheads'!H$5)*(1-'Escalators &amp; overheads'!H$9)</f>
        <v>223.77093459259194</v>
      </c>
      <c r="K20" s="120">
        <f>J20*(1+'Escalators &amp; overheads'!I$5)*(1-'Escalators &amp; overheads'!I$9)</f>
        <v>230.67599989545113</v>
      </c>
    </row>
    <row r="21" spans="1:11" ht="30">
      <c r="A21" s="269" t="str">
        <f>'ERG Service assumptions'!B23</f>
        <v>EE_22</v>
      </c>
      <c r="B21" s="270" t="str">
        <f>VLOOKUP($A21,'ERG Service assumptions'!$B:$AR,'ERG Service assumptions'!D$3,FALSE)</f>
        <v>Connection application and management services</v>
      </c>
      <c r="C21" s="270" t="str">
        <f>VLOOKUP($A21,'ERG Service assumptions'!$B:$AR,'ERG Service assumptions'!E$3,FALSE)</f>
        <v>De-energisation</v>
      </c>
      <c r="D21" s="270" t="str">
        <f>VLOOKUP($A21,'ERG Service assumptions'!$B:$AR,'ERG Service assumptions'!F$3,FALSE)</f>
        <v>Retailer requested de-energisation (MSS)</v>
      </c>
      <c r="E21" s="129" t="str">
        <f>VLOOKUP($A21,'ERG Service assumptions'!$B:$AR,'ERG Service assumptions'!G$3,FALSE)</f>
        <v>NON PAYMENT</v>
      </c>
      <c r="F21" s="269" t="str">
        <f>VLOOKUP($A21,'ERG Service assumptions'!$B:$AR,'ERG Service assumptions'!H$3,FALSE)</f>
        <v>Long rural/Isolated</v>
      </c>
      <c r="G21" s="168">
        <f>VLOOKUP(A21,'ERG Service assumptions'!$B$6:$AY$315,'ERG Service assumptions'!$AY$3,FALSE)</f>
        <v>787.59373587749269</v>
      </c>
      <c r="H21" s="120">
        <f>G21*(1+'Escalators &amp; overheads'!F$5)*(1-'Escalators &amp; overheads'!F$9)</f>
        <v>813.22785627948087</v>
      </c>
      <c r="I21" s="120">
        <f>H21*(1+'Escalators &amp; overheads'!G$5)*(1-'Escalators &amp; overheads'!G$9)</f>
        <v>840.09536092034989</v>
      </c>
      <c r="J21" s="120">
        <f>I21*(1+'Escalators &amp; overheads'!H$5)*(1-'Escalators &amp; overheads'!H$9)</f>
        <v>868.07690143677905</v>
      </c>
      <c r="K21" s="120">
        <f>J21*(1+'Escalators &amp; overheads'!I$5)*(1-'Escalators &amp; overheads'!I$9)</f>
        <v>894.86379269787074</v>
      </c>
    </row>
    <row r="22" spans="1:11" ht="30">
      <c r="A22" s="269" t="str">
        <f>'ERG Service assumptions'!B24</f>
        <v>EE_25</v>
      </c>
      <c r="B22" s="270" t="str">
        <f>VLOOKUP($A22,'ERG Service assumptions'!$B:$AR,'ERG Service assumptions'!D$3,FALSE)</f>
        <v>Connection application and management services</v>
      </c>
      <c r="C22" s="270" t="str">
        <f>VLOOKUP($A22,'ERG Service assumptions'!$B:$AR,'ERG Service assumptions'!E$3,FALSE)</f>
        <v>De-energisation</v>
      </c>
      <c r="D22" s="270" t="str">
        <f>VLOOKUP($A22,'ERG Service assumptions'!$B:$AR,'ERG Service assumptions'!F$3,FALSE)</f>
        <v>Retailer or third party requested remote de-energisation via the meter for non payment (PoC Exempt locations only)</v>
      </c>
      <c r="E22" s="129" t="str">
        <f>VLOOKUP($A22,'ERG Service assumptions'!$B:$AR,'ERG Service assumptions'!G$3,FALSE)</f>
        <v>BUSINESS HOURS</v>
      </c>
      <c r="F22" s="269" t="str">
        <f>VLOOKUP($A22,'ERG Service assumptions'!$B:$AR,'ERG Service assumptions'!H$3,FALSE)</f>
        <v>N/A</v>
      </c>
      <c r="G22" s="168">
        <f>VLOOKUP(A22,'ERG Service assumptions'!$B$6:$AY$315,'ERG Service assumptions'!$AY$3,FALSE)</f>
        <v>94.785984076463563</v>
      </c>
      <c r="H22" s="120">
        <f>G22*(1+'Escalators &amp; overheads'!F$5)*(1-'Escalators &amp; overheads'!F$9)</f>
        <v>97.871020456964871</v>
      </c>
      <c r="I22" s="120">
        <f>H22*(1+'Escalators &amp; overheads'!G$5)*(1-'Escalators &amp; overheads'!G$9)</f>
        <v>101.10449318669191</v>
      </c>
      <c r="J22" s="120">
        <f>I22*(1+'Escalators &amp; overheads'!H$5)*(1-'Escalators &amp; overheads'!H$9)</f>
        <v>104.47203882984026</v>
      </c>
      <c r="K22" s="120">
        <f>J22*(1+'Escalators &amp; overheads'!I$5)*(1-'Escalators &amp; overheads'!I$9)</f>
        <v>107.69580983368523</v>
      </c>
    </row>
    <row r="23" spans="1:11" s="53" customFormat="1" ht="30">
      <c r="A23" s="269" t="str">
        <f>'ERG Service assumptions'!B25</f>
        <v>EE_26</v>
      </c>
      <c r="B23" s="270" t="str">
        <f>VLOOKUP($A23,'ERG Service assumptions'!$B:$AR,'ERG Service assumptions'!D$3,FALSE)</f>
        <v>Connection application and management services</v>
      </c>
      <c r="C23" s="270" t="str">
        <f>VLOOKUP($A23,'ERG Service assumptions'!$B:$AR,'ERG Service assumptions'!E$3,FALSE)</f>
        <v>De-energisation</v>
      </c>
      <c r="D23" s="270" t="str">
        <f>VLOOKUP($A23,'ERG Service assumptions'!$B:$AR,'ERG Service assumptions'!F$3,FALSE)</f>
        <v>Retailer or third party requested remote de-energisation via the meter for non payment (PoC Exempt locations only)</v>
      </c>
      <c r="E23" s="129" t="str">
        <f>VLOOKUP($A23,'ERG Service assumptions'!$B:$AR,'ERG Service assumptions'!G$3,FALSE)</f>
        <v>AFTER HOURS</v>
      </c>
      <c r="F23" s="269" t="str">
        <f>VLOOKUP($A23,'ERG Service assumptions'!$B:$AR,'ERG Service assumptions'!H$3,FALSE)</f>
        <v>N/A</v>
      </c>
      <c r="G23" s="168">
        <f>VLOOKUP(A23,'ERG Service assumptions'!$B$6:$AY$315,'ERG Service assumptions'!$AY$3,FALSE)</f>
        <v>119.33433242816804</v>
      </c>
      <c r="H23" s="120">
        <f>G23*(1+'Escalators &amp; overheads'!F$5)*(1-'Escalators &amp; overheads'!F$9)</f>
        <v>123.21835347379806</v>
      </c>
      <c r="I23" s="120">
        <f>H23*(1+'Escalators &amp; overheads'!G$5)*(1-'Escalators &amp; overheads'!G$9)</f>
        <v>127.28925397017721</v>
      </c>
      <c r="J23" s="120">
        <f>I23*(1+'Escalators &amp; overheads'!H$5)*(1-'Escalators &amp; overheads'!H$9)</f>
        <v>131.52895053673194</v>
      </c>
      <c r="K23" s="120">
        <f>J23*(1+'Escalators &amp; overheads'!I$5)*(1-'Escalators &amp; overheads'!I$9)</f>
        <v>135.58763668525347</v>
      </c>
    </row>
    <row r="24" spans="1:11" s="53" customFormat="1" ht="30">
      <c r="A24" s="269" t="str">
        <f>'ERG Service assumptions'!B26</f>
        <v>EE_27</v>
      </c>
      <c r="B24" s="270" t="str">
        <f>VLOOKUP($A24,'ERG Service assumptions'!$B:$AR,'ERG Service assumptions'!D$3,FALSE)</f>
        <v>Connection application and management services</v>
      </c>
      <c r="C24" s="270" t="str">
        <f>VLOOKUP($A24,'ERG Service assumptions'!$B:$AR,'ERG Service assumptions'!E$3,FALSE)</f>
        <v>De-energisation</v>
      </c>
      <c r="D24" s="270" t="str">
        <f>VLOOKUP($A24,'ERG Service assumptions'!$B:$AR,'ERG Service assumptions'!F$3,FALSE)</f>
        <v>All other remote de-energisation requests (PoC Exempt locations only)</v>
      </c>
      <c r="E24" s="129" t="str">
        <f>VLOOKUP($A24,'ERG Service assumptions'!$B:$AR,'ERG Service assumptions'!G$3,FALSE)</f>
        <v>BUSINESS HOURS</v>
      </c>
      <c r="F24" s="269" t="str">
        <f>VLOOKUP($A24,'ERG Service assumptions'!$B:$AR,'ERG Service assumptions'!H$3,FALSE)</f>
        <v>N/A</v>
      </c>
      <c r="G24" s="168">
        <f>VLOOKUP(A24,'ERG Service assumptions'!$B$6:$AY$315,'ERG Service assumptions'!$AY$3,FALSE)</f>
        <v>94.785984076463563</v>
      </c>
      <c r="H24" s="120">
        <f>G24*(1+'Escalators &amp; overheads'!F$5)*(1-'Escalators &amp; overheads'!F$9)</f>
        <v>97.871020456964871</v>
      </c>
      <c r="I24" s="120">
        <f>H24*(1+'Escalators &amp; overheads'!G$5)*(1-'Escalators &amp; overheads'!G$9)</f>
        <v>101.10449318669191</v>
      </c>
      <c r="J24" s="120">
        <f>I24*(1+'Escalators &amp; overheads'!H$5)*(1-'Escalators &amp; overheads'!H$9)</f>
        <v>104.47203882984026</v>
      </c>
      <c r="K24" s="120">
        <f>J24*(1+'Escalators &amp; overheads'!I$5)*(1-'Escalators &amp; overheads'!I$9)</f>
        <v>107.69580983368523</v>
      </c>
    </row>
    <row r="25" spans="1:11" ht="30">
      <c r="A25" s="269" t="str">
        <f>'ERG Service assumptions'!B27</f>
        <v>EE_28</v>
      </c>
      <c r="B25" s="270" t="str">
        <f>VLOOKUP($A25,'ERG Service assumptions'!$B:$AR,'ERG Service assumptions'!D$3,FALSE)</f>
        <v>Connection application and management services</v>
      </c>
      <c r="C25" s="270" t="str">
        <f>VLOOKUP($A25,'ERG Service assumptions'!$B:$AR,'ERG Service assumptions'!E$3,FALSE)</f>
        <v>De-energisation</v>
      </c>
      <c r="D25" s="270" t="str">
        <f>VLOOKUP($A25,'ERG Service assumptions'!$B:$AR,'ERG Service assumptions'!F$3,FALSE)</f>
        <v>All other remote de-energisation requests (PoC Exempt locations only)</v>
      </c>
      <c r="E25" s="129" t="str">
        <f>VLOOKUP($A25,'ERG Service assumptions'!$B:$AR,'ERG Service assumptions'!G$3,FALSE)</f>
        <v>AFTER HOURS</v>
      </c>
      <c r="F25" s="269" t="str">
        <f>VLOOKUP($A25,'ERG Service assumptions'!$B:$AR,'ERG Service assumptions'!H$3,FALSE)</f>
        <v>N/A</v>
      </c>
      <c r="G25" s="168">
        <f>VLOOKUP(A25,'ERG Service assumptions'!$B$6:$AY$315,'ERG Service assumptions'!$AY$3,FALSE)</f>
        <v>119.33433242816804</v>
      </c>
      <c r="H25" s="120">
        <f>G25*(1+'Escalators &amp; overheads'!F$5)*(1-'Escalators &amp; overheads'!F$9)</f>
        <v>123.21835347379806</v>
      </c>
      <c r="I25" s="120">
        <f>H25*(1+'Escalators &amp; overheads'!G$5)*(1-'Escalators &amp; overheads'!G$9)</f>
        <v>127.28925397017721</v>
      </c>
      <c r="J25" s="120">
        <f>I25*(1+'Escalators &amp; overheads'!H$5)*(1-'Escalators &amp; overheads'!H$9)</f>
        <v>131.52895053673194</v>
      </c>
      <c r="K25" s="120">
        <f>J25*(1+'Escalators &amp; overheads'!I$5)*(1-'Escalators &amp; overheads'!I$9)</f>
        <v>135.58763668525347</v>
      </c>
    </row>
    <row r="26" spans="1:11" ht="30">
      <c r="A26" s="269" t="str">
        <f>'ERG Service assumptions'!B28</f>
        <v>EE_29</v>
      </c>
      <c r="B26" s="270" t="str">
        <f>VLOOKUP($A26,'ERG Service assumptions'!$B:$AR,'ERG Service assumptions'!D$3,FALSE)</f>
        <v>Connection application and management services</v>
      </c>
      <c r="C26" s="270" t="str">
        <f>VLOOKUP($A26,'ERG Service assumptions'!$B:$AR,'ERG Service assumptions'!E$3,FALSE)</f>
        <v>Re-energisation</v>
      </c>
      <c r="D26" s="270" t="str">
        <f>VLOOKUP($A26,'ERG Service assumptions'!$B:$AR,'ERG Service assumptions'!F$3,FALSE)</f>
        <v>Retailer requests a re-energisation of the customer's premises where the customer has not paid their electricity account. No visual required</v>
      </c>
      <c r="E26" s="129" t="str">
        <f>VLOOKUP($A26,'ERG Service assumptions'!$B:$AR,'ERG Service assumptions'!G$3,FALSE)</f>
        <v>BUSINESS HOURS - NO CT</v>
      </c>
      <c r="F26" s="269" t="str">
        <f>VLOOKUP($A26,'ERG Service assumptions'!$B:$AR,'ERG Service assumptions'!H$3,FALSE)</f>
        <v>Urban/Short Rural</v>
      </c>
      <c r="G26" s="168">
        <f>VLOOKUP(A26,'ERG Service assumptions'!$B$6:$AY$315,'ERG Service assumptions'!$AY$3,FALSE)</f>
        <v>203.0241630261981</v>
      </c>
      <c r="H26" s="120">
        <f>G26*(1+'Escalators &amp; overheads'!F$5)*(1-'Escalators &amp; overheads'!F$9)</f>
        <v>209.63206961871063</v>
      </c>
      <c r="I26" s="120">
        <f>H26*(1+'Escalators &amp; overheads'!G$5)*(1-'Escalators &amp; overheads'!G$9)</f>
        <v>216.55791525946796</v>
      </c>
      <c r="J26" s="120">
        <f>I26*(1+'Escalators &amp; overheads'!H$5)*(1-'Escalators &amp; overheads'!H$9)</f>
        <v>223.77093459259194</v>
      </c>
      <c r="K26" s="120">
        <f>J26*(1+'Escalators &amp; overheads'!I$5)*(1-'Escalators &amp; overheads'!I$9)</f>
        <v>230.67599989545113</v>
      </c>
    </row>
    <row r="27" spans="1:11" s="53" customFormat="1" ht="30">
      <c r="A27" s="269" t="str">
        <f>'ERG Service assumptions'!B29</f>
        <v>EE_30</v>
      </c>
      <c r="B27" s="270" t="str">
        <f>VLOOKUP($A27,'ERG Service assumptions'!$B:$AR,'ERG Service assumptions'!D$3,FALSE)</f>
        <v>Connection application and management services</v>
      </c>
      <c r="C27" s="270" t="str">
        <f>VLOOKUP($A27,'ERG Service assumptions'!$B:$AR,'ERG Service assumptions'!E$3,FALSE)</f>
        <v>Re-energisation</v>
      </c>
      <c r="D27" s="270" t="str">
        <f>VLOOKUP($A27,'ERG Service assumptions'!$B:$AR,'ERG Service assumptions'!F$3,FALSE)</f>
        <v>Retailer requests a re-energisation of the customer's premises where the customer has not paid their electricity account. No visual required</v>
      </c>
      <c r="E27" s="129" t="str">
        <f>VLOOKUP($A27,'ERG Service assumptions'!$B:$AR,'ERG Service assumptions'!G$3,FALSE)</f>
        <v>BUSINESS HOURS - NO CT</v>
      </c>
      <c r="F27" s="269" t="str">
        <f>VLOOKUP($A27,'ERG Service assumptions'!$B:$AR,'ERG Service assumptions'!H$3,FALSE)</f>
        <v>Long rural/Isolated</v>
      </c>
      <c r="G27" s="168">
        <f>VLOOKUP(A27,'ERG Service assumptions'!$B$6:$AY$315,'ERG Service assumptions'!$AY$3,FALSE)</f>
        <v>787.59373587749269</v>
      </c>
      <c r="H27" s="120">
        <f>G27*(1+'Escalators &amp; overheads'!F$5)*(1-'Escalators &amp; overheads'!F$9)</f>
        <v>813.22785627948087</v>
      </c>
      <c r="I27" s="120">
        <f>H27*(1+'Escalators &amp; overheads'!G$5)*(1-'Escalators &amp; overheads'!G$9)</f>
        <v>840.09536092034989</v>
      </c>
      <c r="J27" s="120">
        <f>I27*(1+'Escalators &amp; overheads'!H$5)*(1-'Escalators &amp; overheads'!H$9)</f>
        <v>868.07690143677905</v>
      </c>
      <c r="K27" s="120">
        <f>J27*(1+'Escalators &amp; overheads'!I$5)*(1-'Escalators &amp; overheads'!I$9)</f>
        <v>894.86379269787074</v>
      </c>
    </row>
    <row r="28" spans="1:11" ht="30">
      <c r="A28" s="269" t="str">
        <f>'ERG Service assumptions'!B30</f>
        <v>EE_31</v>
      </c>
      <c r="B28" s="270" t="str">
        <f>VLOOKUP($A28,'ERG Service assumptions'!$B:$AR,'ERG Service assumptions'!D$3,FALSE)</f>
        <v>Connection application and management services</v>
      </c>
      <c r="C28" s="270" t="str">
        <f>VLOOKUP($A28,'ERG Service assumptions'!$B:$AR,'ERG Service assumptions'!E$3,FALSE)</f>
        <v>Re-energisation</v>
      </c>
      <c r="D28" s="270" t="str">
        <f>VLOOKUP($A28,'ERG Service assumptions'!$B:$AR,'ERG Service assumptions'!F$3,FALSE)</f>
        <v>Retailer requests a re-energisation of the customer's premises where the customer has not paid their electricity account. No visual required</v>
      </c>
      <c r="E28" s="129" t="str">
        <f>VLOOKUP($A28,'ERG Service assumptions'!$B:$AR,'ERG Service assumptions'!G$3,FALSE)</f>
        <v>BUSINESS HOURS - CT</v>
      </c>
      <c r="F28" s="269" t="str">
        <f>VLOOKUP($A28,'ERG Service assumptions'!$B:$AR,'ERG Service assumptions'!H$3,FALSE)</f>
        <v>Urban/Short Rural</v>
      </c>
      <c r="G28" s="168">
        <f>VLOOKUP(A28,'ERG Service assumptions'!$B$6:$AY$315,'ERG Service assumptions'!$AY$3,FALSE)</f>
        <v>261.36443975786426</v>
      </c>
      <c r="H28" s="120">
        <f>G28*(1+'Escalators &amp; overheads'!F$5)*(1-'Escalators &amp; overheads'!F$9)</f>
        <v>269.87117008385741</v>
      </c>
      <c r="I28" s="120">
        <f>H28*(1+'Escalators &amp; overheads'!G$5)*(1-'Escalators &amp; overheads'!G$9)</f>
        <v>278.78720125356796</v>
      </c>
      <c r="J28" s="120">
        <f>I28*(1+'Escalators &amp; overheads'!H$5)*(1-'Escalators &amp; overheads'!H$9)</f>
        <v>288.07292729161259</v>
      </c>
      <c r="K28" s="120">
        <f>J28*(1+'Escalators &amp; overheads'!I$5)*(1-'Escalators &amp; overheads'!I$9)</f>
        <v>296.96220676196003</v>
      </c>
    </row>
    <row r="29" spans="1:11" s="53" customFormat="1" ht="30">
      <c r="A29" s="269" t="str">
        <f>'ERG Service assumptions'!B31</f>
        <v>EE_32</v>
      </c>
      <c r="B29" s="270" t="str">
        <f>VLOOKUP($A29,'ERG Service assumptions'!$B:$AR,'ERG Service assumptions'!D$3,FALSE)</f>
        <v>Connection application and management services</v>
      </c>
      <c r="C29" s="270" t="str">
        <f>VLOOKUP($A29,'ERG Service assumptions'!$B:$AR,'ERG Service assumptions'!E$3,FALSE)</f>
        <v>Re-energisation</v>
      </c>
      <c r="D29" s="270" t="str">
        <f>VLOOKUP($A29,'ERG Service assumptions'!$B:$AR,'ERG Service assumptions'!F$3,FALSE)</f>
        <v>Retailer requests a re-energisation of the customer's premises where the customer has not paid their electricity account. No visual required</v>
      </c>
      <c r="E29" s="129" t="str">
        <f>VLOOKUP($A29,'ERG Service assumptions'!$B:$AR,'ERG Service assumptions'!G$3,FALSE)</f>
        <v>BUSINESS HOURS - CT</v>
      </c>
      <c r="F29" s="269" t="str">
        <f>VLOOKUP($A29,'ERG Service assumptions'!$B:$AR,'ERG Service assumptions'!H$3,FALSE)</f>
        <v>Long rural/Isolated</v>
      </c>
      <c r="G29" s="168">
        <f>VLOOKUP(A29,'ERG Service assumptions'!$B$6:$AY$315,'ERG Service assumptions'!$AY$3,FALSE)</f>
        <v>845.9340126091588</v>
      </c>
      <c r="H29" s="120">
        <f>G29*(1+'Escalators &amp; overheads'!F$5)*(1-'Escalators &amp; overheads'!F$9)</f>
        <v>873.46695674462774</v>
      </c>
      <c r="I29" s="120">
        <f>H29*(1+'Escalators &amp; overheads'!G$5)*(1-'Escalators &amp; overheads'!G$9)</f>
        <v>902.32464691444989</v>
      </c>
      <c r="J29" s="120">
        <f>I29*(1+'Escalators &amp; overheads'!H$5)*(1-'Escalators &amp; overheads'!H$9)</f>
        <v>932.37889413579978</v>
      </c>
      <c r="K29" s="120">
        <f>J29*(1+'Escalators &amp; overheads'!I$5)*(1-'Escalators &amp; overheads'!I$9)</f>
        <v>961.14999956437964</v>
      </c>
    </row>
    <row r="30" spans="1:11" ht="30">
      <c r="A30" s="269" t="str">
        <f>'ERG Service assumptions'!B32</f>
        <v>EE_33</v>
      </c>
      <c r="B30" s="270" t="str">
        <f>VLOOKUP($A30,'ERG Service assumptions'!$B:$AR,'ERG Service assumptions'!D$3,FALSE)</f>
        <v>Connection application and management services</v>
      </c>
      <c r="C30" s="270" t="str">
        <f>VLOOKUP($A30,'ERG Service assumptions'!$B:$AR,'ERG Service assumptions'!E$3,FALSE)</f>
        <v>Re-energisation</v>
      </c>
      <c r="D30" s="270" t="str">
        <f>VLOOKUP($A30,'ERG Service assumptions'!$B:$AR,'ERG Service assumptions'!F$3,FALSE)</f>
        <v>Retailer requests a re-energisation of the customer's premises where the customer has not paid their electricity account. No visual required</v>
      </c>
      <c r="E30" s="129" t="str">
        <f>VLOOKUP($A30,'ERG Service assumptions'!$B:$AR,'ERG Service assumptions'!G$3,FALSE)</f>
        <v>AFTER HOURS - NO CT</v>
      </c>
      <c r="F30" s="269" t="str">
        <f>VLOOKUP($A30,'ERG Service assumptions'!$B:$AR,'ERG Service assumptions'!H$3,FALSE)</f>
        <v>Urban/Short Rural</v>
      </c>
      <c r="G30" s="168">
        <f>VLOOKUP(A30,'ERG Service assumptions'!$B$6:$AY$315,'ERG Service assumptions'!$AY$3,FALSE)</f>
        <v>266.88715737103746</v>
      </c>
      <c r="H30" s="120">
        <f>G30*(1+'Escalators &amp; overheads'!F$5)*(1-'Escalators &amp; overheads'!F$9)</f>
        <v>275.57363774047718</v>
      </c>
      <c r="I30" s="120">
        <f>H30*(1+'Escalators &amp; overheads'!G$5)*(1-'Escalators &amp; overheads'!G$9)</f>
        <v>284.67806761670727</v>
      </c>
      <c r="J30" s="120">
        <f>I30*(1+'Escalators &amp; overheads'!H$5)*(1-'Escalators &amp; overheads'!H$9)</f>
        <v>294.16000413690062</v>
      </c>
      <c r="K30" s="120">
        <f>J30*(1+'Escalators &amp; overheads'!I$5)*(1-'Escalators &amp; overheads'!I$9)</f>
        <v>303.23711704145506</v>
      </c>
    </row>
    <row r="31" spans="1:11" ht="30">
      <c r="A31" s="269" t="str">
        <f>'ERG Service assumptions'!B33</f>
        <v>EE_34</v>
      </c>
      <c r="B31" s="270" t="str">
        <f>VLOOKUP($A31,'ERG Service assumptions'!$B:$AR,'ERG Service assumptions'!D$3,FALSE)</f>
        <v>Connection application and management services</v>
      </c>
      <c r="C31" s="270" t="str">
        <f>VLOOKUP($A31,'ERG Service assumptions'!$B:$AR,'ERG Service assumptions'!E$3,FALSE)</f>
        <v>Re-energisation</v>
      </c>
      <c r="D31" s="270" t="str">
        <f>VLOOKUP($A31,'ERG Service assumptions'!$B:$AR,'ERG Service assumptions'!F$3,FALSE)</f>
        <v>Retailer requests a re-energisation of the customer's premises where the customer has not paid their electricity account. No visual required</v>
      </c>
      <c r="E31" s="129" t="str">
        <f>VLOOKUP($A31,'ERG Service assumptions'!$B:$AR,'ERG Service assumptions'!G$3,FALSE)</f>
        <v>AFTER HOURS - NO CT</v>
      </c>
      <c r="F31" s="269" t="str">
        <f>VLOOKUP($A31,'ERG Service assumptions'!$B:$AR,'ERG Service assumptions'!H$3,FALSE)</f>
        <v>Long rural/Isolated</v>
      </c>
      <c r="G31" s="168">
        <f>VLOOKUP(A31,'ERG Service assumptions'!$B$6:$AY$315,'ERG Service assumptions'!$AY$3,FALSE)</f>
        <v>1035.3381104910936</v>
      </c>
      <c r="H31" s="120">
        <f>G31*(1+'Escalators &amp; overheads'!F$5)*(1-'Escalators &amp; overheads'!F$9)</f>
        <v>1069.035663648403</v>
      </c>
      <c r="I31" s="120">
        <f>H31*(1+'Escalators &amp; overheads'!G$5)*(1-'Escalators &amp; overheads'!G$9)</f>
        <v>1104.3545726510195</v>
      </c>
      <c r="J31" s="120">
        <f>I31*(1+'Escalators &amp; overheads'!H$5)*(1-'Escalators &amp; overheads'!H$9)</f>
        <v>1141.137947082804</v>
      </c>
      <c r="K31" s="120">
        <f>J31*(1+'Escalators &amp; overheads'!I$5)*(1-'Escalators &amp; overheads'!I$9)</f>
        <v>1176.35088507461</v>
      </c>
    </row>
    <row r="32" spans="1:11" ht="30">
      <c r="A32" s="269" t="str">
        <f>'ERG Service assumptions'!B34</f>
        <v>EE_35</v>
      </c>
      <c r="B32" s="270" t="str">
        <f>VLOOKUP($A32,'ERG Service assumptions'!$B:$AR,'ERG Service assumptions'!D$3,FALSE)</f>
        <v>Connection application and management services</v>
      </c>
      <c r="C32" s="270" t="str">
        <f>VLOOKUP($A32,'ERG Service assumptions'!$B:$AR,'ERG Service assumptions'!E$3,FALSE)</f>
        <v>Re-energisation</v>
      </c>
      <c r="D32" s="270" t="str">
        <f>VLOOKUP($A32,'ERG Service assumptions'!$B:$AR,'ERG Service assumptions'!F$3,FALSE)</f>
        <v>Retailer requests a re-energisation of the customer's premises where the customer has not paid their electricity account. No visual required</v>
      </c>
      <c r="E32" s="129" t="str">
        <f>VLOOKUP($A32,'ERG Service assumptions'!$B:$AR,'ERG Service assumptions'!G$3,FALSE)</f>
        <v>ANYTIME - NO CT</v>
      </c>
      <c r="F32" s="269" t="str">
        <f>VLOOKUP($A32,'ERG Service assumptions'!$B:$AR,'ERG Service assumptions'!H$3,FALSE)</f>
        <v>Urban/Short Rural</v>
      </c>
      <c r="G32" s="168">
        <f>VLOOKUP(A32,'ERG Service assumptions'!$B$6:$AY$315,'ERG Service assumptions'!$AY$3,FALSE)</f>
        <v>266.88715737103746</v>
      </c>
      <c r="H32" s="120">
        <f>G32*(1+'Escalators &amp; overheads'!F$5)*(1-'Escalators &amp; overheads'!F$9)</f>
        <v>275.57363774047718</v>
      </c>
      <c r="I32" s="120">
        <f>H32*(1+'Escalators &amp; overheads'!G$5)*(1-'Escalators &amp; overheads'!G$9)</f>
        <v>284.67806761670727</v>
      </c>
      <c r="J32" s="120">
        <f>I32*(1+'Escalators &amp; overheads'!H$5)*(1-'Escalators &amp; overheads'!H$9)</f>
        <v>294.16000413690062</v>
      </c>
      <c r="K32" s="120">
        <f>J32*(1+'Escalators &amp; overheads'!I$5)*(1-'Escalators &amp; overheads'!I$9)</f>
        <v>303.23711704145506</v>
      </c>
    </row>
    <row r="33" spans="1:11" ht="30">
      <c r="A33" s="269" t="str">
        <f>'ERG Service assumptions'!B35</f>
        <v>EE_36</v>
      </c>
      <c r="B33" s="270" t="str">
        <f>VLOOKUP($A33,'ERG Service assumptions'!$B:$AR,'ERG Service assumptions'!D$3,FALSE)</f>
        <v>Connection application and management services</v>
      </c>
      <c r="C33" s="270" t="str">
        <f>VLOOKUP($A33,'ERG Service assumptions'!$B:$AR,'ERG Service assumptions'!E$3,FALSE)</f>
        <v>Re-energisation</v>
      </c>
      <c r="D33" s="270" t="str">
        <f>VLOOKUP($A33,'ERG Service assumptions'!$B:$AR,'ERG Service assumptions'!F$3,FALSE)</f>
        <v>Retailer requests a re-energisation of the customer's premises where the customer has not paid their electricity account. No visual required</v>
      </c>
      <c r="E33" s="129" t="str">
        <f>VLOOKUP($A33,'ERG Service assumptions'!$B:$AR,'ERG Service assumptions'!G$3,FALSE)</f>
        <v>AFTER HOURS - CT</v>
      </c>
      <c r="F33" s="269" t="str">
        <f>VLOOKUP($A33,'ERG Service assumptions'!$B:$AR,'ERG Service assumptions'!H$3,FALSE)</f>
        <v>Urban/Short Rural</v>
      </c>
      <c r="G33" s="168">
        <f>VLOOKUP(A33,'ERG Service assumptions'!$B$6:$AY$315,'ERG Service assumptions'!$AY$3,FALSE)</f>
        <v>343.57886925926664</v>
      </c>
      <c r="H33" s="120">
        <f>G33*(1+'Escalators &amp; overheads'!F$5)*(1-'Escalators &amp; overheads'!F$9)</f>
        <v>354.76146467739596</v>
      </c>
      <c r="I33" s="120">
        <f>H33*(1+'Escalators &amp; overheads'!G$5)*(1-'Escalators &amp; overheads'!G$9)</f>
        <v>366.48211003530128</v>
      </c>
      <c r="J33" s="120">
        <f>I33*(1+'Escalators &amp; overheads'!H$5)*(1-'Escalators &amp; overheads'!H$9)</f>
        <v>378.68874095784901</v>
      </c>
      <c r="K33" s="120">
        <f>J33*(1+'Escalators &amp; overheads'!I$5)*(1-'Escalators &amp; overheads'!I$9)</f>
        <v>390.37421963957428</v>
      </c>
    </row>
    <row r="34" spans="1:11" ht="30">
      <c r="A34" s="269" t="str">
        <f>'ERG Service assumptions'!B36</f>
        <v>EE_37</v>
      </c>
      <c r="B34" s="270" t="str">
        <f>VLOOKUP($A34,'ERG Service assumptions'!$B:$AR,'ERG Service assumptions'!D$3,FALSE)</f>
        <v>Connection application and management services</v>
      </c>
      <c r="C34" s="270" t="str">
        <f>VLOOKUP($A34,'ERG Service assumptions'!$B:$AR,'ERG Service assumptions'!E$3,FALSE)</f>
        <v>Re-energisation</v>
      </c>
      <c r="D34" s="270" t="str">
        <f>VLOOKUP($A34,'ERG Service assumptions'!$B:$AR,'ERG Service assumptions'!F$3,FALSE)</f>
        <v>Retailer requests a re-energisation of the customer's premises where the customer has not paid their electricity account. No visual required</v>
      </c>
      <c r="E34" s="129" t="str">
        <f>VLOOKUP($A34,'ERG Service assumptions'!$B:$AR,'ERG Service assumptions'!G$3,FALSE)</f>
        <v>AFTER HOURS - CT</v>
      </c>
      <c r="F34" s="269" t="str">
        <f>VLOOKUP($A34,'ERG Service assumptions'!$B:$AR,'ERG Service assumptions'!H$3,FALSE)</f>
        <v>Long rural/Isolated</v>
      </c>
      <c r="G34" s="168">
        <f>VLOOKUP(A34,'ERG Service assumptions'!$B$6:$AY$315,'ERG Service assumptions'!$AY$3,FALSE)</f>
        <v>1112.0298223793229</v>
      </c>
      <c r="H34" s="120">
        <f>G34*(1+'Escalators &amp; overheads'!F$5)*(1-'Escalators &amp; overheads'!F$9)</f>
        <v>1148.223490585322</v>
      </c>
      <c r="I34" s="120">
        <f>H34*(1+'Escalators &amp; overheads'!G$5)*(1-'Escalators &amp; overheads'!G$9)</f>
        <v>1186.1586150696139</v>
      </c>
      <c r="J34" s="120">
        <f>I34*(1+'Escalators &amp; overheads'!H$5)*(1-'Escalators &amp; overheads'!H$9)</f>
        <v>1225.6666839037528</v>
      </c>
      <c r="K34" s="120">
        <f>J34*(1+'Escalators &amp; overheads'!I$5)*(1-'Escalators &amp; overheads'!I$9)</f>
        <v>1263.4879876727296</v>
      </c>
    </row>
    <row r="35" spans="1:11" ht="30">
      <c r="A35" s="269" t="str">
        <f>'ERG Service assumptions'!B37</f>
        <v>EE_38</v>
      </c>
      <c r="B35" s="270" t="str">
        <f>VLOOKUP($A35,'ERG Service assumptions'!$B:$AR,'ERG Service assumptions'!D$3,FALSE)</f>
        <v>Connection application and management services</v>
      </c>
      <c r="C35" s="270" t="str">
        <f>VLOOKUP($A35,'ERG Service assumptions'!$B:$AR,'ERG Service assumptions'!E$3,FALSE)</f>
        <v>Re-energisation</v>
      </c>
      <c r="D35" s="270" t="str">
        <f>VLOOKUP($A35,'ERG Service assumptions'!$B:$AR,'ERG Service assumptions'!F$3,FALSE)</f>
        <v>Retailer requests a re-energisation of the customer's premises where the customer has not paid their electricity account. No visual required</v>
      </c>
      <c r="E35" s="129" t="str">
        <f>VLOOKUP($A35,'ERG Service assumptions'!$B:$AR,'ERG Service assumptions'!G$3,FALSE)</f>
        <v>ANYTIME - CT</v>
      </c>
      <c r="F35" s="269" t="str">
        <f>VLOOKUP($A35,'ERG Service assumptions'!$B:$AR,'ERG Service assumptions'!H$3,FALSE)</f>
        <v>Urban/Short Rural</v>
      </c>
      <c r="G35" s="168">
        <f>VLOOKUP(A35,'ERG Service assumptions'!$B$6:$AY$315,'ERG Service assumptions'!$AY$3,FALSE)</f>
        <v>343.57886925926664</v>
      </c>
      <c r="H35" s="120">
        <f>G35*(1+'Escalators &amp; overheads'!F$5)*(1-'Escalators &amp; overheads'!F$9)</f>
        <v>354.76146467739596</v>
      </c>
      <c r="I35" s="120">
        <f>H35*(1+'Escalators &amp; overheads'!G$5)*(1-'Escalators &amp; overheads'!G$9)</f>
        <v>366.48211003530128</v>
      </c>
      <c r="J35" s="120">
        <f>I35*(1+'Escalators &amp; overheads'!H$5)*(1-'Escalators &amp; overheads'!H$9)</f>
        <v>378.68874095784901</v>
      </c>
      <c r="K35" s="120">
        <f>J35*(1+'Escalators &amp; overheads'!I$5)*(1-'Escalators &amp; overheads'!I$9)</f>
        <v>390.37421963957428</v>
      </c>
    </row>
    <row r="36" spans="1:11" ht="30">
      <c r="A36" s="269" t="str">
        <f>'ERG Service assumptions'!B38</f>
        <v>EE_39</v>
      </c>
      <c r="B36" s="270" t="str">
        <f>VLOOKUP($A36,'ERG Service assumptions'!$B:$AR,'ERG Service assumptions'!D$3,FALSE)</f>
        <v>Connection application and management services</v>
      </c>
      <c r="C36" s="270" t="str">
        <f>VLOOKUP($A36,'ERG Service assumptions'!$B:$AR,'ERG Service assumptions'!E$3,FALSE)</f>
        <v>Re-energisation</v>
      </c>
      <c r="D36" s="270" t="str">
        <f>VLOOKUP($A36,'ERG Service assumptions'!$B:$AR,'ERG Service assumptions'!F$3,FALSE)</f>
        <v>Retailer requests a re-energisation for the customer's premises following a main switch seal (no visual required)</v>
      </c>
      <c r="E36" s="129" t="str">
        <f>VLOOKUP($A36,'ERG Service assumptions'!$B:$AR,'ERG Service assumptions'!G$3,FALSE)</f>
        <v>BUSINESS HOURS</v>
      </c>
      <c r="F36" s="269" t="str">
        <f>VLOOKUP($A36,'ERG Service assumptions'!$B:$AR,'ERG Service assumptions'!H$3,FALSE)</f>
        <v>Urban/Short Rural</v>
      </c>
      <c r="G36" s="168">
        <f>VLOOKUP(A36,'ERG Service assumptions'!$B$6:$AY$315,'ERG Service assumptions'!$AY$3,FALSE)</f>
        <v>101.51208151309905</v>
      </c>
      <c r="H36" s="120">
        <f>G36*(1+'Escalators &amp; overheads'!F$5)*(1-'Escalators &amp; overheads'!F$9)</f>
        <v>104.81603480935532</v>
      </c>
      <c r="I36" s="120">
        <f>H36*(1+'Escalators &amp; overheads'!G$5)*(1-'Escalators &amp; overheads'!G$9)</f>
        <v>108.27895762973398</v>
      </c>
      <c r="J36" s="120">
        <f>I36*(1+'Escalators &amp; overheads'!H$5)*(1-'Escalators &amp; overheads'!H$9)</f>
        <v>111.88546729629597</v>
      </c>
      <c r="K36" s="120">
        <f>J36*(1+'Escalators &amp; overheads'!I$5)*(1-'Escalators &amp; overheads'!I$9)</f>
        <v>115.33799994772556</v>
      </c>
    </row>
    <row r="37" spans="1:11" ht="30">
      <c r="A37" s="269" t="str">
        <f>'ERG Service assumptions'!B39</f>
        <v>EE_40</v>
      </c>
      <c r="B37" s="270" t="str">
        <f>VLOOKUP($A37,'ERG Service assumptions'!$B:$AR,'ERG Service assumptions'!D$3,FALSE)</f>
        <v>Connection application and management services</v>
      </c>
      <c r="C37" s="270" t="str">
        <f>VLOOKUP($A37,'ERG Service assumptions'!$B:$AR,'ERG Service assumptions'!E$3,FALSE)</f>
        <v>Re-energisation</v>
      </c>
      <c r="D37" s="270" t="str">
        <f>VLOOKUP($A37,'ERG Service assumptions'!$B:$AR,'ERG Service assumptions'!F$3,FALSE)</f>
        <v>Retailer requests a re-energisation for the customer's premises following a main switch seal (no visual required)</v>
      </c>
      <c r="E37" s="129" t="str">
        <f>VLOOKUP($A37,'ERG Service assumptions'!$B:$AR,'ERG Service assumptions'!G$3,FALSE)</f>
        <v>BUSINESS HOURS</v>
      </c>
      <c r="F37" s="269" t="str">
        <f>VLOOKUP($A37,'ERG Service assumptions'!$B:$AR,'ERG Service assumptions'!H$3,FALSE)</f>
        <v>Long rural/Isolated</v>
      </c>
      <c r="G37" s="168">
        <f>VLOOKUP(A37,'ERG Service assumptions'!$B$6:$AY$315,'ERG Service assumptions'!$AY$3,FALSE)</f>
        <v>393.79686793874635</v>
      </c>
      <c r="H37" s="120">
        <f>G37*(1+'Escalators &amp; overheads'!F$5)*(1-'Escalators &amp; overheads'!F$9)</f>
        <v>406.61392813974044</v>
      </c>
      <c r="I37" s="120">
        <f>H37*(1+'Escalators &amp; overheads'!G$5)*(1-'Escalators &amp; overheads'!G$9)</f>
        <v>420.04768046017494</v>
      </c>
      <c r="J37" s="120">
        <f>I37*(1+'Escalators &amp; overheads'!H$5)*(1-'Escalators &amp; overheads'!H$9)</f>
        <v>434.03845071838953</v>
      </c>
      <c r="K37" s="120">
        <f>J37*(1+'Escalators &amp; overheads'!I$5)*(1-'Escalators &amp; overheads'!I$9)</f>
        <v>447.43189634893537</v>
      </c>
    </row>
    <row r="38" spans="1:11" ht="30">
      <c r="A38" s="269" t="str">
        <f>'ERG Service assumptions'!B40</f>
        <v>EE_41</v>
      </c>
      <c r="B38" s="270" t="str">
        <f>VLOOKUP($A38,'ERG Service assumptions'!$B:$AR,'ERG Service assumptions'!D$3,FALSE)</f>
        <v>Connection application and management services</v>
      </c>
      <c r="C38" s="270" t="str">
        <f>VLOOKUP($A38,'ERG Service assumptions'!$B:$AR,'ERG Service assumptions'!E$3,FALSE)</f>
        <v>Re-energisation</v>
      </c>
      <c r="D38" s="270" t="str">
        <f>VLOOKUP($A38,'ERG Service assumptions'!$B:$AR,'ERG Service assumptions'!F$3,FALSE)</f>
        <v>Retailer requests a re-energisation for the customer's premises following a main switch seal (no visual required)</v>
      </c>
      <c r="E38" s="129" t="str">
        <f>VLOOKUP($A38,'ERG Service assumptions'!$B:$AR,'ERG Service assumptions'!G$3,FALSE)</f>
        <v>AFTER HOURS</v>
      </c>
      <c r="F38" s="269" t="str">
        <f>VLOOKUP($A38,'ERG Service assumptions'!$B:$AR,'ERG Service assumptions'!H$3,FALSE)</f>
        <v>Urban/Short Rural</v>
      </c>
      <c r="G38" s="168">
        <f>VLOOKUP(A38,'ERG Service assumptions'!$B$6:$AY$315,'ERG Service assumptions'!$AY$3,FALSE)</f>
        <v>133.44357868551873</v>
      </c>
      <c r="H38" s="120">
        <f>G38*(1+'Escalators &amp; overheads'!F$5)*(1-'Escalators &amp; overheads'!F$9)</f>
        <v>137.78681887023859</v>
      </c>
      <c r="I38" s="120">
        <f>H38*(1+'Escalators &amp; overheads'!G$5)*(1-'Escalators &amp; overheads'!G$9)</f>
        <v>142.33903380835363</v>
      </c>
      <c r="J38" s="120">
        <f>I38*(1+'Escalators &amp; overheads'!H$5)*(1-'Escalators &amp; overheads'!H$9)</f>
        <v>147.08000206845031</v>
      </c>
      <c r="K38" s="120">
        <f>J38*(1+'Escalators &amp; overheads'!I$5)*(1-'Escalators &amp; overheads'!I$9)</f>
        <v>151.61855852072753</v>
      </c>
    </row>
    <row r="39" spans="1:11" ht="30">
      <c r="A39" s="269" t="str">
        <f>'ERG Service assumptions'!B41</f>
        <v>EE_42</v>
      </c>
      <c r="B39" s="270" t="str">
        <f>VLOOKUP($A39,'ERG Service assumptions'!$B:$AR,'ERG Service assumptions'!D$3,FALSE)</f>
        <v>Connection application and management services</v>
      </c>
      <c r="C39" s="270" t="str">
        <f>VLOOKUP($A39,'ERG Service assumptions'!$B:$AR,'ERG Service assumptions'!E$3,FALSE)</f>
        <v>Re-energisation</v>
      </c>
      <c r="D39" s="270" t="str">
        <f>VLOOKUP($A39,'ERG Service assumptions'!$B:$AR,'ERG Service assumptions'!F$3,FALSE)</f>
        <v>Retailer requests a re-energisation for the customer's premises following a main switch seal (no visual required)</v>
      </c>
      <c r="E39" s="129" t="str">
        <f>VLOOKUP($A39,'ERG Service assumptions'!$B:$AR,'ERG Service assumptions'!G$3,FALSE)</f>
        <v>AFTER HOURS</v>
      </c>
      <c r="F39" s="269" t="str">
        <f>VLOOKUP($A39,'ERG Service assumptions'!$B:$AR,'ERG Service assumptions'!H$3,FALSE)</f>
        <v>Long rural/Isolated</v>
      </c>
      <c r="G39" s="168">
        <f>VLOOKUP(A39,'ERG Service assumptions'!$B$6:$AY$315,'ERG Service assumptions'!$AY$3,FALSE)</f>
        <v>517.66905524554682</v>
      </c>
      <c r="H39" s="120">
        <f>G39*(1+'Escalators &amp; overheads'!F$5)*(1-'Escalators &amp; overheads'!F$9)</f>
        <v>534.51783182420149</v>
      </c>
      <c r="I39" s="120">
        <f>H39*(1+'Escalators &amp; overheads'!G$5)*(1-'Escalators &amp; overheads'!G$9)</f>
        <v>552.17728632550973</v>
      </c>
      <c r="J39" s="120">
        <f>I39*(1+'Escalators &amp; overheads'!H$5)*(1-'Escalators &amp; overheads'!H$9)</f>
        <v>570.56897354140199</v>
      </c>
      <c r="K39" s="120">
        <f>J39*(1+'Escalators &amp; overheads'!I$5)*(1-'Escalators &amp; overheads'!I$9)</f>
        <v>588.175442537305</v>
      </c>
    </row>
    <row r="40" spans="1:11" ht="30">
      <c r="A40" s="269" t="str">
        <f>'ERG Service assumptions'!B42</f>
        <v>EE_43</v>
      </c>
      <c r="B40" s="270" t="str">
        <f>VLOOKUP($A40,'ERG Service assumptions'!$B:$AR,'ERG Service assumptions'!D$3,FALSE)</f>
        <v>Connection application and management services</v>
      </c>
      <c r="C40" s="270" t="str">
        <f>VLOOKUP($A40,'ERG Service assumptions'!$B:$AR,'ERG Service assumptions'!E$3,FALSE)</f>
        <v>Re-energisation</v>
      </c>
      <c r="D40" s="270" t="str">
        <f>VLOOKUP($A40,'ERG Service assumptions'!$B:$AR,'ERG Service assumptions'!F$3,FALSE)</f>
        <v>Retailer requests a re-energisation for the customer's premises following a main switch seal (no visual required)</v>
      </c>
      <c r="E40" s="129" t="str">
        <f>VLOOKUP($A40,'ERG Service assumptions'!$B:$AR,'ERG Service assumptions'!G$3,FALSE)</f>
        <v>ANYTIME</v>
      </c>
      <c r="F40" s="269" t="str">
        <f>VLOOKUP($A40,'ERG Service assumptions'!$B:$AR,'ERG Service assumptions'!H$3,FALSE)</f>
        <v>Urban/Short Rural</v>
      </c>
      <c r="G40" s="168">
        <f>VLOOKUP(A40,'ERG Service assumptions'!$B$6:$AY$315,'ERG Service assumptions'!$AY$3,FALSE)</f>
        <v>133.44357868551873</v>
      </c>
      <c r="H40" s="120">
        <f>G40*(1+'Escalators &amp; overheads'!F$5)*(1-'Escalators &amp; overheads'!F$9)</f>
        <v>137.78681887023859</v>
      </c>
      <c r="I40" s="120">
        <f>H40*(1+'Escalators &amp; overheads'!G$5)*(1-'Escalators &amp; overheads'!G$9)</f>
        <v>142.33903380835363</v>
      </c>
      <c r="J40" s="120">
        <f>I40*(1+'Escalators &amp; overheads'!H$5)*(1-'Escalators &amp; overheads'!H$9)</f>
        <v>147.08000206845031</v>
      </c>
      <c r="K40" s="120">
        <f>J40*(1+'Escalators &amp; overheads'!I$5)*(1-'Escalators &amp; overheads'!I$9)</f>
        <v>151.61855852072753</v>
      </c>
    </row>
    <row r="41" spans="1:11" ht="30">
      <c r="A41" s="269" t="str">
        <f>'ERG Service assumptions'!B43</f>
        <v>EE_49</v>
      </c>
      <c r="B41" s="270" t="str">
        <f>VLOOKUP($A41,'ERG Service assumptions'!$B:$AR,'ERG Service assumptions'!D$3,FALSE)</f>
        <v>Connection application and management services</v>
      </c>
      <c r="C41" s="270" t="str">
        <f>VLOOKUP($A41,'ERG Service assumptions'!$B:$AR,'ERG Service assumptions'!E$3,FALSE)</f>
        <v>Re-energisation</v>
      </c>
      <c r="D41" s="270" t="str">
        <f>VLOOKUP($A41,'ERG Service assumptions'!$B:$AR,'ERG Service assumptions'!F$3,FALSE)</f>
        <v>Retailer requests a re-energisation for the customer's premises following a main switch seal (no visual required)</v>
      </c>
      <c r="E41" s="129" t="str">
        <f>VLOOKUP($A41,'ERG Service assumptions'!$B:$AR,'ERG Service assumptions'!G$3,FALSE)</f>
        <v>NON PAYMENT</v>
      </c>
      <c r="F41" s="269" t="str">
        <f>VLOOKUP($A41,'ERG Service assumptions'!$B:$AR,'ERG Service assumptions'!H$3,FALSE)</f>
        <v>Urban/Short Rural</v>
      </c>
      <c r="G41" s="168">
        <f>VLOOKUP(A41,'ERG Service assumptions'!$B$6:$AY$315,'ERG Service assumptions'!$AY$3,FALSE)</f>
        <v>203.0241630261981</v>
      </c>
      <c r="H41" s="120">
        <f>G41*(1+'Escalators &amp; overheads'!F$5)*(1-'Escalators &amp; overheads'!F$9)</f>
        <v>209.63206961871063</v>
      </c>
      <c r="I41" s="120">
        <f>H41*(1+'Escalators &amp; overheads'!G$5)*(1-'Escalators &amp; overheads'!G$9)</f>
        <v>216.55791525946796</v>
      </c>
      <c r="J41" s="120">
        <f>I41*(1+'Escalators &amp; overheads'!H$5)*(1-'Escalators &amp; overheads'!H$9)</f>
        <v>223.77093459259194</v>
      </c>
      <c r="K41" s="120">
        <f>J41*(1+'Escalators &amp; overheads'!I$5)*(1-'Escalators &amp; overheads'!I$9)</f>
        <v>230.67599989545113</v>
      </c>
    </row>
    <row r="42" spans="1:11" ht="30">
      <c r="A42" s="269" t="str">
        <f>'ERG Service assumptions'!B44</f>
        <v>EE_50</v>
      </c>
      <c r="B42" s="270" t="str">
        <f>VLOOKUP($A42,'ERG Service assumptions'!$B:$AR,'ERG Service assumptions'!D$3,FALSE)</f>
        <v>Connection application and management services</v>
      </c>
      <c r="C42" s="270" t="str">
        <f>VLOOKUP($A42,'ERG Service assumptions'!$B:$AR,'ERG Service assumptions'!E$3,FALSE)</f>
        <v>Re-energisation</v>
      </c>
      <c r="D42" s="270" t="str">
        <f>VLOOKUP($A42,'ERG Service assumptions'!$B:$AR,'ERG Service assumptions'!F$3,FALSE)</f>
        <v>Retailer requests a re-energisation for the customer's premises following a main switch seal (no visual required)</v>
      </c>
      <c r="E42" s="129" t="str">
        <f>VLOOKUP($A42,'ERG Service assumptions'!$B:$AR,'ERG Service assumptions'!G$3,FALSE)</f>
        <v>NON PAYMENT</v>
      </c>
      <c r="F42" s="269" t="str">
        <f>VLOOKUP($A42,'ERG Service assumptions'!$B:$AR,'ERG Service assumptions'!H$3,FALSE)</f>
        <v>Long rural/Isolated</v>
      </c>
      <c r="G42" s="168">
        <f>VLOOKUP(A42,'ERG Service assumptions'!$B$6:$AY$315,'ERG Service assumptions'!$AY$3,FALSE)</f>
        <v>787.59373587749269</v>
      </c>
      <c r="H42" s="120">
        <f>G42*(1+'Escalators &amp; overheads'!F$5)*(1-'Escalators &amp; overheads'!F$9)</f>
        <v>813.22785627948087</v>
      </c>
      <c r="I42" s="120">
        <f>H42*(1+'Escalators &amp; overheads'!G$5)*(1-'Escalators &amp; overheads'!G$9)</f>
        <v>840.09536092034989</v>
      </c>
      <c r="J42" s="120">
        <f>I42*(1+'Escalators &amp; overheads'!H$5)*(1-'Escalators &amp; overheads'!H$9)</f>
        <v>868.07690143677905</v>
      </c>
      <c r="K42" s="120">
        <f>J42*(1+'Escalators &amp; overheads'!I$5)*(1-'Escalators &amp; overheads'!I$9)</f>
        <v>894.86379269787074</v>
      </c>
    </row>
    <row r="43" spans="1:11" ht="30">
      <c r="A43" s="269" t="str">
        <f>'ERG Service assumptions'!B45</f>
        <v>EE_53</v>
      </c>
      <c r="B43" s="270" t="str">
        <f>VLOOKUP($A43,'ERG Service assumptions'!$B:$AR,'ERG Service assumptions'!D$3,FALSE)</f>
        <v>Connection application and management services</v>
      </c>
      <c r="C43" s="270" t="str">
        <f>VLOOKUP($A43,'ERG Service assumptions'!$B:$AR,'ERG Service assumptions'!E$3,FALSE)</f>
        <v>Re-energisation</v>
      </c>
      <c r="D43" s="270" t="str">
        <f>VLOOKUP($A43,'ERG Service assumptions'!$B:$AR,'ERG Service assumptions'!F$3,FALSE)</f>
        <v>Retailer or metering coordinator/provider requests a visual examination upon re-energisation (physical or remote) of the customer’s premises.</v>
      </c>
      <c r="E43" s="129" t="str">
        <f>VLOOKUP($A43,'ERG Service assumptions'!$B:$AR,'ERG Service assumptions'!G$3,FALSE)</f>
        <v>BUSINESS HOURS - NO CT</v>
      </c>
      <c r="F43" s="269" t="str">
        <f>VLOOKUP($A43,'ERG Service assumptions'!$B:$AR,'ERG Service assumptions'!H$3,FALSE)</f>
        <v>Urban/Short Rural</v>
      </c>
      <c r="G43" s="168">
        <f>VLOOKUP(A43,'ERG Service assumptions'!$B$6:$AY$315,'ERG Service assumptions'!$AY$3,FALSE)</f>
        <v>145.26728906184866</v>
      </c>
      <c r="H43" s="120">
        <f>G43*(1+'Escalators &amp; overheads'!F$5)*(1-'Escalators &amp; overheads'!F$9)</f>
        <v>149.99536015821539</v>
      </c>
      <c r="I43" s="120">
        <f>H43*(1+'Escalators &amp; overheads'!G$5)*(1-'Escalators &amp; overheads'!G$9)</f>
        <v>154.95092212530901</v>
      </c>
      <c r="J43" s="120">
        <f>I43*(1+'Escalators &amp; overheads'!H$5)*(1-'Escalators &amp; overheads'!H$9)</f>
        <v>160.1119618205615</v>
      </c>
      <c r="K43" s="120">
        <f>J43*(1+'Escalators &amp; overheads'!I$5)*(1-'Escalators &amp; overheads'!I$9)</f>
        <v>165.0526550976073</v>
      </c>
    </row>
    <row r="44" spans="1:11" ht="30">
      <c r="A44" s="269" t="str">
        <f>'ERG Service assumptions'!B46</f>
        <v>EE_54</v>
      </c>
      <c r="B44" s="270" t="str">
        <f>VLOOKUP($A44,'ERG Service assumptions'!$B:$AR,'ERG Service assumptions'!D$3,FALSE)</f>
        <v>Connection application and management services</v>
      </c>
      <c r="C44" s="270" t="str">
        <f>VLOOKUP($A44,'ERG Service assumptions'!$B:$AR,'ERG Service assumptions'!E$3,FALSE)</f>
        <v>Re-energisation</v>
      </c>
      <c r="D44" s="270" t="str">
        <f>VLOOKUP($A44,'ERG Service assumptions'!$B:$AR,'ERG Service assumptions'!F$3,FALSE)</f>
        <v>Retailer or metering coordinator/provider requests a visual examination upon re-energisation (physical or remote) of the customer’s premises.</v>
      </c>
      <c r="E44" s="129" t="str">
        <f>VLOOKUP($A44,'ERG Service assumptions'!$B:$AR,'ERG Service assumptions'!G$3,FALSE)</f>
        <v>BUSINESS HOURS - NO CT</v>
      </c>
      <c r="F44" s="269" t="str">
        <f>VLOOKUP($A44,'ERG Service assumptions'!$B:$AR,'ERG Service assumptions'!H$3,FALSE)</f>
        <v>Long rural/Isolated</v>
      </c>
      <c r="G44" s="168">
        <f>VLOOKUP(A44,'ERG Service assumptions'!$B$6:$AY$315,'ERG Service assumptions'!$AY$3,FALSE)</f>
        <v>437.55207548749593</v>
      </c>
      <c r="H44" s="120">
        <f>G44*(1+'Escalators &amp; overheads'!F$5)*(1-'Escalators &amp; overheads'!F$9)</f>
        <v>451.79325348860056</v>
      </c>
      <c r="I44" s="120">
        <f>H44*(1+'Escalators &amp; overheads'!G$5)*(1-'Escalators &amp; overheads'!G$9)</f>
        <v>466.71964495574997</v>
      </c>
      <c r="J44" s="120">
        <f>I44*(1+'Escalators &amp; overheads'!H$5)*(1-'Escalators &amp; overheads'!H$9)</f>
        <v>482.26494524265507</v>
      </c>
      <c r="K44" s="120">
        <f>J44*(1+'Escalators &amp; overheads'!I$5)*(1-'Escalators &amp; overheads'!I$9)</f>
        <v>497.14655149881708</v>
      </c>
    </row>
    <row r="45" spans="1:11" ht="30">
      <c r="A45" s="269" t="str">
        <f>'ERG Service assumptions'!B47</f>
        <v>EE_55</v>
      </c>
      <c r="B45" s="270" t="str">
        <f>VLOOKUP($A45,'ERG Service assumptions'!$B:$AR,'ERG Service assumptions'!D$3,FALSE)</f>
        <v>Connection application and management services</v>
      </c>
      <c r="C45" s="270" t="str">
        <f>VLOOKUP($A45,'ERG Service assumptions'!$B:$AR,'ERG Service assumptions'!E$3,FALSE)</f>
        <v>Re-energisation</v>
      </c>
      <c r="D45" s="270" t="str">
        <f>VLOOKUP($A45,'ERG Service assumptions'!$B:$AR,'ERG Service assumptions'!F$3,FALSE)</f>
        <v>Retailer or metering coordinator/provider requests a visual examination upon re-energisation (physical or remote) of the customer’s premises.</v>
      </c>
      <c r="E45" s="129" t="str">
        <f>VLOOKUP($A45,'ERG Service assumptions'!$B:$AR,'ERG Service assumptions'!G$3,FALSE)</f>
        <v>BUSINESS HOURS - CT</v>
      </c>
      <c r="F45" s="269" t="str">
        <f>VLOOKUP($A45,'ERG Service assumptions'!$B:$AR,'ERG Service assumptions'!H$3,FALSE)</f>
        <v>Urban/Short Rural</v>
      </c>
      <c r="G45" s="168">
        <f>VLOOKUP(A45,'ERG Service assumptions'!$B$6:$AY$315,'ERG Service assumptions'!$AY$3,FALSE)</f>
        <v>189.02249661059824</v>
      </c>
      <c r="H45" s="120">
        <f>G45*(1+'Escalators &amp; overheads'!F$5)*(1-'Escalators &amp; overheads'!F$9)</f>
        <v>195.17468550707542</v>
      </c>
      <c r="I45" s="120">
        <f>H45*(1+'Escalators &amp; overheads'!G$5)*(1-'Escalators &amp; overheads'!G$9)</f>
        <v>201.62288662088397</v>
      </c>
      <c r="J45" s="120">
        <f>I45*(1+'Escalators &amp; overheads'!H$5)*(1-'Escalators &amp; overheads'!H$9)</f>
        <v>208.33845634482699</v>
      </c>
      <c r="K45" s="120">
        <f>J45*(1+'Escalators &amp; overheads'!I$5)*(1-'Escalators &amp; overheads'!I$9)</f>
        <v>214.76731024748898</v>
      </c>
    </row>
    <row r="46" spans="1:11" ht="30">
      <c r="A46" s="269" t="str">
        <f>'ERG Service assumptions'!B48</f>
        <v>EE_56</v>
      </c>
      <c r="B46" s="270" t="str">
        <f>VLOOKUP($A46,'ERG Service assumptions'!$B:$AR,'ERG Service assumptions'!D$3,FALSE)</f>
        <v>Connection application and management services</v>
      </c>
      <c r="C46" s="270" t="str">
        <f>VLOOKUP($A46,'ERG Service assumptions'!$B:$AR,'ERG Service assumptions'!E$3,FALSE)</f>
        <v>Re-energisation</v>
      </c>
      <c r="D46" s="270" t="str">
        <f>VLOOKUP($A46,'ERG Service assumptions'!$B:$AR,'ERG Service assumptions'!F$3,FALSE)</f>
        <v>Retailer or metering coordinator/provider requests a visual examination upon re-energisation (physical or remote) of the customer’s premises.</v>
      </c>
      <c r="E46" s="129" t="str">
        <f>VLOOKUP($A46,'ERG Service assumptions'!$B:$AR,'ERG Service assumptions'!G$3,FALSE)</f>
        <v>BUSINESS HOURS - CT</v>
      </c>
      <c r="F46" s="269" t="str">
        <f>VLOOKUP($A46,'ERG Service assumptions'!$B:$AR,'ERG Service assumptions'!H$3,FALSE)</f>
        <v>Long rural/Isolated</v>
      </c>
      <c r="G46" s="168">
        <f>VLOOKUP(A46,'ERG Service assumptions'!$B$6:$AY$315,'ERG Service assumptions'!$AY$3,FALSE)</f>
        <v>481.30728303624551</v>
      </c>
      <c r="H46" s="120">
        <f>G46*(1+'Escalators &amp; overheads'!F$5)*(1-'Escalators &amp; overheads'!F$9)</f>
        <v>496.97257883746056</v>
      </c>
      <c r="I46" s="120">
        <f>H46*(1+'Escalators &amp; overheads'!G$5)*(1-'Escalators &amp; overheads'!G$9)</f>
        <v>513.39160945132494</v>
      </c>
      <c r="J46" s="120">
        <f>I46*(1+'Escalators &amp; overheads'!H$5)*(1-'Escalators &amp; overheads'!H$9)</f>
        <v>530.49143976692051</v>
      </c>
      <c r="K46" s="120">
        <f>J46*(1+'Escalators &amp; overheads'!I$5)*(1-'Escalators &amp; overheads'!I$9)</f>
        <v>546.86120664869873</v>
      </c>
    </row>
    <row r="47" spans="1:11" ht="30">
      <c r="A47" s="269" t="str">
        <f>'ERG Service assumptions'!B49</f>
        <v>EE_57</v>
      </c>
      <c r="B47" s="270" t="str">
        <f>VLOOKUP($A47,'ERG Service assumptions'!$B:$AR,'ERG Service assumptions'!D$3,FALSE)</f>
        <v>Connection application and management services</v>
      </c>
      <c r="C47" s="270" t="str">
        <f>VLOOKUP($A47,'ERG Service assumptions'!$B:$AR,'ERG Service assumptions'!E$3,FALSE)</f>
        <v>Re-energisation</v>
      </c>
      <c r="D47" s="270" t="str">
        <f>VLOOKUP($A47,'ERG Service assumptions'!$B:$AR,'ERG Service assumptions'!F$3,FALSE)</f>
        <v>Retailer or metering coordinator/provider requests a visual examination upon re-energisation (physical or remote) of the customer’s premises.</v>
      </c>
      <c r="E47" s="129" t="str">
        <f>VLOOKUP($A47,'ERG Service assumptions'!$B:$AR,'ERG Service assumptions'!G$3,FALSE)</f>
        <v>AFTER HOURS - NO CT</v>
      </c>
      <c r="F47" s="269" t="str">
        <f>VLOOKUP($A47,'ERG Service assumptions'!$B:$AR,'ERG Service assumptions'!H$3,FALSE)</f>
        <v>Urban/Short Rural</v>
      </c>
      <c r="G47" s="168">
        <f>VLOOKUP(A47,'ERG Service assumptions'!$B$6:$AY$315,'ERG Service assumptions'!$AY$3,FALSE)</f>
        <v>190.96236260169061</v>
      </c>
      <c r="H47" s="120">
        <f>G47*(1+'Escalators &amp; overheads'!F$5)*(1-'Escalators &amp; overheads'!F$9)</f>
        <v>197.17768907292768</v>
      </c>
      <c r="I47" s="120">
        <f>H47*(1+'Escalators &amp; overheads'!G$5)*(1-'Escalators &amp; overheads'!G$9)</f>
        <v>203.69206562229917</v>
      </c>
      <c r="J47" s="120">
        <f>I47*(1+'Escalators &amp; overheads'!H$5)*(1-'Escalators &amp; overheads'!H$9)</f>
        <v>210.47655468416164</v>
      </c>
      <c r="K47" s="120">
        <f>J47*(1+'Escalators &amp; overheads'!I$5)*(1-'Escalators &amp; overheads'!I$9)</f>
        <v>216.97138546931697</v>
      </c>
    </row>
    <row r="48" spans="1:11" ht="30">
      <c r="A48" s="269" t="str">
        <f>'ERG Service assumptions'!B50</f>
        <v>EE_58</v>
      </c>
      <c r="B48" s="270" t="str">
        <f>VLOOKUP($A48,'ERG Service assumptions'!$B:$AR,'ERG Service assumptions'!D$3,FALSE)</f>
        <v>Connection application and management services</v>
      </c>
      <c r="C48" s="270" t="str">
        <f>VLOOKUP($A48,'ERG Service assumptions'!$B:$AR,'ERG Service assumptions'!E$3,FALSE)</f>
        <v>Re-energisation</v>
      </c>
      <c r="D48" s="270" t="str">
        <f>VLOOKUP($A48,'ERG Service assumptions'!$B:$AR,'ERG Service assumptions'!F$3,FALSE)</f>
        <v>Retailer or metering coordinator/provider requests a visual examination upon re-energisation (physical or remote) of the customer’s premises.</v>
      </c>
      <c r="E48" s="129" t="str">
        <f>VLOOKUP($A48,'ERG Service assumptions'!$B:$AR,'ERG Service assumptions'!G$3,FALSE)</f>
        <v>AFTER HOURS - NO CT</v>
      </c>
      <c r="F48" s="269" t="str">
        <f>VLOOKUP($A48,'ERG Service assumptions'!$B:$AR,'ERG Service assumptions'!H$3,FALSE)</f>
        <v>Long rural/Isolated</v>
      </c>
      <c r="G48" s="168">
        <f>VLOOKUP(A48,'ERG Service assumptions'!$B$6:$AY$315,'ERG Service assumptions'!$AY$3,FALSE)</f>
        <v>575.18783916171867</v>
      </c>
      <c r="H48" s="120">
        <f>G48*(1+'Escalators &amp; overheads'!F$5)*(1-'Escalators &amp; overheads'!F$9)</f>
        <v>593.90870202689052</v>
      </c>
      <c r="I48" s="120">
        <f>H48*(1+'Escalators &amp; overheads'!G$5)*(1-'Escalators &amp; overheads'!G$9)</f>
        <v>613.53031813945518</v>
      </c>
      <c r="J48" s="120">
        <f>I48*(1+'Escalators &amp; overheads'!H$5)*(1-'Escalators &amp; overheads'!H$9)</f>
        <v>633.96552615711323</v>
      </c>
      <c r="K48" s="120">
        <f>J48*(1+'Escalators &amp; overheads'!I$5)*(1-'Escalators &amp; overheads'!I$9)</f>
        <v>653.52826948589438</v>
      </c>
    </row>
    <row r="49" spans="1:11" ht="30">
      <c r="A49" s="269" t="str">
        <f>'ERG Service assumptions'!B51</f>
        <v>EE_59</v>
      </c>
      <c r="B49" s="270" t="str">
        <f>VLOOKUP($A49,'ERG Service assumptions'!$B:$AR,'ERG Service assumptions'!D$3,FALSE)</f>
        <v>Connection application and management services</v>
      </c>
      <c r="C49" s="270" t="str">
        <f>VLOOKUP($A49,'ERG Service assumptions'!$B:$AR,'ERG Service assumptions'!E$3,FALSE)</f>
        <v>Re-energisation</v>
      </c>
      <c r="D49" s="270" t="str">
        <f>VLOOKUP($A49,'ERG Service assumptions'!$B:$AR,'ERG Service assumptions'!F$3,FALSE)</f>
        <v>Retailer or metering coordinator/provider requests a visual examination upon re-energisation (physical or remote) of the customer’s premises.</v>
      </c>
      <c r="E49" s="129" t="str">
        <f>VLOOKUP($A49,'ERG Service assumptions'!$B:$AR,'ERG Service assumptions'!G$3,FALSE)</f>
        <v>AFTER HOURS - CT</v>
      </c>
      <c r="F49" s="269" t="str">
        <f>VLOOKUP($A49,'ERG Service assumptions'!$B:$AR,'ERG Service assumptions'!H$3,FALSE)</f>
        <v>Urban/Short Rural</v>
      </c>
      <c r="G49" s="168">
        <f>VLOOKUP(A49,'ERG Service assumptions'!$B$6:$AY$315,'ERG Service assumptions'!$AY$3,FALSE)</f>
        <v>248.4811465178625</v>
      </c>
      <c r="H49" s="120">
        <f>G49*(1+'Escalators &amp; overheads'!F$5)*(1-'Escalators &amp; overheads'!F$9)</f>
        <v>256.56855927561679</v>
      </c>
      <c r="I49" s="120">
        <f>H49*(1+'Escalators &amp; overheads'!G$5)*(1-'Escalators &amp; overheads'!G$9)</f>
        <v>265.04509743624476</v>
      </c>
      <c r="J49" s="120">
        <f>I49*(1+'Escalators &amp; overheads'!H$5)*(1-'Escalators &amp; overheads'!H$9)</f>
        <v>273.87310729987303</v>
      </c>
      <c r="K49" s="120">
        <f>J49*(1+'Escalators &amp; overheads'!I$5)*(1-'Escalators &amp; overheads'!I$9)</f>
        <v>282.32421241790649</v>
      </c>
    </row>
    <row r="50" spans="1:11" ht="30">
      <c r="A50" s="269" t="str">
        <f>'ERG Service assumptions'!B52</f>
        <v>EE_60</v>
      </c>
      <c r="B50" s="270" t="str">
        <f>VLOOKUP($A50,'ERG Service assumptions'!$B:$AR,'ERG Service assumptions'!D$3,FALSE)</f>
        <v>Connection application and management services</v>
      </c>
      <c r="C50" s="270" t="str">
        <f>VLOOKUP($A50,'ERG Service assumptions'!$B:$AR,'ERG Service assumptions'!E$3,FALSE)</f>
        <v>Re-energisation</v>
      </c>
      <c r="D50" s="270" t="str">
        <f>VLOOKUP($A50,'ERG Service assumptions'!$B:$AR,'ERG Service assumptions'!F$3,FALSE)</f>
        <v>Retailer or metering coordinator/provider requests a visual examination upon re-energisation (physical or remote) of the customer’s premises.</v>
      </c>
      <c r="E50" s="129" t="str">
        <f>VLOOKUP($A50,'ERG Service assumptions'!$B:$AR,'ERG Service assumptions'!G$3,FALSE)</f>
        <v>AFTER HOURS - CT</v>
      </c>
      <c r="F50" s="269" t="str">
        <f>VLOOKUP($A50,'ERG Service assumptions'!$B:$AR,'ERG Service assumptions'!H$3,FALSE)</f>
        <v>Long rural/Isolated</v>
      </c>
      <c r="G50" s="168">
        <f>VLOOKUP(A50,'ERG Service assumptions'!$B$6:$AY$315,'ERG Service assumptions'!$AY$3,FALSE)</f>
        <v>632.70662307789053</v>
      </c>
      <c r="H50" s="120">
        <f>G50*(1+'Escalators &amp; overheads'!F$5)*(1-'Escalators &amp; overheads'!F$9)</f>
        <v>653.29957222957967</v>
      </c>
      <c r="I50" s="120">
        <f>H50*(1+'Escalators &amp; overheads'!G$5)*(1-'Escalators &amp; overheads'!G$9)</f>
        <v>674.88334995340085</v>
      </c>
      <c r="J50" s="120">
        <f>I50*(1+'Escalators &amp; overheads'!H$5)*(1-'Escalators &amp; overheads'!H$9)</f>
        <v>697.3620787728247</v>
      </c>
      <c r="K50" s="120">
        <f>J50*(1+'Escalators &amp; overheads'!I$5)*(1-'Escalators &amp; overheads'!I$9)</f>
        <v>718.88109643448388</v>
      </c>
    </row>
    <row r="51" spans="1:11" ht="30">
      <c r="A51" s="269" t="str">
        <f>'ERG Service assumptions'!B53</f>
        <v>EE_61</v>
      </c>
      <c r="B51" s="270" t="str">
        <f>VLOOKUP($A51,'ERG Service assumptions'!$B:$AR,'ERG Service assumptions'!D$3,FALSE)</f>
        <v>Connection application and management services</v>
      </c>
      <c r="C51" s="270" t="str">
        <f>VLOOKUP($A51,'ERG Service assumptions'!$B:$AR,'ERG Service assumptions'!E$3,FALSE)</f>
        <v>Re-energisation</v>
      </c>
      <c r="D51" s="270" t="str">
        <f>VLOOKUP($A51,'ERG Service assumptions'!$B:$AR,'ERG Service assumptions'!F$3,FALSE)</f>
        <v>Retailer or metering coordinator/provider requests a visual examination upon re-energisation (physical or remote) of the customer’s premises.</v>
      </c>
      <c r="E51" s="129" t="str">
        <f>VLOOKUP($A51,'ERG Service assumptions'!$B:$AR,'ERG Service assumptions'!G$3,FALSE)</f>
        <v>ANYTIME - NO CT</v>
      </c>
      <c r="F51" s="269" t="str">
        <f>VLOOKUP($A51,'ERG Service assumptions'!$B:$AR,'ERG Service assumptions'!H$3,FALSE)</f>
        <v>Urban/Short Rural</v>
      </c>
      <c r="G51" s="168">
        <f>VLOOKUP(A51,'ERG Service assumptions'!$B$6:$AY$315,'ERG Service assumptions'!$AY$3,FALSE)</f>
        <v>190.96236260169061</v>
      </c>
      <c r="H51" s="120">
        <f>G51*(1+'Escalators &amp; overheads'!F$5)*(1-'Escalators &amp; overheads'!F$9)</f>
        <v>197.17768907292768</v>
      </c>
      <c r="I51" s="120">
        <f>H51*(1+'Escalators &amp; overheads'!G$5)*(1-'Escalators &amp; overheads'!G$9)</f>
        <v>203.69206562229917</v>
      </c>
      <c r="J51" s="120">
        <f>I51*(1+'Escalators &amp; overheads'!H$5)*(1-'Escalators &amp; overheads'!H$9)</f>
        <v>210.47655468416164</v>
      </c>
      <c r="K51" s="120">
        <f>J51*(1+'Escalators &amp; overheads'!I$5)*(1-'Escalators &amp; overheads'!I$9)</f>
        <v>216.97138546931697</v>
      </c>
    </row>
    <row r="52" spans="1:11" ht="30">
      <c r="A52" s="269" t="str">
        <f>'ERG Service assumptions'!B54</f>
        <v>EE_62</v>
      </c>
      <c r="B52" s="270" t="str">
        <f>VLOOKUP($A52,'ERG Service assumptions'!$B:$AR,'ERG Service assumptions'!D$3,FALSE)</f>
        <v>Connection application and management services</v>
      </c>
      <c r="C52" s="270" t="str">
        <f>VLOOKUP($A52,'ERG Service assumptions'!$B:$AR,'ERG Service assumptions'!E$3,FALSE)</f>
        <v>Re-energisation</v>
      </c>
      <c r="D52" s="270" t="str">
        <f>VLOOKUP($A52,'ERG Service assumptions'!$B:$AR,'ERG Service assumptions'!F$3,FALSE)</f>
        <v>Retailer or metering coordinator/provider requests a visual examination upon re-energisation (physical or remote) of the customer’s premises.</v>
      </c>
      <c r="E52" s="129" t="str">
        <f>VLOOKUP($A52,'ERG Service assumptions'!$B:$AR,'ERG Service assumptions'!G$3,FALSE)</f>
        <v>ANYTIME - CT</v>
      </c>
      <c r="F52" s="269" t="str">
        <f>VLOOKUP($A52,'ERG Service assumptions'!$B:$AR,'ERG Service assumptions'!H$3,FALSE)</f>
        <v>Urban/Short Rural</v>
      </c>
      <c r="G52" s="168">
        <f>VLOOKUP(A52,'ERG Service assumptions'!$B$6:$AY$315,'ERG Service assumptions'!$AY$3,FALSE)</f>
        <v>248.4811465178625</v>
      </c>
      <c r="H52" s="120">
        <f>G52*(1+'Escalators &amp; overheads'!F$5)*(1-'Escalators &amp; overheads'!F$9)</f>
        <v>256.56855927561679</v>
      </c>
      <c r="I52" s="120">
        <f>H52*(1+'Escalators &amp; overheads'!G$5)*(1-'Escalators &amp; overheads'!G$9)</f>
        <v>265.04509743624476</v>
      </c>
      <c r="J52" s="120">
        <f>I52*(1+'Escalators &amp; overheads'!H$5)*(1-'Escalators &amp; overheads'!H$9)</f>
        <v>273.87310729987303</v>
      </c>
      <c r="K52" s="120">
        <f>J52*(1+'Escalators &amp; overheads'!I$5)*(1-'Escalators &amp; overheads'!I$9)</f>
        <v>282.32421241790649</v>
      </c>
    </row>
    <row r="53" spans="1:11" ht="45">
      <c r="A53" s="269" t="str">
        <f>'ERG Service assumptions'!B55</f>
        <v>EE_63</v>
      </c>
      <c r="B53" s="270" t="str">
        <f>VLOOKUP($A53,'ERG Service assumptions'!$B:$AR,'ERG Service assumptions'!D$3,FALSE)</f>
        <v>Connection application and management services</v>
      </c>
      <c r="C53" s="270" t="str">
        <f>VLOOKUP($A53,'ERG Service assumptions'!$B:$AR,'ERG Service assumptions'!E$3,FALSE)</f>
        <v>Re-energisation</v>
      </c>
      <c r="D53" s="270" t="str">
        <f>VLOOKUP($A53,'ERG Service assumptions'!$B:$AR,'ERG Service assumptions'!F$3,FALSE)</f>
        <v>Retailer or metering coordinator/provider requests a visual examination upon re-energisation (physical) of the customer’s premises where the customer has not paid their electricity account. NMI de-energised &gt; 30 days.</v>
      </c>
      <c r="E53" s="129" t="str">
        <f>VLOOKUP($A53,'ERG Service assumptions'!$B:$AR,'ERG Service assumptions'!G$3,FALSE)</f>
        <v>BUSINESS HOURS - NO CT</v>
      </c>
      <c r="F53" s="269" t="str">
        <f>VLOOKUP($A53,'ERG Service assumptions'!$B:$AR,'ERG Service assumptions'!H$3,FALSE)</f>
        <v>Urban/Short Rural</v>
      </c>
      <c r="G53" s="168">
        <f>VLOOKUP(A53,'ERG Service assumptions'!$B$6:$AY$315,'ERG Service assumptions'!$AY$3,FALSE)</f>
        <v>145.26728906184866</v>
      </c>
      <c r="H53" s="120">
        <f>G53*(1+'Escalators &amp; overheads'!F$5)*(1-'Escalators &amp; overheads'!F$9)</f>
        <v>149.99536015821539</v>
      </c>
      <c r="I53" s="120">
        <f>H53*(1+'Escalators &amp; overheads'!G$5)*(1-'Escalators &amp; overheads'!G$9)</f>
        <v>154.95092212530901</v>
      </c>
      <c r="J53" s="120">
        <f>I53*(1+'Escalators &amp; overheads'!H$5)*(1-'Escalators &amp; overheads'!H$9)</f>
        <v>160.1119618205615</v>
      </c>
      <c r="K53" s="120">
        <f>J53*(1+'Escalators &amp; overheads'!I$5)*(1-'Escalators &amp; overheads'!I$9)</f>
        <v>165.0526550976073</v>
      </c>
    </row>
    <row r="54" spans="1:11" ht="45">
      <c r="A54" s="269" t="str">
        <f>'ERG Service assumptions'!B56</f>
        <v>EE_64</v>
      </c>
      <c r="B54" s="270" t="str">
        <f>VLOOKUP($A54,'ERG Service assumptions'!$B:$AR,'ERG Service assumptions'!D$3,FALSE)</f>
        <v>Connection application and management services</v>
      </c>
      <c r="C54" s="270" t="str">
        <f>VLOOKUP($A54,'ERG Service assumptions'!$B:$AR,'ERG Service assumptions'!E$3,FALSE)</f>
        <v>Re-energisation</v>
      </c>
      <c r="D54" s="270" t="str">
        <f>VLOOKUP($A54,'ERG Service assumptions'!$B:$AR,'ERG Service assumptions'!F$3,FALSE)</f>
        <v>Retailer or metering coordinator/provider requests a visual examination upon re-energisation (physical) of the customer’s premises where the customer has not paid their electricity account. NMI de-energised &gt; 30 days.</v>
      </c>
      <c r="E54" s="129" t="str">
        <f>VLOOKUP($A54,'ERG Service assumptions'!$B:$AR,'ERG Service assumptions'!G$3,FALSE)</f>
        <v>BUSINESS HOURS - NO CT</v>
      </c>
      <c r="F54" s="269" t="str">
        <f>VLOOKUP($A54,'ERG Service assumptions'!$B:$AR,'ERG Service assumptions'!H$3,FALSE)</f>
        <v>Long rural/Isolated</v>
      </c>
      <c r="G54" s="168">
        <f>VLOOKUP(A54,'ERG Service assumptions'!$B$6:$AY$315,'ERG Service assumptions'!$AY$3,FALSE)</f>
        <v>437.55207548749593</v>
      </c>
      <c r="H54" s="120">
        <f>G54*(1+'Escalators &amp; overheads'!F$5)*(1-'Escalators &amp; overheads'!F$9)</f>
        <v>451.79325348860056</v>
      </c>
      <c r="I54" s="120">
        <f>H54*(1+'Escalators &amp; overheads'!G$5)*(1-'Escalators &amp; overheads'!G$9)</f>
        <v>466.71964495574997</v>
      </c>
      <c r="J54" s="120">
        <f>I54*(1+'Escalators &amp; overheads'!H$5)*(1-'Escalators &amp; overheads'!H$9)</f>
        <v>482.26494524265507</v>
      </c>
      <c r="K54" s="120">
        <f>J54*(1+'Escalators &amp; overheads'!I$5)*(1-'Escalators &amp; overheads'!I$9)</f>
        <v>497.14655149881708</v>
      </c>
    </row>
    <row r="55" spans="1:11" ht="45">
      <c r="A55" s="269" t="str">
        <f>'ERG Service assumptions'!B57</f>
        <v>EE_65</v>
      </c>
      <c r="B55" s="270" t="str">
        <f>VLOOKUP($A55,'ERG Service assumptions'!$B:$AR,'ERG Service assumptions'!D$3,FALSE)</f>
        <v>Connection application and management services</v>
      </c>
      <c r="C55" s="270" t="str">
        <f>VLOOKUP($A55,'ERG Service assumptions'!$B:$AR,'ERG Service assumptions'!E$3,FALSE)</f>
        <v>Re-energisation</v>
      </c>
      <c r="D55" s="270" t="str">
        <f>VLOOKUP($A55,'ERG Service assumptions'!$B:$AR,'ERG Service assumptions'!F$3,FALSE)</f>
        <v>Retailer or metering coordinator/provider requests a visual examination upon re-energisation (physical) of the customer’s premises where the customer has not paid their electricity account. NMI de-energised &gt; 30 days.</v>
      </c>
      <c r="E55" s="129" t="str">
        <f>VLOOKUP($A55,'ERG Service assumptions'!$B:$AR,'ERG Service assumptions'!G$3,FALSE)</f>
        <v>AFTER HOURS - NO CT</v>
      </c>
      <c r="F55" s="269" t="str">
        <f>VLOOKUP($A55,'ERG Service assumptions'!$B:$AR,'ERG Service assumptions'!H$3,FALSE)</f>
        <v>Urban/Short Rural</v>
      </c>
      <c r="G55" s="168">
        <f>VLOOKUP(A55,'ERG Service assumptions'!$B$6:$AY$315,'ERG Service assumptions'!$AY$3,FALSE)</f>
        <v>190.96236260169061</v>
      </c>
      <c r="H55" s="120">
        <f>G55*(1+'Escalators &amp; overheads'!F$5)*(1-'Escalators &amp; overheads'!F$9)</f>
        <v>197.17768907292768</v>
      </c>
      <c r="I55" s="120">
        <f>H55*(1+'Escalators &amp; overheads'!G$5)*(1-'Escalators &amp; overheads'!G$9)</f>
        <v>203.69206562229917</v>
      </c>
      <c r="J55" s="120">
        <f>I55*(1+'Escalators &amp; overheads'!H$5)*(1-'Escalators &amp; overheads'!H$9)</f>
        <v>210.47655468416164</v>
      </c>
      <c r="K55" s="120">
        <f>J55*(1+'Escalators &amp; overheads'!I$5)*(1-'Escalators &amp; overheads'!I$9)</f>
        <v>216.97138546931697</v>
      </c>
    </row>
    <row r="56" spans="1:11" ht="45">
      <c r="A56" s="269" t="str">
        <f>'ERG Service assumptions'!B58</f>
        <v>EE_66</v>
      </c>
      <c r="B56" s="270" t="str">
        <f>VLOOKUP($A56,'ERG Service assumptions'!$B:$AR,'ERG Service assumptions'!D$3,FALSE)</f>
        <v>Connection application and management services</v>
      </c>
      <c r="C56" s="270" t="str">
        <f>VLOOKUP($A56,'ERG Service assumptions'!$B:$AR,'ERG Service assumptions'!E$3,FALSE)</f>
        <v>Re-energisation</v>
      </c>
      <c r="D56" s="270" t="str">
        <f>VLOOKUP($A56,'ERG Service assumptions'!$B:$AR,'ERG Service assumptions'!F$3,FALSE)</f>
        <v>Retailer or metering coordinator/provider requests a visual examination upon re-energisation (physical) of the customer’s premises where the customer has not paid their electricity account. NMI de-energised &gt; 30 days.</v>
      </c>
      <c r="E56" s="129" t="str">
        <f>VLOOKUP($A56,'ERG Service assumptions'!$B:$AR,'ERG Service assumptions'!G$3,FALSE)</f>
        <v>AFTER HOURS - NO CT</v>
      </c>
      <c r="F56" s="269" t="str">
        <f>VLOOKUP($A56,'ERG Service assumptions'!$B:$AR,'ERG Service assumptions'!H$3,FALSE)</f>
        <v>Long rural/Isolated</v>
      </c>
      <c r="G56" s="168">
        <f>VLOOKUP(A56,'ERG Service assumptions'!$B$6:$AY$315,'ERG Service assumptions'!$AY$3,FALSE)</f>
        <v>575.18783916171867</v>
      </c>
      <c r="H56" s="120">
        <f>G56*(1+'Escalators &amp; overheads'!F$5)*(1-'Escalators &amp; overheads'!F$9)</f>
        <v>593.90870202689052</v>
      </c>
      <c r="I56" s="120">
        <f>H56*(1+'Escalators &amp; overheads'!G$5)*(1-'Escalators &amp; overheads'!G$9)</f>
        <v>613.53031813945518</v>
      </c>
      <c r="J56" s="120">
        <f>I56*(1+'Escalators &amp; overheads'!H$5)*(1-'Escalators &amp; overheads'!H$9)</f>
        <v>633.96552615711323</v>
      </c>
      <c r="K56" s="120">
        <f>J56*(1+'Escalators &amp; overheads'!I$5)*(1-'Escalators &amp; overheads'!I$9)</f>
        <v>653.52826948589438</v>
      </c>
    </row>
    <row r="57" spans="1:11" ht="45">
      <c r="A57" s="269" t="str">
        <f>'ERG Service assumptions'!B59</f>
        <v>EE_67</v>
      </c>
      <c r="B57" s="270" t="str">
        <f>VLOOKUP($A57,'ERG Service assumptions'!$B:$AR,'ERG Service assumptions'!D$3,FALSE)</f>
        <v>Connection application and management services</v>
      </c>
      <c r="C57" s="270" t="str">
        <f>VLOOKUP($A57,'ERG Service assumptions'!$B:$AR,'ERG Service assumptions'!E$3,FALSE)</f>
        <v>Re-energisation</v>
      </c>
      <c r="D57" s="270" t="str">
        <f>VLOOKUP($A57,'ERG Service assumptions'!$B:$AR,'ERG Service assumptions'!F$3,FALSE)</f>
        <v>Retailer or metering coordinator/provider requests a visual examination upon re-energisation (physical) of the customer’s premises where the customer has not paid their electricity account. NMI de-energised &gt; 30 days.</v>
      </c>
      <c r="E57" s="129" t="str">
        <f>VLOOKUP($A57,'ERG Service assumptions'!$B:$AR,'ERG Service assumptions'!G$3,FALSE)</f>
        <v>ANYTIME - NO CT</v>
      </c>
      <c r="F57" s="269" t="str">
        <f>VLOOKUP($A57,'ERG Service assumptions'!$B:$AR,'ERG Service assumptions'!H$3,FALSE)</f>
        <v>Urban/Short Rural</v>
      </c>
      <c r="G57" s="168">
        <f>VLOOKUP(A57,'ERG Service assumptions'!$B$6:$AY$315,'ERG Service assumptions'!$AY$3,FALSE)</f>
        <v>190.96236260169061</v>
      </c>
      <c r="H57" s="120">
        <f>G57*(1+'Escalators &amp; overheads'!F$5)*(1-'Escalators &amp; overheads'!F$9)</f>
        <v>197.17768907292768</v>
      </c>
      <c r="I57" s="120">
        <f>H57*(1+'Escalators &amp; overheads'!G$5)*(1-'Escalators &amp; overheads'!G$9)</f>
        <v>203.69206562229917</v>
      </c>
      <c r="J57" s="120">
        <f>I57*(1+'Escalators &amp; overheads'!H$5)*(1-'Escalators &amp; overheads'!H$9)</f>
        <v>210.47655468416164</v>
      </c>
      <c r="K57" s="120">
        <f>J57*(1+'Escalators &amp; overheads'!I$5)*(1-'Escalators &amp; overheads'!I$9)</f>
        <v>216.97138546931697</v>
      </c>
    </row>
    <row r="58" spans="1:11" ht="45">
      <c r="A58" s="269" t="str">
        <f>'ERG Service assumptions'!B60</f>
        <v>EE_68</v>
      </c>
      <c r="B58" s="270" t="str">
        <f>VLOOKUP($A58,'ERG Service assumptions'!$B:$AR,'ERG Service assumptions'!D$3,FALSE)</f>
        <v>Connection application and management services</v>
      </c>
      <c r="C58" s="270" t="str">
        <f>VLOOKUP($A58,'ERG Service assumptions'!$B:$AR,'ERG Service assumptions'!E$3,FALSE)</f>
        <v>Re-energisation</v>
      </c>
      <c r="D58" s="270" t="str">
        <f>VLOOKUP($A58,'ERG Service assumptions'!$B:$AR,'ERG Service assumptions'!F$3,FALSE)</f>
        <v>Retailer or metering coordinator/provider requests a visual examination upon re-energisation (physical) of the customer’s premises where the customer has not paid their electricity account. NMI de-energised &gt; 30 days.</v>
      </c>
      <c r="E58" s="129" t="str">
        <f>VLOOKUP($A58,'ERG Service assumptions'!$B:$AR,'ERG Service assumptions'!G$3,FALSE)</f>
        <v>BUSINESS HOURS - CT</v>
      </c>
      <c r="F58" s="269" t="str">
        <f>VLOOKUP($A58,'ERG Service assumptions'!$B:$AR,'ERG Service assumptions'!H$3,FALSE)</f>
        <v>Urban/Short Rural</v>
      </c>
      <c r="G58" s="168">
        <f>VLOOKUP(A58,'ERG Service assumptions'!$B$6:$AY$315,'ERG Service assumptions'!$AY$3,FALSE)</f>
        <v>189.02249661059824</v>
      </c>
      <c r="H58" s="120">
        <f>G58*(1+'Escalators &amp; overheads'!F$5)*(1-'Escalators &amp; overheads'!F$9)</f>
        <v>195.17468550707542</v>
      </c>
      <c r="I58" s="120">
        <f>H58*(1+'Escalators &amp; overheads'!G$5)*(1-'Escalators &amp; overheads'!G$9)</f>
        <v>201.62288662088397</v>
      </c>
      <c r="J58" s="120">
        <f>I58*(1+'Escalators &amp; overheads'!H$5)*(1-'Escalators &amp; overheads'!H$9)</f>
        <v>208.33845634482699</v>
      </c>
      <c r="K58" s="120">
        <f>J58*(1+'Escalators &amp; overheads'!I$5)*(1-'Escalators &amp; overheads'!I$9)</f>
        <v>214.76731024748898</v>
      </c>
    </row>
    <row r="59" spans="1:11" ht="45">
      <c r="A59" s="269" t="str">
        <f>'ERG Service assumptions'!B61</f>
        <v>EE_69</v>
      </c>
      <c r="B59" s="270" t="str">
        <f>VLOOKUP($A59,'ERG Service assumptions'!$B:$AR,'ERG Service assumptions'!D$3,FALSE)</f>
        <v>Connection application and management services</v>
      </c>
      <c r="C59" s="270" t="str">
        <f>VLOOKUP($A59,'ERG Service assumptions'!$B:$AR,'ERG Service assumptions'!E$3,FALSE)</f>
        <v>Re-energisation</v>
      </c>
      <c r="D59" s="270" t="str">
        <f>VLOOKUP($A59,'ERG Service assumptions'!$B:$AR,'ERG Service assumptions'!F$3,FALSE)</f>
        <v>Retailer or metering coordinator/provider requests a visual examination upon re-energisation (physical) of the customer’s premises where the customer has not paid their electricity account. NMI de-energised &gt; 30 days.</v>
      </c>
      <c r="E59" s="129" t="str">
        <f>VLOOKUP($A59,'ERG Service assumptions'!$B:$AR,'ERG Service assumptions'!G$3,FALSE)</f>
        <v>BUSINESS HOURS - CT</v>
      </c>
      <c r="F59" s="269" t="str">
        <f>VLOOKUP($A59,'ERG Service assumptions'!$B:$AR,'ERG Service assumptions'!H$3,FALSE)</f>
        <v>Long rural/Isolated</v>
      </c>
      <c r="G59" s="168">
        <f>VLOOKUP(A59,'ERG Service assumptions'!$B$6:$AY$315,'ERG Service assumptions'!$AY$3,FALSE)</f>
        <v>481.30728303624551</v>
      </c>
      <c r="H59" s="120">
        <f>G59*(1+'Escalators &amp; overheads'!F$5)*(1-'Escalators &amp; overheads'!F$9)</f>
        <v>496.97257883746056</v>
      </c>
      <c r="I59" s="120">
        <f>H59*(1+'Escalators &amp; overheads'!G$5)*(1-'Escalators &amp; overheads'!G$9)</f>
        <v>513.39160945132494</v>
      </c>
      <c r="J59" s="120">
        <f>I59*(1+'Escalators &amp; overheads'!H$5)*(1-'Escalators &amp; overheads'!H$9)</f>
        <v>530.49143976692051</v>
      </c>
      <c r="K59" s="120">
        <f>J59*(1+'Escalators &amp; overheads'!I$5)*(1-'Escalators &amp; overheads'!I$9)</f>
        <v>546.86120664869873</v>
      </c>
    </row>
    <row r="60" spans="1:11" ht="45">
      <c r="A60" s="269" t="str">
        <f>'ERG Service assumptions'!B62</f>
        <v>EE_70</v>
      </c>
      <c r="B60" s="270" t="str">
        <f>VLOOKUP($A60,'ERG Service assumptions'!$B:$AR,'ERG Service assumptions'!D$3,FALSE)</f>
        <v>Connection application and management services</v>
      </c>
      <c r="C60" s="270" t="str">
        <f>VLOOKUP($A60,'ERG Service assumptions'!$B:$AR,'ERG Service assumptions'!E$3,FALSE)</f>
        <v>Re-energisation</v>
      </c>
      <c r="D60" s="270" t="str">
        <f>VLOOKUP($A60,'ERG Service assumptions'!$B:$AR,'ERG Service assumptions'!F$3,FALSE)</f>
        <v>Retailer or metering coordinator/provider requests a visual examination upon re-energisation (physical) of the customer’s premises where the customer has not paid their electricity account. NMI de-energised &gt; 30 days.</v>
      </c>
      <c r="E60" s="129" t="str">
        <f>VLOOKUP($A60,'ERG Service assumptions'!$B:$AR,'ERG Service assumptions'!G$3,FALSE)</f>
        <v>AFTER HOURS - CT</v>
      </c>
      <c r="F60" s="269" t="str">
        <f>VLOOKUP($A60,'ERG Service assumptions'!$B:$AR,'ERG Service assumptions'!H$3,FALSE)</f>
        <v>Urban/Short Rural</v>
      </c>
      <c r="G60" s="168">
        <f>VLOOKUP(A60,'ERG Service assumptions'!$B$6:$AY$315,'ERG Service assumptions'!$AY$3,FALSE)</f>
        <v>248.4811465178625</v>
      </c>
      <c r="H60" s="120">
        <f>G60*(1+'Escalators &amp; overheads'!F$5)*(1-'Escalators &amp; overheads'!F$9)</f>
        <v>256.56855927561679</v>
      </c>
      <c r="I60" s="120">
        <f>H60*(1+'Escalators &amp; overheads'!G$5)*(1-'Escalators &amp; overheads'!G$9)</f>
        <v>265.04509743624476</v>
      </c>
      <c r="J60" s="120">
        <f>I60*(1+'Escalators &amp; overheads'!H$5)*(1-'Escalators &amp; overheads'!H$9)</f>
        <v>273.87310729987303</v>
      </c>
      <c r="K60" s="120">
        <f>J60*(1+'Escalators &amp; overheads'!I$5)*(1-'Escalators &amp; overheads'!I$9)</f>
        <v>282.32421241790649</v>
      </c>
    </row>
    <row r="61" spans="1:11" ht="45">
      <c r="A61" s="269" t="str">
        <f>'ERG Service assumptions'!B63</f>
        <v>EE_71</v>
      </c>
      <c r="B61" s="270" t="str">
        <f>VLOOKUP($A61,'ERG Service assumptions'!$B:$AR,'ERG Service assumptions'!D$3,FALSE)</f>
        <v>Connection application and management services</v>
      </c>
      <c r="C61" s="270" t="str">
        <f>VLOOKUP($A61,'ERG Service assumptions'!$B:$AR,'ERG Service assumptions'!E$3,FALSE)</f>
        <v>Re-energisation</v>
      </c>
      <c r="D61" s="270" t="str">
        <f>VLOOKUP($A61,'ERG Service assumptions'!$B:$AR,'ERG Service assumptions'!F$3,FALSE)</f>
        <v>Retailer or metering coordinator/provider requests a visual examination upon re-energisation (physical) of the customer’s premises where the customer has not paid their electricity account. NMI de-energised &gt; 30 days.</v>
      </c>
      <c r="E61" s="129" t="str">
        <f>VLOOKUP($A61,'ERG Service assumptions'!$B:$AR,'ERG Service assumptions'!G$3,FALSE)</f>
        <v>AFTER HOURS - CT</v>
      </c>
      <c r="F61" s="269" t="str">
        <f>VLOOKUP($A61,'ERG Service assumptions'!$B:$AR,'ERG Service assumptions'!H$3,FALSE)</f>
        <v>Long rural/Isolated</v>
      </c>
      <c r="G61" s="168">
        <f>VLOOKUP(A61,'ERG Service assumptions'!$B$6:$AY$315,'ERG Service assumptions'!$AY$3,FALSE)</f>
        <v>632.70662307789053</v>
      </c>
      <c r="H61" s="120">
        <f>G61*(1+'Escalators &amp; overheads'!F$5)*(1-'Escalators &amp; overheads'!F$9)</f>
        <v>653.29957222957967</v>
      </c>
      <c r="I61" s="120">
        <f>H61*(1+'Escalators &amp; overheads'!G$5)*(1-'Escalators &amp; overheads'!G$9)</f>
        <v>674.88334995340085</v>
      </c>
      <c r="J61" s="120">
        <f>I61*(1+'Escalators &amp; overheads'!H$5)*(1-'Escalators &amp; overheads'!H$9)</f>
        <v>697.3620787728247</v>
      </c>
      <c r="K61" s="120">
        <f>J61*(1+'Escalators &amp; overheads'!I$5)*(1-'Escalators &amp; overheads'!I$9)</f>
        <v>718.88109643448388</v>
      </c>
    </row>
    <row r="62" spans="1:11" ht="45">
      <c r="A62" s="269" t="str">
        <f>'ERG Service assumptions'!B64</f>
        <v>EE_72</v>
      </c>
      <c r="B62" s="270" t="str">
        <f>VLOOKUP($A62,'ERG Service assumptions'!$B:$AR,'ERG Service assumptions'!D$3,FALSE)</f>
        <v>Connection application and management services</v>
      </c>
      <c r="C62" s="270" t="str">
        <f>VLOOKUP($A62,'ERG Service assumptions'!$B:$AR,'ERG Service assumptions'!E$3,FALSE)</f>
        <v>Re-energisation</v>
      </c>
      <c r="D62" s="270" t="str">
        <f>VLOOKUP($A62,'ERG Service assumptions'!$B:$AR,'ERG Service assumptions'!F$3,FALSE)</f>
        <v>Retailer or metering coordinator/provider requests a visual examination upon re-energisation (physical) of the customer’s premises where the customer has not paid their electricity account. NMI de-energised &gt; 30 days.</v>
      </c>
      <c r="E62" s="129" t="str">
        <f>VLOOKUP($A62,'ERG Service assumptions'!$B:$AR,'ERG Service assumptions'!G$3,FALSE)</f>
        <v>ANYTIME - CT</v>
      </c>
      <c r="F62" s="269" t="str">
        <f>VLOOKUP($A62,'ERG Service assumptions'!$B:$AR,'ERG Service assumptions'!H$3,FALSE)</f>
        <v>Urban/Short Rural</v>
      </c>
      <c r="G62" s="168">
        <f>VLOOKUP(A62,'ERG Service assumptions'!$B$6:$AY$315,'ERG Service assumptions'!$AY$3,FALSE)</f>
        <v>248.4811465178625</v>
      </c>
      <c r="H62" s="120">
        <f>G62*(1+'Escalators &amp; overheads'!F$5)*(1-'Escalators &amp; overheads'!F$9)</f>
        <v>256.56855927561679</v>
      </c>
      <c r="I62" s="120">
        <f>H62*(1+'Escalators &amp; overheads'!G$5)*(1-'Escalators &amp; overheads'!G$9)</f>
        <v>265.04509743624476</v>
      </c>
      <c r="J62" s="120">
        <f>I62*(1+'Escalators &amp; overheads'!H$5)*(1-'Escalators &amp; overheads'!H$9)</f>
        <v>273.87310729987303</v>
      </c>
      <c r="K62" s="120">
        <f>J62*(1+'Escalators &amp; overheads'!I$5)*(1-'Escalators &amp; overheads'!I$9)</f>
        <v>282.32421241790649</v>
      </c>
    </row>
    <row r="63" spans="1:11" ht="30">
      <c r="A63" s="269" t="str">
        <f>'ERG Service assumptions'!B65</f>
        <v>EE_73</v>
      </c>
      <c r="B63" s="270" t="str">
        <f>VLOOKUP($A63,'ERG Service assumptions'!$B:$AR,'ERG Service assumptions'!D$3,FALSE)</f>
        <v>Connection application and management services</v>
      </c>
      <c r="C63" s="270" t="str">
        <f>VLOOKUP($A63,'ERG Service assumptions'!$B:$AR,'ERG Service assumptions'!E$3,FALSE)</f>
        <v>Re-energisation</v>
      </c>
      <c r="D63" s="270" t="str">
        <f>VLOOKUP($A63,'ERG Service assumptions'!$B:$AR,'ERG Service assumptions'!F$3,FALSE)</f>
        <v>Retailer or third party requested remote re-energisation via the meter after remote de-energisation non payment (PoC Exempt locations only)</v>
      </c>
      <c r="E63" s="129" t="str">
        <f>VLOOKUP($A63,'ERG Service assumptions'!$B:$AR,'ERG Service assumptions'!G$3,FALSE)</f>
        <v>BUSINESS HOURS</v>
      </c>
      <c r="F63" s="269" t="str">
        <f>VLOOKUP($A63,'ERG Service assumptions'!$B:$AR,'ERG Service assumptions'!H$3,FALSE)</f>
        <v>N/A</v>
      </c>
      <c r="G63" s="168">
        <f>VLOOKUP(A63,'ERG Service assumptions'!$B$6:$AY$315,'ERG Service assumptions'!$AY$3,FALSE)</f>
        <v>94.785984076463563</v>
      </c>
      <c r="H63" s="120">
        <f>G63*(1+'Escalators &amp; overheads'!F$5)*(1-'Escalators &amp; overheads'!F$9)</f>
        <v>97.871020456964871</v>
      </c>
      <c r="I63" s="120">
        <f>H63*(1+'Escalators &amp; overheads'!G$5)*(1-'Escalators &amp; overheads'!G$9)</f>
        <v>101.10449318669191</v>
      </c>
      <c r="J63" s="120">
        <f>I63*(1+'Escalators &amp; overheads'!H$5)*(1-'Escalators &amp; overheads'!H$9)</f>
        <v>104.47203882984026</v>
      </c>
      <c r="K63" s="120">
        <f>J63*(1+'Escalators &amp; overheads'!I$5)*(1-'Escalators &amp; overheads'!I$9)</f>
        <v>107.69580983368523</v>
      </c>
    </row>
    <row r="64" spans="1:11" ht="30">
      <c r="A64" s="269" t="str">
        <f>'ERG Service assumptions'!B66</f>
        <v>EE_74</v>
      </c>
      <c r="B64" s="270" t="str">
        <f>VLOOKUP($A64,'ERG Service assumptions'!$B:$AR,'ERG Service assumptions'!D$3,FALSE)</f>
        <v>Connection application and management services</v>
      </c>
      <c r="C64" s="270" t="str">
        <f>VLOOKUP($A64,'ERG Service assumptions'!$B:$AR,'ERG Service assumptions'!E$3,FALSE)</f>
        <v>Re-energisation</v>
      </c>
      <c r="D64" s="270" t="str">
        <f>VLOOKUP($A64,'ERG Service assumptions'!$B:$AR,'ERG Service assumptions'!F$3,FALSE)</f>
        <v>Retailer or third party requested remote re-energisation via the meter after remote de-energisation non payment (PoC Exempt locations only)</v>
      </c>
      <c r="E64" s="129" t="str">
        <f>VLOOKUP($A64,'ERG Service assumptions'!$B:$AR,'ERG Service assumptions'!G$3,FALSE)</f>
        <v>AFTER HOURS</v>
      </c>
      <c r="F64" s="269" t="str">
        <f>VLOOKUP($A64,'ERG Service assumptions'!$B:$AR,'ERG Service assumptions'!H$3,FALSE)</f>
        <v>N/A</v>
      </c>
      <c r="G64" s="168">
        <f>VLOOKUP(A64,'ERG Service assumptions'!$B$6:$AY$315,'ERG Service assumptions'!$AY$3,FALSE)</f>
        <v>119.33433242816804</v>
      </c>
      <c r="H64" s="120">
        <f>G64*(1+'Escalators &amp; overheads'!F$5)*(1-'Escalators &amp; overheads'!F$9)</f>
        <v>123.21835347379806</v>
      </c>
      <c r="I64" s="120">
        <f>H64*(1+'Escalators &amp; overheads'!G$5)*(1-'Escalators &amp; overheads'!G$9)</f>
        <v>127.28925397017721</v>
      </c>
      <c r="J64" s="120">
        <f>I64*(1+'Escalators &amp; overheads'!H$5)*(1-'Escalators &amp; overheads'!H$9)</f>
        <v>131.52895053673194</v>
      </c>
      <c r="K64" s="120">
        <f>J64*(1+'Escalators &amp; overheads'!I$5)*(1-'Escalators &amp; overheads'!I$9)</f>
        <v>135.58763668525347</v>
      </c>
    </row>
    <row r="65" spans="1:11" ht="30">
      <c r="A65" s="269" t="str">
        <f>'ERG Service assumptions'!B67</f>
        <v>EE_75</v>
      </c>
      <c r="B65" s="270" t="str">
        <f>VLOOKUP($A65,'ERG Service assumptions'!$B:$AR,'ERG Service assumptions'!D$3,FALSE)</f>
        <v>Connection application and management services</v>
      </c>
      <c r="C65" s="270" t="str">
        <f>VLOOKUP($A65,'ERG Service assumptions'!$B:$AR,'ERG Service assumptions'!E$3,FALSE)</f>
        <v>Re-energisation</v>
      </c>
      <c r="D65" s="270" t="str">
        <f>VLOOKUP($A65,'ERG Service assumptions'!$B:$AR,'ERG Service assumptions'!F$3,FALSE)</f>
        <v>Retailer or third party requested remote re-energisation via the meter after remote de-energisation non payment (PoC Exempt locations only)</v>
      </c>
      <c r="E65" s="129" t="str">
        <f>VLOOKUP($A65,'ERG Service assumptions'!$B:$AR,'ERG Service assumptions'!G$3,FALSE)</f>
        <v>ANYTIME</v>
      </c>
      <c r="F65" s="269" t="str">
        <f>VLOOKUP($A65,'ERG Service assumptions'!$B:$AR,'ERG Service assumptions'!H$3,FALSE)</f>
        <v>N/A</v>
      </c>
      <c r="G65" s="168">
        <f>VLOOKUP(A65,'ERG Service assumptions'!$B$6:$AY$315,'ERG Service assumptions'!$AY$3,FALSE)</f>
        <v>119.33433242816804</v>
      </c>
      <c r="H65" s="120">
        <f>G65*(1+'Escalators &amp; overheads'!F$5)*(1-'Escalators &amp; overheads'!F$9)</f>
        <v>123.21835347379806</v>
      </c>
      <c r="I65" s="120">
        <f>H65*(1+'Escalators &amp; overheads'!G$5)*(1-'Escalators &amp; overheads'!G$9)</f>
        <v>127.28925397017721</v>
      </c>
      <c r="J65" s="120">
        <f>I65*(1+'Escalators &amp; overheads'!H$5)*(1-'Escalators &amp; overheads'!H$9)</f>
        <v>131.52895053673194</v>
      </c>
      <c r="K65" s="120">
        <f>J65*(1+'Escalators &amp; overheads'!I$5)*(1-'Escalators &amp; overheads'!I$9)</f>
        <v>135.58763668525347</v>
      </c>
    </row>
    <row r="66" spans="1:11" ht="30">
      <c r="A66" s="269" t="str">
        <f>'ERG Service assumptions'!B68</f>
        <v>EE_76</v>
      </c>
      <c r="B66" s="270" t="str">
        <f>VLOOKUP($A66,'ERG Service assumptions'!$B:$AR,'ERG Service assumptions'!D$3,FALSE)</f>
        <v>Connection application and management services</v>
      </c>
      <c r="C66" s="270" t="str">
        <f>VLOOKUP($A66,'ERG Service assumptions'!$B:$AR,'ERG Service assumptions'!E$3,FALSE)</f>
        <v>Re-energisation</v>
      </c>
      <c r="D66" s="270" t="str">
        <f>VLOOKUP($A66,'ERG Service assumptions'!$B:$AR,'ERG Service assumptions'!F$3,FALSE)</f>
        <v>Retailer or third party requested remote re-energisation via the meter after remote de-energisation (PoC Exempt locations only)</v>
      </c>
      <c r="E66" s="129" t="str">
        <f>VLOOKUP($A66,'ERG Service assumptions'!$B:$AR,'ERG Service assumptions'!G$3,FALSE)</f>
        <v>BUSINESS HOURS</v>
      </c>
      <c r="F66" s="269" t="str">
        <f>VLOOKUP($A66,'ERG Service assumptions'!$B:$AR,'ERG Service assumptions'!H$3,FALSE)</f>
        <v>N/A</v>
      </c>
      <c r="G66" s="168">
        <f>VLOOKUP(A66,'ERG Service assumptions'!$B$6:$AY$315,'ERG Service assumptions'!$AY$3,FALSE)</f>
        <v>94.785984076463563</v>
      </c>
      <c r="H66" s="120">
        <f>G66*(1+'Escalators &amp; overheads'!F$5)*(1-'Escalators &amp; overheads'!F$9)</f>
        <v>97.871020456964871</v>
      </c>
      <c r="I66" s="120">
        <f>H66*(1+'Escalators &amp; overheads'!G$5)*(1-'Escalators &amp; overheads'!G$9)</f>
        <v>101.10449318669191</v>
      </c>
      <c r="J66" s="120">
        <f>I66*(1+'Escalators &amp; overheads'!H$5)*(1-'Escalators &amp; overheads'!H$9)</f>
        <v>104.47203882984026</v>
      </c>
      <c r="K66" s="120">
        <f>J66*(1+'Escalators &amp; overheads'!I$5)*(1-'Escalators &amp; overheads'!I$9)</f>
        <v>107.69580983368523</v>
      </c>
    </row>
    <row r="67" spans="1:11" ht="30">
      <c r="A67" s="269" t="str">
        <f>'ERG Service assumptions'!B69</f>
        <v>EE_77</v>
      </c>
      <c r="B67" s="270" t="str">
        <f>VLOOKUP($A67,'ERG Service assumptions'!$B:$AR,'ERG Service assumptions'!D$3,FALSE)</f>
        <v>Connection application and management services</v>
      </c>
      <c r="C67" s="270" t="str">
        <f>VLOOKUP($A67,'ERG Service assumptions'!$B:$AR,'ERG Service assumptions'!E$3,FALSE)</f>
        <v>Re-energisation</v>
      </c>
      <c r="D67" s="270" t="str">
        <f>VLOOKUP($A67,'ERG Service assumptions'!$B:$AR,'ERG Service assumptions'!F$3,FALSE)</f>
        <v>Retailer or third party requested remote re-energisation via the meter after remote de-energisation (PoC Exempt locations only)</v>
      </c>
      <c r="E67" s="129" t="str">
        <f>VLOOKUP($A67,'ERG Service assumptions'!$B:$AR,'ERG Service assumptions'!G$3,FALSE)</f>
        <v>AFTER HOURS</v>
      </c>
      <c r="F67" s="269" t="str">
        <f>VLOOKUP($A67,'ERG Service assumptions'!$B:$AR,'ERG Service assumptions'!H$3,FALSE)</f>
        <v>N/A</v>
      </c>
      <c r="G67" s="168">
        <f>VLOOKUP(A67,'ERG Service assumptions'!$B$6:$AY$315,'ERG Service assumptions'!$AY$3,FALSE)</f>
        <v>119.33433242816804</v>
      </c>
      <c r="H67" s="120">
        <f>G67*(1+'Escalators &amp; overheads'!F$5)*(1-'Escalators &amp; overheads'!F$9)</f>
        <v>123.21835347379806</v>
      </c>
      <c r="I67" s="120">
        <f>H67*(1+'Escalators &amp; overheads'!G$5)*(1-'Escalators &amp; overheads'!G$9)</f>
        <v>127.28925397017721</v>
      </c>
      <c r="J67" s="120">
        <f>I67*(1+'Escalators &amp; overheads'!H$5)*(1-'Escalators &amp; overheads'!H$9)</f>
        <v>131.52895053673194</v>
      </c>
      <c r="K67" s="120">
        <f>J67*(1+'Escalators &amp; overheads'!I$5)*(1-'Escalators &amp; overheads'!I$9)</f>
        <v>135.58763668525347</v>
      </c>
    </row>
    <row r="68" spans="1:11" ht="30">
      <c r="A68" s="269" t="str">
        <f>'ERG Service assumptions'!B70</f>
        <v>EE_78</v>
      </c>
      <c r="B68" s="270" t="str">
        <f>VLOOKUP($A68,'ERG Service assumptions'!$B:$AR,'ERG Service assumptions'!D$3,FALSE)</f>
        <v>Connection application and management services</v>
      </c>
      <c r="C68" s="270" t="str">
        <f>VLOOKUP($A68,'ERG Service assumptions'!$B:$AR,'ERG Service assumptions'!E$3,FALSE)</f>
        <v>Re-energisation</v>
      </c>
      <c r="D68" s="270" t="str">
        <f>VLOOKUP($A68,'ERG Service assumptions'!$B:$AR,'ERG Service assumptions'!F$3,FALSE)</f>
        <v>Retailer or third party requested remote re-energisation via the meter after remote de-energisation (PoC Exempt locations only)</v>
      </c>
      <c r="E68" s="129" t="str">
        <f>VLOOKUP($A68,'ERG Service assumptions'!$B:$AR,'ERG Service assumptions'!G$3,FALSE)</f>
        <v>ANYTIME</v>
      </c>
      <c r="F68" s="269" t="str">
        <f>VLOOKUP($A68,'ERG Service assumptions'!$B:$AR,'ERG Service assumptions'!H$3,FALSE)</f>
        <v>N/A</v>
      </c>
      <c r="G68" s="168">
        <f>VLOOKUP(A68,'ERG Service assumptions'!$B$6:$AY$315,'ERG Service assumptions'!$AY$3,FALSE)</f>
        <v>119.33433242816804</v>
      </c>
      <c r="H68" s="120">
        <f>G68*(1+'Escalators &amp; overheads'!F$5)*(1-'Escalators &amp; overheads'!F$9)</f>
        <v>123.21835347379806</v>
      </c>
      <c r="I68" s="120">
        <f>H68*(1+'Escalators &amp; overheads'!G$5)*(1-'Escalators &amp; overheads'!G$9)</f>
        <v>127.28925397017721</v>
      </c>
      <c r="J68" s="120">
        <f>I68*(1+'Escalators &amp; overheads'!H$5)*(1-'Escalators &amp; overheads'!H$9)</f>
        <v>131.52895053673194</v>
      </c>
      <c r="K68" s="120">
        <f>J68*(1+'Escalators &amp; overheads'!I$5)*(1-'Escalators &amp; overheads'!I$9)</f>
        <v>135.58763668525347</v>
      </c>
    </row>
    <row r="69" spans="1:11" ht="75">
      <c r="A69" s="269" t="str">
        <f>'ERG Service assumptions'!B71</f>
        <v>EE_79</v>
      </c>
      <c r="B69" s="270" t="str">
        <f>VLOOKUP($A69,'ERG Service assumptions'!$B:$AR,'ERG Service assumptions'!D$3,FALSE)</f>
        <v>Connection application and management services</v>
      </c>
      <c r="C69" s="270" t="str">
        <f>VLOOKUP($A69,'ERG Service assumptions'!$B:$AR,'ERG Service assumptions'!E$3,FALSE)</f>
        <v>Temporary disconnections and reconnections (which may involve a line drop)</v>
      </c>
      <c r="D69" s="270" t="str">
        <f>VLOOKUP($A69,'ERG Service assumptions'!$B:$AR,'ERG Service assumptions'!F$3,FALSE)</f>
        <v>Temporary de-energisation and re-energisation of supply to allow customer or contractor to work close - the supply will be disconnected</v>
      </c>
      <c r="E69" s="129" t="str">
        <f>VLOOKUP($A69,'ERG Service assumptions'!$B:$AR,'ERG Service assumptions'!G$3,FALSE)</f>
        <v>No Dismantling - BUSINESS HOURS</v>
      </c>
      <c r="F69" s="269" t="str">
        <f>VLOOKUP($A69,'ERG Service assumptions'!$B:$AR,'ERG Service assumptions'!H$3,FALSE)</f>
        <v>Urban/Short Rural</v>
      </c>
      <c r="G69" s="168">
        <f>VLOOKUP(A69,'ERG Service assumptions'!$B$6:$AY$315,'ERG Service assumptions'!$AY$3,FALSE)</f>
        <v>350.04166038999676</v>
      </c>
      <c r="H69" s="120">
        <f>G69*(1+'Escalators &amp; overheads'!F$5)*(1-'Escalators &amp; overheads'!F$9)</f>
        <v>361.43460279088043</v>
      </c>
      <c r="I69" s="120">
        <f>H69*(1+'Escalators &amp; overheads'!G$5)*(1-'Escalators &amp; overheads'!G$9)</f>
        <v>373.37571596459998</v>
      </c>
      <c r="J69" s="120">
        <f>I69*(1+'Escalators &amp; overheads'!H$5)*(1-'Escalators &amp; overheads'!H$9)</f>
        <v>385.81195619412409</v>
      </c>
      <c r="K69" s="120">
        <f>J69*(1+'Escalators &amp; overheads'!I$5)*(1-'Escalators &amp; overheads'!I$9)</f>
        <v>397.71724119905372</v>
      </c>
    </row>
    <row r="70" spans="1:11" ht="75">
      <c r="A70" s="269" t="str">
        <f>'ERG Service assumptions'!B72</f>
        <v>EE_80</v>
      </c>
      <c r="B70" s="270" t="str">
        <f>VLOOKUP($A70,'ERG Service assumptions'!$B:$AR,'ERG Service assumptions'!D$3,FALSE)</f>
        <v>Connection application and management services</v>
      </c>
      <c r="C70" s="270" t="str">
        <f>VLOOKUP($A70,'ERG Service assumptions'!$B:$AR,'ERG Service assumptions'!E$3,FALSE)</f>
        <v>Temporary disconnections and reconnections (which may involve a line drop)</v>
      </c>
      <c r="D70" s="270" t="str">
        <f>VLOOKUP($A70,'ERG Service assumptions'!$B:$AR,'ERG Service assumptions'!F$3,FALSE)</f>
        <v>Temporary de-energisation and re-energisation of supply to allow customer or contractor to work close - the supply will be disconnected</v>
      </c>
      <c r="E70" s="129" t="str">
        <f>VLOOKUP($A70,'ERG Service assumptions'!$B:$AR,'ERG Service assumptions'!G$3,FALSE)</f>
        <v>No Dismantling - BUSINESS HOURS</v>
      </c>
      <c r="F70" s="269" t="str">
        <f>VLOOKUP($A70,'ERG Service assumptions'!$B:$AR,'ERG Service assumptions'!H$3,FALSE)</f>
        <v>Long rural/Isolated</v>
      </c>
      <c r="G70" s="168">
        <f>VLOOKUP(A70,'ERG Service assumptions'!$B$6:$AY$315,'ERG Service assumptions'!$AY$3,FALSE)</f>
        <v>934.61123324129142</v>
      </c>
      <c r="H70" s="120">
        <f>G70*(1+'Escalators &amp; overheads'!F$5)*(1-'Escalators &amp; overheads'!F$9)</f>
        <v>965.03038945165088</v>
      </c>
      <c r="I70" s="120">
        <f>H70*(1+'Escalators &amp; overheads'!G$5)*(1-'Escalators &amp; overheads'!G$9)</f>
        <v>996.91316162548208</v>
      </c>
      <c r="J70" s="120">
        <f>I70*(1+'Escalators &amp; overheads'!H$5)*(1-'Escalators &amp; overheads'!H$9)</f>
        <v>1030.1179230383113</v>
      </c>
      <c r="K70" s="120">
        <f>J70*(1+'Escalators &amp; overheads'!I$5)*(1-'Escalators &amp; overheads'!I$9)</f>
        <v>1061.9050340014733</v>
      </c>
    </row>
    <row r="71" spans="1:11" ht="75">
      <c r="A71" s="269" t="str">
        <f>'ERG Service assumptions'!B73</f>
        <v>EE_81</v>
      </c>
      <c r="B71" s="270" t="str">
        <f>VLOOKUP($A71,'ERG Service assumptions'!$B:$AR,'ERG Service assumptions'!D$3,FALSE)</f>
        <v>Connection application and management services</v>
      </c>
      <c r="C71" s="270" t="str">
        <f>VLOOKUP($A71,'ERG Service assumptions'!$B:$AR,'ERG Service assumptions'!E$3,FALSE)</f>
        <v>Temporary disconnections and reconnections (which may involve a line drop)</v>
      </c>
      <c r="D71" s="270" t="str">
        <f>VLOOKUP($A71,'ERG Service assumptions'!$B:$AR,'ERG Service assumptions'!F$3,FALSE)</f>
        <v>Temporary de-energisation and re-energisation of supply to allow customer or contractor to work close - the supply will be disconnected</v>
      </c>
      <c r="E71" s="129" t="str">
        <f>VLOOKUP($A71,'ERG Service assumptions'!$B:$AR,'ERG Service assumptions'!G$3,FALSE)</f>
        <v>No Dismantling - AFTER HOURS</v>
      </c>
      <c r="F71" s="269" t="str">
        <f>VLOOKUP($A71,'ERG Service assumptions'!$B:$AR,'ERG Service assumptions'!H$3,FALSE)</f>
        <v>Urban/Short Rural</v>
      </c>
      <c r="G71" s="168">
        <f>VLOOKUP(A71,'ERG Service assumptions'!$B$6:$AY$315,'ERG Service assumptions'!$AY$3,FALSE)</f>
        <v>460.15027132937496</v>
      </c>
      <c r="H71" s="120">
        <f>G71*(1+'Escalators &amp; overheads'!F$5)*(1-'Escalators &amp; overheads'!F$9)</f>
        <v>475.12696162151246</v>
      </c>
      <c r="I71" s="120">
        <f>H71*(1+'Escalators &amp; overheads'!G$5)*(1-'Escalators &amp; overheads'!G$9)</f>
        <v>490.82425451156422</v>
      </c>
      <c r="J71" s="120">
        <f>I71*(1+'Escalators &amp; overheads'!H$5)*(1-'Escalators &amp; overheads'!H$9)</f>
        <v>507.17242092569063</v>
      </c>
      <c r="K71" s="120">
        <f>J71*(1+'Escalators &amp; overheads'!I$5)*(1-'Escalators &amp; overheads'!I$9)</f>
        <v>522.82261558871551</v>
      </c>
    </row>
    <row r="72" spans="1:11" ht="75">
      <c r="A72" s="269" t="str">
        <f>'ERG Service assumptions'!B74</f>
        <v>EE_82</v>
      </c>
      <c r="B72" s="270" t="str">
        <f>VLOOKUP($A72,'ERG Service assumptions'!$B:$AR,'ERG Service assumptions'!D$3,FALSE)</f>
        <v>Connection application and management services</v>
      </c>
      <c r="C72" s="270" t="str">
        <f>VLOOKUP($A72,'ERG Service assumptions'!$B:$AR,'ERG Service assumptions'!E$3,FALSE)</f>
        <v>Temporary disconnections and reconnections (which may involve a line drop)</v>
      </c>
      <c r="D72" s="270" t="str">
        <f>VLOOKUP($A72,'ERG Service assumptions'!$B:$AR,'ERG Service assumptions'!F$3,FALSE)</f>
        <v>Temporary de-energisation and re-energisation of supply to allow customer or contractor to work close - the supply will be disconnected</v>
      </c>
      <c r="E72" s="129" t="str">
        <f>VLOOKUP($A72,'ERG Service assumptions'!$B:$AR,'ERG Service assumptions'!G$3,FALSE)</f>
        <v>No Dismantling - AFTER HOURS</v>
      </c>
      <c r="F72" s="269" t="str">
        <f>VLOOKUP($A72,'ERG Service assumptions'!$B:$AR,'ERG Service assumptions'!H$3,FALSE)</f>
        <v>Long rural/Isolated</v>
      </c>
      <c r="G72" s="168">
        <f>VLOOKUP(A72,'ERG Service assumptions'!$B$6:$AY$315,'ERG Service assumptions'!$AY$3,FALSE)</f>
        <v>1228.6012244494311</v>
      </c>
      <c r="H72" s="120">
        <f>G72*(1+'Escalators &amp; overheads'!F$5)*(1-'Escalators &amp; overheads'!F$9)</f>
        <v>1268.5889875294383</v>
      </c>
      <c r="I72" s="120">
        <f>H72*(1+'Escalators &amp; overheads'!G$5)*(1-'Escalators &amp; overheads'!G$9)</f>
        <v>1310.5007595458767</v>
      </c>
      <c r="J72" s="120">
        <f>I72*(1+'Escalators &amp; overheads'!H$5)*(1-'Escalators &amp; overheads'!H$9)</f>
        <v>1354.1503638715944</v>
      </c>
      <c r="K72" s="120">
        <f>J72*(1+'Escalators &amp; overheads'!I$5)*(1-'Escalators &amp; overheads'!I$9)</f>
        <v>1395.9363836218708</v>
      </c>
    </row>
    <row r="73" spans="1:11" ht="75">
      <c r="A73" s="269" t="str">
        <f>'ERG Service assumptions'!B75</f>
        <v>EE_85</v>
      </c>
      <c r="B73" s="270" t="str">
        <f>VLOOKUP($A73,'ERG Service assumptions'!$B:$AR,'ERG Service assumptions'!D$3,FALSE)</f>
        <v>Connection application and management services</v>
      </c>
      <c r="C73" s="270" t="str">
        <f>VLOOKUP($A73,'ERG Service assumptions'!$B:$AR,'ERG Service assumptions'!E$3,FALSE)</f>
        <v>Temporary disconnections and reconnections (which may involve a line drop)</v>
      </c>
      <c r="D73" s="270" t="str">
        <f>VLOOKUP($A73,'ERG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3" s="129" t="str">
        <f>VLOOKUP($A73,'ERG Service assumptions'!$B:$AR,'ERG Service assumptions'!G$3,FALSE)</f>
        <v>Dismantling - SINGLE PHASE - BUSINESS HOURS</v>
      </c>
      <c r="F73" s="269" t="str">
        <f>VLOOKUP($A73,'ERG Service assumptions'!$B:$AR,'ERG Service assumptions'!H$3,FALSE)</f>
        <v>Urban/Short Rural</v>
      </c>
      <c r="G73" s="168">
        <f>VLOOKUP(A73,'ERG Service assumptions'!$B$6:$AY$315,'ERG Service assumptions'!$AY$3,FALSE)</f>
        <v>815.5970687086924</v>
      </c>
      <c r="H73" s="120">
        <f>G73*(1+'Escalators &amp; overheads'!F$5)*(1-'Escalators &amp; overheads'!F$9)</f>
        <v>842.14262450275135</v>
      </c>
      <c r="I73" s="120">
        <f>H73*(1+'Escalators &amp; overheads'!G$5)*(1-'Escalators &amp; overheads'!G$9)</f>
        <v>869.96541819751792</v>
      </c>
      <c r="J73" s="120">
        <f>I73*(1+'Escalators &amp; overheads'!H$5)*(1-'Escalators &amp; overheads'!H$9)</f>
        <v>898.94185793230906</v>
      </c>
      <c r="K73" s="120">
        <f>J73*(1+'Escalators &amp; overheads'!I$5)*(1-'Escalators &amp; overheads'!I$9)</f>
        <v>926.68117199379515</v>
      </c>
    </row>
    <row r="74" spans="1:11" ht="75">
      <c r="A74" s="269" t="str">
        <f>'ERG Service assumptions'!B76</f>
        <v>EE_86</v>
      </c>
      <c r="B74" s="270" t="str">
        <f>VLOOKUP($A74,'ERG Service assumptions'!$B:$AR,'ERG Service assumptions'!D$3,FALSE)</f>
        <v>Connection application and management services</v>
      </c>
      <c r="C74" s="270" t="str">
        <f>VLOOKUP($A74,'ERG Service assumptions'!$B:$AR,'ERG Service assumptions'!E$3,FALSE)</f>
        <v>Temporary disconnections and reconnections (which may involve a line drop)</v>
      </c>
      <c r="D74" s="270" t="str">
        <f>VLOOKUP($A74,'ERG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4" s="129" t="str">
        <f>VLOOKUP($A74,'ERG Service assumptions'!$B:$AR,'ERG Service assumptions'!G$3,FALSE)</f>
        <v>Dismantling - SINGLE PHASE - BUSINESS HOURS</v>
      </c>
      <c r="F74" s="269" t="str">
        <f>VLOOKUP($A74,'ERG Service assumptions'!$B:$AR,'ERG Service assumptions'!H$3,FALSE)</f>
        <v>Long rural/Isolated</v>
      </c>
      <c r="G74" s="168">
        <f>VLOOKUP(A74,'ERG Service assumptions'!$B$6:$AY$315,'ERG Service assumptions'!$AY$3,FALSE)</f>
        <v>1400.1666415599871</v>
      </c>
      <c r="H74" s="120">
        <f>G74*(1+'Escalators &amp; overheads'!F$5)*(1-'Escalators &amp; overheads'!F$9)</f>
        <v>1445.7384111635217</v>
      </c>
      <c r="I74" s="120">
        <f>H74*(1+'Escalators &amp; overheads'!G$5)*(1-'Escalators &amp; overheads'!G$9)</f>
        <v>1493.5028638583999</v>
      </c>
      <c r="J74" s="120">
        <f>I74*(1+'Escalators &amp; overheads'!H$5)*(1-'Escalators &amp; overheads'!H$9)</f>
        <v>1543.2478247764964</v>
      </c>
      <c r="K74" s="120">
        <f>J74*(1+'Escalators &amp; overheads'!I$5)*(1-'Escalators &amp; overheads'!I$9)</f>
        <v>1590.8689647962149</v>
      </c>
    </row>
    <row r="75" spans="1:11" ht="75">
      <c r="A75" s="269" t="str">
        <f>'ERG Service assumptions'!B77</f>
        <v>EE_87</v>
      </c>
      <c r="B75" s="270" t="str">
        <f>VLOOKUP($A75,'ERG Service assumptions'!$B:$AR,'ERG Service assumptions'!D$3,FALSE)</f>
        <v>Connection application and management services</v>
      </c>
      <c r="C75" s="270" t="str">
        <f>VLOOKUP($A75,'ERG Service assumptions'!$B:$AR,'ERG Service assumptions'!E$3,FALSE)</f>
        <v>Temporary disconnections and reconnections (which may involve a line drop)</v>
      </c>
      <c r="D75" s="270" t="str">
        <f>VLOOKUP($A75,'ERG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5" s="129" t="str">
        <f>VLOOKUP($A75,'ERG Service assumptions'!$B:$AR,'ERG Service assumptions'!G$3,FALSE)</f>
        <v>Dismantling - MULTIPHASE - BUSINESS HOURS</v>
      </c>
      <c r="F75" s="269" t="str">
        <f>VLOOKUP($A75,'ERG Service assumptions'!$B:$AR,'ERG Service assumptions'!H$3,FALSE)</f>
        <v>Urban/Short Rural</v>
      </c>
      <c r="G75" s="168">
        <f>VLOOKUP(A75,'ERG Service assumptions'!$B$6:$AY$315,'ERG Service assumptions'!$AY$3,FALSE)</f>
        <v>990.61789890369096</v>
      </c>
      <c r="H75" s="120">
        <f>G75*(1+'Escalators &amp; overheads'!F$5)*(1-'Escalators &amp; overheads'!F$9)</f>
        <v>1022.8599258981918</v>
      </c>
      <c r="I75" s="120">
        <f>H75*(1+'Escalators &amp; overheads'!G$5)*(1-'Escalators &amp; overheads'!G$9)</f>
        <v>1056.6532761798182</v>
      </c>
      <c r="J75" s="120">
        <f>I75*(1+'Escalators &amp; overheads'!H$5)*(1-'Escalators &amp; overheads'!H$9)</f>
        <v>1091.8478360293716</v>
      </c>
      <c r="K75" s="120">
        <f>J75*(1+'Escalators &amp; overheads'!I$5)*(1-'Escalators &amp; overheads'!I$9)</f>
        <v>1125.5397925933225</v>
      </c>
    </row>
    <row r="76" spans="1:11" ht="75">
      <c r="A76" s="269" t="str">
        <f>'ERG Service assumptions'!B78</f>
        <v>EE_88</v>
      </c>
      <c r="B76" s="270" t="str">
        <f>VLOOKUP($A76,'ERG Service assumptions'!$B:$AR,'ERG Service assumptions'!D$3,FALSE)</f>
        <v>Connection application and management services</v>
      </c>
      <c r="C76" s="270" t="str">
        <f>VLOOKUP($A76,'ERG Service assumptions'!$B:$AR,'ERG Service assumptions'!E$3,FALSE)</f>
        <v>Temporary disconnections and reconnections (which may involve a line drop)</v>
      </c>
      <c r="D76" s="270" t="str">
        <f>VLOOKUP($A76,'ERG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6" s="129" t="str">
        <f>VLOOKUP($A76,'ERG Service assumptions'!$B:$AR,'ERG Service assumptions'!G$3,FALSE)</f>
        <v>Dismantling - MULTIPHASE - BUSINESS HOURS</v>
      </c>
      <c r="F76" s="269" t="str">
        <f>VLOOKUP($A76,'ERG Service assumptions'!$B:$AR,'ERG Service assumptions'!H$3,FALSE)</f>
        <v>Long rural/Isolated</v>
      </c>
      <c r="G76" s="168">
        <f>VLOOKUP(A76,'ERG Service assumptions'!$B$6:$AY$315,'ERG Service assumptions'!$AY$3,FALSE)</f>
        <v>1575.1874717549854</v>
      </c>
      <c r="H76" s="120">
        <f>G76*(1+'Escalators &amp; overheads'!F$5)*(1-'Escalators &amp; overheads'!F$9)</f>
        <v>1626.4557125589617</v>
      </c>
      <c r="I76" s="120">
        <f>H76*(1+'Escalators &amp; overheads'!G$5)*(1-'Escalators &amp; overheads'!G$9)</f>
        <v>1680.1907218406998</v>
      </c>
      <c r="J76" s="120">
        <f>I76*(1+'Escalators &amp; overheads'!H$5)*(1-'Escalators &amp; overheads'!H$9)</f>
        <v>1736.1538028735581</v>
      </c>
      <c r="K76" s="120">
        <f>J76*(1+'Escalators &amp; overheads'!I$5)*(1-'Escalators &amp; overheads'!I$9)</f>
        <v>1789.7275853957415</v>
      </c>
    </row>
    <row r="77" spans="1:11" ht="75">
      <c r="A77" s="269" t="str">
        <f>'ERG Service assumptions'!B79</f>
        <v>EE_89</v>
      </c>
      <c r="B77" s="270" t="str">
        <f>VLOOKUP($A77,'ERG Service assumptions'!$B:$AR,'ERG Service assumptions'!D$3,FALSE)</f>
        <v>Connection application and management services</v>
      </c>
      <c r="C77" s="270" t="str">
        <f>VLOOKUP($A77,'ERG Service assumptions'!$B:$AR,'ERG Service assumptions'!E$3,FALSE)</f>
        <v>Temporary disconnections and reconnections (which may involve a line drop)</v>
      </c>
      <c r="D77" s="270" t="str">
        <f>VLOOKUP($A77,'ERG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7" s="129" t="str">
        <f>VLOOKUP($A77,'ERG Service assumptions'!$B:$AR,'ERG Service assumptions'!G$3,FALSE)</f>
        <v>Dismantling - SINGLE PHASE - BUSINESS HOURS - Traffic Control</v>
      </c>
      <c r="F77" s="269" t="str">
        <f>VLOOKUP($A77,'ERG Service assumptions'!$B:$AR,'ERG Service assumptions'!H$3,FALSE)</f>
        <v>Urban/Short Rural</v>
      </c>
      <c r="G77" s="168">
        <f>VLOOKUP(A77,'ERG Service assumptions'!$B$6:$AY$315,'ERG Service assumptions'!$AY$3,FALSE)</f>
        <v>1616.7878942715661</v>
      </c>
      <c r="H77" s="120">
        <f>G77*(1+'Escalators &amp; overheads'!F$5)*(1-'Escalators &amp; overheads'!F$9)</f>
        <v>1669.410120247067</v>
      </c>
      <c r="I77" s="120">
        <f>H77*(1+'Escalators &amp; overheads'!G$5)*(1-'Escalators &amp; overheads'!G$9)</f>
        <v>1724.5642616195155</v>
      </c>
      <c r="J77" s="120">
        <f>I77*(1+'Escalators &amp; overheads'!H$5)*(1-'Escalators &amp; overheads'!H$9)</f>
        <v>1782.0053177239397</v>
      </c>
      <c r="K77" s="120">
        <f>J77*(1+'Escalators &amp; overheads'!I$5)*(1-'Escalators &amp; overheads'!I$9)</f>
        <v>1836.9939743666307</v>
      </c>
    </row>
    <row r="78" spans="1:11" ht="75">
      <c r="A78" s="269" t="str">
        <f>'ERG Service assumptions'!B80</f>
        <v>EE_90</v>
      </c>
      <c r="B78" s="270" t="str">
        <f>VLOOKUP($A78,'ERG Service assumptions'!$B:$AR,'ERG Service assumptions'!D$3,FALSE)</f>
        <v>Connection application and management services</v>
      </c>
      <c r="C78" s="270" t="str">
        <f>VLOOKUP($A78,'ERG Service assumptions'!$B:$AR,'ERG Service assumptions'!E$3,FALSE)</f>
        <v>Temporary disconnections and reconnections (which may involve a line drop)</v>
      </c>
      <c r="D78" s="270" t="str">
        <f>VLOOKUP($A78,'ERG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8" s="129" t="str">
        <f>VLOOKUP($A78,'ERG Service assumptions'!$B:$AR,'ERG Service assumptions'!G$3,FALSE)</f>
        <v>Dismantling - SINGLE PHASE - BUSINESS HOURS - Traffic Control</v>
      </c>
      <c r="F78" s="269" t="str">
        <f>VLOOKUP($A78,'ERG Service assumptions'!$B:$AR,'ERG Service assumptions'!H$3,FALSE)</f>
        <v>Long rural/Isolated</v>
      </c>
      <c r="G78" s="168">
        <f>VLOOKUP(A78,'ERG Service assumptions'!$B$6:$AY$315,'ERG Service assumptions'!$AY$3,FALSE)</f>
        <v>2201.3574671228607</v>
      </c>
      <c r="H78" s="120">
        <f>G78*(1+'Escalators &amp; overheads'!F$5)*(1-'Escalators &amp; overheads'!F$9)</f>
        <v>2273.0059069078375</v>
      </c>
      <c r="I78" s="120">
        <f>H78*(1+'Escalators &amp; overheads'!G$5)*(1-'Escalators &amp; overheads'!G$9)</f>
        <v>2348.1017072803979</v>
      </c>
      <c r="J78" s="120">
        <f>I78*(1+'Escalators &amp; overheads'!H$5)*(1-'Escalators &amp; overheads'!H$9)</f>
        <v>2426.3112845681276</v>
      </c>
      <c r="K78" s="120">
        <f>J78*(1+'Escalators &amp; overheads'!I$5)*(1-'Escalators &amp; overheads'!I$9)</f>
        <v>2501.1817671690515</v>
      </c>
    </row>
    <row r="79" spans="1:11" ht="75">
      <c r="A79" s="269" t="str">
        <f>'ERG Service assumptions'!B81</f>
        <v>EE_91</v>
      </c>
      <c r="B79" s="270" t="str">
        <f>VLOOKUP($A79,'ERG Service assumptions'!$B:$AR,'ERG Service assumptions'!D$3,FALSE)</f>
        <v>Connection application and management services</v>
      </c>
      <c r="C79" s="270" t="str">
        <f>VLOOKUP($A79,'ERG Service assumptions'!$B:$AR,'ERG Service assumptions'!E$3,FALSE)</f>
        <v>Temporary disconnections and reconnections (which may involve a line drop)</v>
      </c>
      <c r="D79" s="270" t="str">
        <f>VLOOKUP($A79,'ERG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9" s="129" t="str">
        <f>VLOOKUP($A79,'ERG Service assumptions'!$B:$AR,'ERG Service assumptions'!G$3,FALSE)</f>
        <v>Dismantling - MULTIPHASE - BUSINESS HOURS - Traffic Control</v>
      </c>
      <c r="F79" s="269" t="str">
        <f>VLOOKUP($A79,'ERG Service assumptions'!$B:$AR,'ERG Service assumptions'!H$3,FALSE)</f>
        <v>Urban/Short Rural</v>
      </c>
      <c r="G79" s="168">
        <f>VLOOKUP(A79,'ERG Service assumptions'!$B$6:$AY$315,'ERG Service assumptions'!$AY$3,FALSE)</f>
        <v>1791.8087244665649</v>
      </c>
      <c r="H79" s="120">
        <f>G79*(1+'Escalators &amp; overheads'!F$5)*(1-'Escalators &amp; overheads'!F$9)</f>
        <v>1850.1274216425077</v>
      </c>
      <c r="I79" s="120">
        <f>H79*(1+'Escalators &amp; overheads'!G$5)*(1-'Escalators &amp; overheads'!G$9)</f>
        <v>1911.252119601816</v>
      </c>
      <c r="J79" s="120">
        <f>I79*(1+'Escalators &amp; overheads'!H$5)*(1-'Escalators &amp; overheads'!H$9)</f>
        <v>1974.9112958210021</v>
      </c>
      <c r="K79" s="120">
        <f>J79*(1+'Escalators &amp; overheads'!I$5)*(1-'Escalators &amp; overheads'!I$9)</f>
        <v>2035.852594966158</v>
      </c>
    </row>
    <row r="80" spans="1:11" ht="75">
      <c r="A80" s="269" t="str">
        <f>'ERG Service assumptions'!B82</f>
        <v>EE_92</v>
      </c>
      <c r="B80" s="270" t="str">
        <f>VLOOKUP($A80,'ERG Service assumptions'!$B:$AR,'ERG Service assumptions'!D$3,FALSE)</f>
        <v>Connection application and management services</v>
      </c>
      <c r="C80" s="270" t="str">
        <f>VLOOKUP($A80,'ERG Service assumptions'!$B:$AR,'ERG Service assumptions'!E$3,FALSE)</f>
        <v>Temporary disconnections and reconnections (which may involve a line drop)</v>
      </c>
      <c r="D80" s="270" t="str">
        <f>VLOOKUP($A80,'ERG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0" s="129" t="str">
        <f>VLOOKUP($A80,'ERG Service assumptions'!$B:$AR,'ERG Service assumptions'!G$3,FALSE)</f>
        <v>Dismantling - MULTIPHASE - BUSINESS HOURS - Traffic Control</v>
      </c>
      <c r="F80" s="269" t="str">
        <f>VLOOKUP($A80,'ERG Service assumptions'!$B:$AR,'ERG Service assumptions'!H$3,FALSE)</f>
        <v>Long rural/Isolated</v>
      </c>
      <c r="G80" s="168">
        <f>VLOOKUP(A80,'ERG Service assumptions'!$B$6:$AY$315,'ERG Service assumptions'!$AY$3,FALSE)</f>
        <v>2376.3782973178591</v>
      </c>
      <c r="H80" s="120">
        <f>G80*(1+'Escalators &amp; overheads'!F$5)*(1-'Escalators &amp; overheads'!F$9)</f>
        <v>2453.7232083032777</v>
      </c>
      <c r="I80" s="120">
        <f>H80*(1+'Escalators &amp; overheads'!G$5)*(1-'Escalators &amp; overheads'!G$9)</f>
        <v>2534.7895652626976</v>
      </c>
      <c r="J80" s="120">
        <f>I80*(1+'Escalators &amp; overheads'!H$5)*(1-'Escalators &amp; overheads'!H$9)</f>
        <v>2619.2172626651891</v>
      </c>
      <c r="K80" s="120">
        <f>J80*(1+'Escalators &amp; overheads'!I$5)*(1-'Escalators &amp; overheads'!I$9)</f>
        <v>2700.0403877685771</v>
      </c>
    </row>
    <row r="81" spans="1:11" ht="75">
      <c r="A81" s="269" t="str">
        <f>'ERG Service assumptions'!B83</f>
        <v>EE_93</v>
      </c>
      <c r="B81" s="270" t="str">
        <f>VLOOKUP($A81,'ERG Service assumptions'!$B:$AR,'ERG Service assumptions'!D$3,FALSE)</f>
        <v>Connection application and management services</v>
      </c>
      <c r="C81" s="270" t="str">
        <f>VLOOKUP($A81,'ERG Service assumptions'!$B:$AR,'ERG Service assumptions'!E$3,FALSE)</f>
        <v>Temporary disconnections and reconnections (which may involve a line drop)</v>
      </c>
      <c r="D81" s="270" t="str">
        <f>VLOOKUP($A81,'ERG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1" s="129" t="str">
        <f>VLOOKUP($A81,'ERG Service assumptions'!$B:$AR,'ERG Service assumptions'!G$3,FALSE)</f>
        <v>Dismantling - SINGLE PHASE - AFTER HOURS</v>
      </c>
      <c r="F81" s="269" t="str">
        <f>VLOOKUP($A81,'ERG Service assumptions'!$B:$AR,'ERG Service assumptions'!H$3,FALSE)</f>
        <v>Urban/Short Rural</v>
      </c>
      <c r="G81" s="168">
        <f>VLOOKUP(A81,'ERG Service assumptions'!$B$6:$AY$315,'ERG Service assumptions'!$AY$3,FALSE)</f>
        <v>1072.1501321974438</v>
      </c>
      <c r="H81" s="120">
        <f>G81*(1+'Escalators &amp; overheads'!F$5)*(1-'Escalators &amp; overheads'!F$9)</f>
        <v>1107.0458205781242</v>
      </c>
      <c r="I81" s="120">
        <f>H81*(1+'Escalators &amp; overheads'!G$5)*(1-'Escalators &amp; overheads'!G$9)</f>
        <v>1143.6205130119449</v>
      </c>
      <c r="J81" s="120">
        <f>I81*(1+'Escalators &amp; overheads'!H$5)*(1-'Escalators &amp; overheads'!H$9)</f>
        <v>1181.7117407568594</v>
      </c>
      <c r="K81" s="120">
        <f>J81*(1+'Escalators &amp; overheads'!I$5)*(1-'Escalators &amp; overheads'!I$9)</f>
        <v>1218.1766943217076</v>
      </c>
    </row>
    <row r="82" spans="1:11" ht="75">
      <c r="A82" s="269" t="str">
        <f>'ERG Service assumptions'!B84</f>
        <v>EE_94</v>
      </c>
      <c r="B82" s="270" t="str">
        <f>VLOOKUP($A82,'ERG Service assumptions'!$B:$AR,'ERG Service assumptions'!D$3,FALSE)</f>
        <v>Connection application and management services</v>
      </c>
      <c r="C82" s="270" t="str">
        <f>VLOOKUP($A82,'ERG Service assumptions'!$B:$AR,'ERG Service assumptions'!E$3,FALSE)</f>
        <v>Temporary disconnections and reconnections (which may involve a line drop)</v>
      </c>
      <c r="D82" s="270" t="str">
        <f>VLOOKUP($A82,'ERG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2" s="129" t="str">
        <f>VLOOKUP($A82,'ERG Service assumptions'!$B:$AR,'ERG Service assumptions'!G$3,FALSE)</f>
        <v>Dismantling - SINGLE PHASE - AFTER HOURS</v>
      </c>
      <c r="F82" s="269" t="str">
        <f>VLOOKUP($A82,'ERG Service assumptions'!$B:$AR,'ERG Service assumptions'!H$3,FALSE)</f>
        <v>Long rural/Isolated</v>
      </c>
      <c r="G82" s="168">
        <f>VLOOKUP(A82,'ERG Service assumptions'!$B$6:$AY$315,'ERG Service assumptions'!$AY$3,FALSE)</f>
        <v>1840.6010853174998</v>
      </c>
      <c r="H82" s="120">
        <f>G82*(1+'Escalators &amp; overheads'!F$5)*(1-'Escalators &amp; overheads'!F$9)</f>
        <v>1900.5078464860499</v>
      </c>
      <c r="I82" s="120">
        <f>H82*(1+'Escalators &amp; overheads'!G$5)*(1-'Escalators &amp; overheads'!G$9)</f>
        <v>1963.2970180462569</v>
      </c>
      <c r="J82" s="120">
        <f>I82*(1+'Escalators &amp; overheads'!H$5)*(1-'Escalators &amp; overheads'!H$9)</f>
        <v>2028.6896837027625</v>
      </c>
      <c r="K82" s="120">
        <f>J82*(1+'Escalators &amp; overheads'!I$5)*(1-'Escalators &amp; overheads'!I$9)</f>
        <v>2091.290462354862</v>
      </c>
    </row>
    <row r="83" spans="1:11" ht="75">
      <c r="A83" s="269" t="str">
        <f>'ERG Service assumptions'!B85</f>
        <v>EE_95</v>
      </c>
      <c r="B83" s="270" t="str">
        <f>VLOOKUP($A83,'ERG Service assumptions'!$B:$AR,'ERG Service assumptions'!D$3,FALSE)</f>
        <v>Connection application and management services</v>
      </c>
      <c r="C83" s="270" t="str">
        <f>VLOOKUP($A83,'ERG Service assumptions'!$B:$AR,'ERG Service assumptions'!E$3,FALSE)</f>
        <v>Temporary disconnections and reconnections (which may involve a line drop)</v>
      </c>
      <c r="D83" s="270" t="str">
        <f>VLOOKUP($A83,'ERG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3" s="129" t="str">
        <f>VLOOKUP($A83,'ERG Service assumptions'!$B:$AR,'ERG Service assumptions'!G$3,FALSE)</f>
        <v>Dismantling - MULTIPHASE - AFTER HOURS</v>
      </c>
      <c r="F83" s="269" t="str">
        <f>VLOOKUP($A83,'ERG Service assumptions'!$B:$AR,'ERG Service assumptions'!H$3,FALSE)</f>
        <v>Urban/Short Rural</v>
      </c>
      <c r="G83" s="168">
        <f>VLOOKUP(A83,'ERG Service assumptions'!$B$6:$AY$315,'ERG Service assumptions'!$AY$3,FALSE)</f>
        <v>1302.2252678621312</v>
      </c>
      <c r="H83" s="120">
        <f>G83*(1+'Escalators &amp; overheads'!F$5)*(1-'Escalators &amp; overheads'!F$9)</f>
        <v>1344.6093013888803</v>
      </c>
      <c r="I83" s="120">
        <f>H83*(1+'Escalators &amp; overheads'!G$5)*(1-'Escalators &amp; overheads'!G$9)</f>
        <v>1389.0326402677269</v>
      </c>
      <c r="J83" s="120">
        <f>I83*(1+'Escalators &amp; overheads'!H$5)*(1-'Escalators &amp; overheads'!H$9)</f>
        <v>1435.2979512197048</v>
      </c>
      <c r="K83" s="120">
        <f>J83*(1+'Escalators &amp; overheads'!I$5)*(1-'Escalators &amp; overheads'!I$9)</f>
        <v>1479.5880021160651</v>
      </c>
    </row>
    <row r="84" spans="1:11" ht="75">
      <c r="A84" s="269" t="str">
        <f>'ERG Service assumptions'!B86</f>
        <v>EE_96</v>
      </c>
      <c r="B84" s="270" t="str">
        <f>VLOOKUP($A84,'ERG Service assumptions'!$B:$AR,'ERG Service assumptions'!D$3,FALSE)</f>
        <v>Connection application and management services</v>
      </c>
      <c r="C84" s="270" t="str">
        <f>VLOOKUP($A84,'ERG Service assumptions'!$B:$AR,'ERG Service assumptions'!E$3,FALSE)</f>
        <v>Temporary disconnections and reconnections (which may involve a line drop)</v>
      </c>
      <c r="D84" s="270" t="str">
        <f>VLOOKUP($A84,'ERG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4" s="129" t="str">
        <f>VLOOKUP($A84,'ERG Service assumptions'!$B:$AR,'ERG Service assumptions'!G$3,FALSE)</f>
        <v>Dismantling - MULTIPHASE - AFTER HOURS</v>
      </c>
      <c r="F84" s="269" t="str">
        <f>VLOOKUP($A84,'ERG Service assumptions'!$B:$AR,'ERG Service assumptions'!H$3,FALSE)</f>
        <v>Long rural/Isolated</v>
      </c>
      <c r="G84" s="168">
        <f>VLOOKUP(A84,'ERG Service assumptions'!$B$6:$AY$315,'ERG Service assumptions'!$AY$3,FALSE)</f>
        <v>2070.6762209821873</v>
      </c>
      <c r="H84" s="120">
        <f>G84*(1+'Escalators &amp; overheads'!F$5)*(1-'Escalators &amp; overheads'!F$9)</f>
        <v>2138.071327296806</v>
      </c>
      <c r="I84" s="120">
        <f>H84*(1+'Escalators &amp; overheads'!G$5)*(1-'Escalators &amp; overheads'!G$9)</f>
        <v>2208.7091453020389</v>
      </c>
      <c r="J84" s="120">
        <f>I84*(1+'Escalators &amp; overheads'!H$5)*(1-'Escalators &amp; overheads'!H$9)</f>
        <v>2282.275894165608</v>
      </c>
      <c r="K84" s="120">
        <f>J84*(1+'Escalators &amp; overheads'!I$5)*(1-'Escalators &amp; overheads'!I$9)</f>
        <v>2352.70177014922</v>
      </c>
    </row>
    <row r="85" spans="1:11" ht="75">
      <c r="A85" s="269" t="str">
        <f>'ERG Service assumptions'!B87</f>
        <v>EE_97</v>
      </c>
      <c r="B85" s="270" t="str">
        <f>VLOOKUP($A85,'ERG Service assumptions'!$B:$AR,'ERG Service assumptions'!D$3,FALSE)</f>
        <v>Connection application and management services</v>
      </c>
      <c r="C85" s="270" t="str">
        <f>VLOOKUP($A85,'ERG Service assumptions'!$B:$AR,'ERG Service assumptions'!E$3,FALSE)</f>
        <v>Temporary disconnections and reconnections (which may involve a line drop)</v>
      </c>
      <c r="D85" s="270" t="str">
        <f>VLOOKUP($A85,'ERG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5" s="129" t="str">
        <f>VLOOKUP($A85,'ERG Service assumptions'!$B:$AR,'ERG Service assumptions'!G$3,FALSE)</f>
        <v>Dismantling - SINGLE PHASE - AFTER HOURS - Traffic Control</v>
      </c>
      <c r="F85" s="269" t="str">
        <f>VLOOKUP($A85,'ERG Service assumptions'!$B:$AR,'ERG Service assumptions'!H$3,FALSE)</f>
        <v>Urban/Short Rural</v>
      </c>
      <c r="G85" s="168">
        <f>VLOOKUP(A85,'ERG Service assumptions'!$B$6:$AY$315,'ERG Service assumptions'!$AY$3,FALSE)</f>
        <v>1873.3409577603175</v>
      </c>
      <c r="H85" s="120">
        <f>G85*(1+'Escalators &amp; overheads'!F$5)*(1-'Escalators &amp; overheads'!F$9)</f>
        <v>1934.3133163224397</v>
      </c>
      <c r="I85" s="120">
        <f>H85*(1+'Escalators &amp; overheads'!G$5)*(1-'Escalators &amp; overheads'!G$9)</f>
        <v>1998.2193564339423</v>
      </c>
      <c r="J85" s="120">
        <f>I85*(1+'Escalators &amp; overheads'!H$5)*(1-'Escalators &amp; overheads'!H$9)</f>
        <v>2064.7752005484899</v>
      </c>
      <c r="K85" s="120">
        <f>J85*(1+'Escalators &amp; overheads'!I$5)*(1-'Escalators &amp; overheads'!I$9)</f>
        <v>2128.4894966945426</v>
      </c>
    </row>
    <row r="86" spans="1:11" ht="75">
      <c r="A86" s="269" t="str">
        <f>'ERG Service assumptions'!B88</f>
        <v>EE_98</v>
      </c>
      <c r="B86" s="270" t="str">
        <f>VLOOKUP($A86,'ERG Service assumptions'!$B:$AR,'ERG Service assumptions'!D$3,FALSE)</f>
        <v>Connection application and management services</v>
      </c>
      <c r="C86" s="270" t="str">
        <f>VLOOKUP($A86,'ERG Service assumptions'!$B:$AR,'ERG Service assumptions'!E$3,FALSE)</f>
        <v>Temporary disconnections and reconnections (which may involve a line drop)</v>
      </c>
      <c r="D86" s="270" t="str">
        <f>VLOOKUP($A86,'ERG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6" s="129" t="str">
        <f>VLOOKUP($A86,'ERG Service assumptions'!$B:$AR,'ERG Service assumptions'!G$3,FALSE)</f>
        <v>Dismantling - SINGLE PHASE - AFTER HOURS - Traffic Control</v>
      </c>
      <c r="F86" s="269" t="str">
        <f>VLOOKUP($A86,'ERG Service assumptions'!$B:$AR,'ERG Service assumptions'!H$3,FALSE)</f>
        <v>Long rural/Isolated</v>
      </c>
      <c r="G86" s="168">
        <f>VLOOKUP(A86,'ERG Service assumptions'!$B$6:$AY$315,'ERG Service assumptions'!$AY$3,FALSE)</f>
        <v>2641.7919108803735</v>
      </c>
      <c r="H86" s="120">
        <f>G86*(1+'Escalators &amp; overheads'!F$5)*(1-'Escalators &amp; overheads'!F$9)</f>
        <v>2727.7753422303654</v>
      </c>
      <c r="I86" s="120">
        <f>H86*(1+'Escalators &amp; overheads'!G$5)*(1-'Escalators &amp; overheads'!G$9)</f>
        <v>2817.8958614682547</v>
      </c>
      <c r="J86" s="120">
        <f>I86*(1+'Escalators &amp; overheads'!H$5)*(1-'Escalators &amp; overheads'!H$9)</f>
        <v>2911.7531434943935</v>
      </c>
      <c r="K86" s="120">
        <f>J86*(1+'Escalators &amp; overheads'!I$5)*(1-'Escalators &amp; overheads'!I$9)</f>
        <v>3001.6032647276984</v>
      </c>
    </row>
    <row r="87" spans="1:11" ht="75">
      <c r="A87" s="269" t="str">
        <f>'ERG Service assumptions'!B89</f>
        <v>EE_99</v>
      </c>
      <c r="B87" s="270" t="str">
        <f>VLOOKUP($A87,'ERG Service assumptions'!$B:$AR,'ERG Service assumptions'!D$3,FALSE)</f>
        <v>Connection application and management services</v>
      </c>
      <c r="C87" s="270" t="str">
        <f>VLOOKUP($A87,'ERG Service assumptions'!$B:$AR,'ERG Service assumptions'!E$3,FALSE)</f>
        <v>Temporary disconnections and reconnections (which may involve a line drop)</v>
      </c>
      <c r="D87" s="270" t="str">
        <f>VLOOKUP($A87,'ERG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7" s="129" t="str">
        <f>VLOOKUP($A87,'ERG Service assumptions'!$B:$AR,'ERG Service assumptions'!G$3,FALSE)</f>
        <v>Dismantling - MULTIPHASE - AFTER HOURS - Traffic Control</v>
      </c>
      <c r="F87" s="269" t="str">
        <f>VLOOKUP($A87,'ERG Service assumptions'!$B:$AR,'ERG Service assumptions'!H$3,FALSE)</f>
        <v>Urban/Short Rural</v>
      </c>
      <c r="G87" s="168">
        <f>VLOOKUP(A87,'ERG Service assumptions'!$B$6:$AY$315,'ERG Service assumptions'!$AY$3,FALSE)</f>
        <v>2103.4160934250049</v>
      </c>
      <c r="H87" s="120">
        <f>G87*(1+'Escalators &amp; overheads'!F$5)*(1-'Escalators &amp; overheads'!F$9)</f>
        <v>2171.8767971331959</v>
      </c>
      <c r="I87" s="120">
        <f>H87*(1+'Escalators &amp; overheads'!G$5)*(1-'Escalators &amp; overheads'!G$9)</f>
        <v>2243.6314836897245</v>
      </c>
      <c r="J87" s="120">
        <f>I87*(1+'Escalators &amp; overheads'!H$5)*(1-'Escalators &amp; overheads'!H$9)</f>
        <v>2318.3614110113353</v>
      </c>
      <c r="K87" s="120">
        <f>J87*(1+'Escalators &amp; overheads'!I$5)*(1-'Escalators &amp; overheads'!I$9)</f>
        <v>2389.9008044889006</v>
      </c>
    </row>
    <row r="88" spans="1:11" ht="75">
      <c r="A88" s="269" t="str">
        <f>'ERG Service assumptions'!B90</f>
        <v>EE_100</v>
      </c>
      <c r="B88" s="270" t="str">
        <f>VLOOKUP($A88,'ERG Service assumptions'!$B:$AR,'ERG Service assumptions'!D$3,FALSE)</f>
        <v>Connection application and management services</v>
      </c>
      <c r="C88" s="270" t="str">
        <f>VLOOKUP($A88,'ERG Service assumptions'!$B:$AR,'ERG Service assumptions'!E$3,FALSE)</f>
        <v>Temporary disconnections and reconnections (which may involve a line drop)</v>
      </c>
      <c r="D88" s="270" t="str">
        <f>VLOOKUP($A88,'ERG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8" s="129" t="str">
        <f>VLOOKUP($A88,'ERG Service assumptions'!$B:$AR,'ERG Service assumptions'!G$3,FALSE)</f>
        <v>Dismantling - MULTIPHASE - AFTER HOURS - Traffic Control</v>
      </c>
      <c r="F88" s="269" t="str">
        <f>VLOOKUP($A88,'ERG Service assumptions'!$B:$AR,'ERG Service assumptions'!H$3,FALSE)</f>
        <v>Long rural/Isolated</v>
      </c>
      <c r="G88" s="168">
        <f>VLOOKUP(A88,'ERG Service assumptions'!$B$6:$AY$315,'ERG Service assumptions'!$AY$3,FALSE)</f>
        <v>2871.8670465450609</v>
      </c>
      <c r="H88" s="120">
        <f>G88*(1+'Escalators &amp; overheads'!F$5)*(1-'Escalators &amp; overheads'!F$9)</f>
        <v>2965.3388230411215</v>
      </c>
      <c r="I88" s="120">
        <f>H88*(1+'Escalators &amp; overheads'!G$5)*(1-'Escalators &amp; overheads'!G$9)</f>
        <v>3063.3079887240365</v>
      </c>
      <c r="J88" s="120">
        <f>I88*(1+'Escalators &amp; overheads'!H$5)*(1-'Escalators &amp; overheads'!H$9)</f>
        <v>3165.3393539572385</v>
      </c>
      <c r="K88" s="120">
        <f>J88*(1+'Escalators &amp; overheads'!I$5)*(1-'Escalators &amp; overheads'!I$9)</f>
        <v>3263.0145725220555</v>
      </c>
    </row>
    <row r="89" spans="1:11" ht="60">
      <c r="A89" s="269" t="str">
        <f>'ERG Service assumptions'!B91</f>
        <v>EE_109</v>
      </c>
      <c r="B89" s="270" t="str">
        <f>VLOOKUP($A89,'ERG Service assumptions'!$B:$AR,'ERG Service assumptions'!D$3,FALSE)</f>
        <v>Connection application and management services</v>
      </c>
      <c r="C89" s="270" t="str">
        <f>VLOOKUP($A89,'ERG Service assumptions'!$B:$AR,'ERG Service assumptions'!E$3,FALSE)</f>
        <v>Temporary connection</v>
      </c>
      <c r="D89" s="270" t="str">
        <f>VLOOKUP($A89,'ERG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89" s="129" t="str">
        <f>VLOOKUP($A89,'ERG Service assumptions'!$B:$AR,'ERG Service assumptions'!G$3,FALSE)</f>
        <v>BUSINESS HOURS</v>
      </c>
      <c r="F89" s="269" t="str">
        <f>VLOOKUP($A89,'ERG Service assumptions'!$B:$AR,'ERG Service assumptions'!H$3,FALSE)</f>
        <v>N/A</v>
      </c>
      <c r="G89" s="168">
        <f>VLOOKUP(A89,'ERG Service assumptions'!$B$6:$AY$315,'ERG Service assumptions'!$AY$3,FALSE)</f>
        <v>175.02083019499838</v>
      </c>
      <c r="H89" s="120">
        <f>G89*(1+'Escalators &amp; overheads'!F$5)*(1-'Escalators &amp; overheads'!F$9)</f>
        <v>180.71730139544022</v>
      </c>
      <c r="I89" s="120">
        <f>H89*(1+'Escalators &amp; overheads'!G$5)*(1-'Escalators &amp; overheads'!G$9)</f>
        <v>186.68785798229999</v>
      </c>
      <c r="J89" s="120">
        <f>I89*(1+'Escalators &amp; overheads'!H$5)*(1-'Escalators &amp; overheads'!H$9)</f>
        <v>192.90597809706205</v>
      </c>
      <c r="K89" s="120">
        <f>J89*(1+'Escalators &amp; overheads'!I$5)*(1-'Escalators &amp; overheads'!I$9)</f>
        <v>198.85862059952686</v>
      </c>
    </row>
    <row r="90" spans="1:11" ht="30">
      <c r="A90" s="269" t="str">
        <f>'ERG Service assumptions'!B92</f>
        <v>EE_110</v>
      </c>
      <c r="B90" s="270" t="str">
        <f>VLOOKUP($A90,'ERG Service assumptions'!$B:$AR,'ERG Service assumptions'!D$3,FALSE)</f>
        <v>Connection application and management services</v>
      </c>
      <c r="C90" s="270" t="str">
        <f>VLOOKUP($A90,'ERG Service assumptions'!$B:$AR,'ERG Service assumptions'!E$3,FALSE)</f>
        <v>Temporary connection</v>
      </c>
      <c r="D90" s="270" t="str">
        <f>VLOOKUP($A90,'ERG Service assumptions'!$B:$AR,'ERG Service assumptions'!F$3,FALSE)</f>
        <v>Customer requested temporary connection (short term) and the recovery of the temporary builders supply. Excludes work on metering equipment.</v>
      </c>
      <c r="E90" s="129" t="str">
        <f>VLOOKUP($A90,'ERG Service assumptions'!$B:$AR,'ERG Service assumptions'!G$3,FALSE)</f>
        <v>BUSINESS HOURS - NO CT</v>
      </c>
      <c r="F90" s="269" t="str">
        <f>VLOOKUP($A90,'ERG Service assumptions'!$B:$AR,'ERG Service assumptions'!H$3,FALSE)</f>
        <v>Urban/Short Rural</v>
      </c>
      <c r="G90" s="168">
        <f>VLOOKUP(A90,'ERG Service assumptions'!$B$6:$AY$315,'ERG Service assumptions'!$AY$3,FALSE)</f>
        <v>990.61789890369096</v>
      </c>
      <c r="H90" s="120">
        <f>G90*(1+'Escalators &amp; overheads'!F$5)*(1-'Escalators &amp; overheads'!F$9)</f>
        <v>1022.8599258981918</v>
      </c>
      <c r="I90" s="120">
        <f>H90*(1+'Escalators &amp; overheads'!G$5)*(1-'Escalators &amp; overheads'!G$9)</f>
        <v>1056.6532761798182</v>
      </c>
      <c r="J90" s="120">
        <f>I90*(1+'Escalators &amp; overheads'!H$5)*(1-'Escalators &amp; overheads'!H$9)</f>
        <v>1091.8478360293716</v>
      </c>
      <c r="K90" s="120">
        <f>J90*(1+'Escalators &amp; overheads'!I$5)*(1-'Escalators &amp; overheads'!I$9)</f>
        <v>1125.5397925933225</v>
      </c>
    </row>
    <row r="91" spans="1:11" ht="30">
      <c r="A91" s="269" t="str">
        <f>'ERG Service assumptions'!B93</f>
        <v>EE_111</v>
      </c>
      <c r="B91" s="270" t="str">
        <f>VLOOKUP($A91,'ERG Service assumptions'!$B:$AR,'ERG Service assumptions'!D$3,FALSE)</f>
        <v>Connection application and management services</v>
      </c>
      <c r="C91" s="270" t="str">
        <f>VLOOKUP($A91,'ERG Service assumptions'!$B:$AR,'ERG Service assumptions'!E$3,FALSE)</f>
        <v>Temporary connection</v>
      </c>
      <c r="D91" s="270" t="str">
        <f>VLOOKUP($A91,'ERG Service assumptions'!$B:$AR,'ERG Service assumptions'!F$3,FALSE)</f>
        <v>Customer requested temporary connection (short term) and the recovery of the temporary builders supply. Excludes work on metering equipment.</v>
      </c>
      <c r="E91" s="129" t="str">
        <f>VLOOKUP($A91,'ERG Service assumptions'!$B:$AR,'ERG Service assumptions'!G$3,FALSE)</f>
        <v>BUSINESS HOURS - NO CT</v>
      </c>
      <c r="F91" s="269" t="str">
        <f>VLOOKUP($A91,'ERG Service assumptions'!$B:$AR,'ERG Service assumptions'!H$3,FALSE)</f>
        <v>Long rural/Isolated</v>
      </c>
      <c r="G91" s="168">
        <f>VLOOKUP(A91,'ERG Service assumptions'!$B$6:$AY$315,'ERG Service assumptions'!$AY$3,FALSE)</f>
        <v>1575.1874717549854</v>
      </c>
      <c r="H91" s="120">
        <f>G91*(1+'Escalators &amp; overheads'!F$5)*(1-'Escalators &amp; overheads'!F$9)</f>
        <v>1626.4557125589617</v>
      </c>
      <c r="I91" s="120">
        <f>H91*(1+'Escalators &amp; overheads'!G$5)*(1-'Escalators &amp; overheads'!G$9)</f>
        <v>1680.1907218406998</v>
      </c>
      <c r="J91" s="120">
        <f>I91*(1+'Escalators &amp; overheads'!H$5)*(1-'Escalators &amp; overheads'!H$9)</f>
        <v>1736.1538028735581</v>
      </c>
      <c r="K91" s="120">
        <f>J91*(1+'Escalators &amp; overheads'!I$5)*(1-'Escalators &amp; overheads'!I$9)</f>
        <v>1789.7275853957415</v>
      </c>
    </row>
    <row r="92" spans="1:11" ht="30">
      <c r="A92" s="269" t="str">
        <f>'ERG Service assumptions'!B94</f>
        <v>EE_112</v>
      </c>
      <c r="B92" s="270" t="str">
        <f>VLOOKUP($A92,'ERG Service assumptions'!$B:$AR,'ERG Service assumptions'!D$3,FALSE)</f>
        <v>Connection application and management services</v>
      </c>
      <c r="C92" s="270" t="str">
        <f>VLOOKUP($A92,'ERG Service assumptions'!$B:$AR,'ERG Service assumptions'!E$3,FALSE)</f>
        <v>Temporary connection</v>
      </c>
      <c r="D92" s="270" t="str">
        <f>VLOOKUP($A92,'ERG Service assumptions'!$B:$AR,'ERG Service assumptions'!F$3,FALSE)</f>
        <v>Customer requested temporary connection (short term) and the recovery of the temporary builders supply. Excludes work on metering equipment.</v>
      </c>
      <c r="E92" s="129" t="str">
        <f>VLOOKUP($A92,'ERG Service assumptions'!$B:$AR,'ERG Service assumptions'!G$3,FALSE)</f>
        <v>AFTER HOURS - NO CT</v>
      </c>
      <c r="F92" s="269" t="str">
        <f>VLOOKUP($A92,'ERG Service assumptions'!$B:$AR,'ERG Service assumptions'!H$3,FALSE)</f>
        <v>Urban/Short Rural</v>
      </c>
      <c r="G92" s="168">
        <f>VLOOKUP(A92,'ERG Service assumptions'!$B$6:$AY$315,'ERG Service assumptions'!$AY$3,FALSE)</f>
        <v>1302.2252678621312</v>
      </c>
      <c r="H92" s="120">
        <f>G92*(1+'Escalators &amp; overheads'!F$5)*(1-'Escalators &amp; overheads'!F$9)</f>
        <v>1344.6093013888803</v>
      </c>
      <c r="I92" s="120">
        <f>H92*(1+'Escalators &amp; overheads'!G$5)*(1-'Escalators &amp; overheads'!G$9)</f>
        <v>1389.0326402677269</v>
      </c>
      <c r="J92" s="120">
        <f>I92*(1+'Escalators &amp; overheads'!H$5)*(1-'Escalators &amp; overheads'!H$9)</f>
        <v>1435.2979512197048</v>
      </c>
      <c r="K92" s="120">
        <f>J92*(1+'Escalators &amp; overheads'!I$5)*(1-'Escalators &amp; overheads'!I$9)</f>
        <v>1479.5880021160651</v>
      </c>
    </row>
    <row r="93" spans="1:11" ht="30">
      <c r="A93" s="269" t="str">
        <f>'ERG Service assumptions'!B95</f>
        <v>EE_113</v>
      </c>
      <c r="B93" s="270" t="str">
        <f>VLOOKUP($A93,'ERG Service assumptions'!$B:$AR,'ERG Service assumptions'!D$3,FALSE)</f>
        <v>Connection application and management services</v>
      </c>
      <c r="C93" s="270" t="str">
        <f>VLOOKUP($A93,'ERG Service assumptions'!$B:$AR,'ERG Service assumptions'!E$3,FALSE)</f>
        <v>Temporary connection</v>
      </c>
      <c r="D93" s="270" t="str">
        <f>VLOOKUP($A93,'ERG Service assumptions'!$B:$AR,'ERG Service assumptions'!F$3,FALSE)</f>
        <v>Customer requested temporary connection (short term) and the recovery of the temporary builders supply. Excludes work on metering equipment.</v>
      </c>
      <c r="E93" s="129" t="str">
        <f>VLOOKUP($A93,'ERG Service assumptions'!$B:$AR,'ERG Service assumptions'!G$3,FALSE)</f>
        <v>AFTER HOURS - NO CT</v>
      </c>
      <c r="F93" s="269" t="str">
        <f>VLOOKUP($A93,'ERG Service assumptions'!$B:$AR,'ERG Service assumptions'!H$3,FALSE)</f>
        <v>Long rural/Isolated</v>
      </c>
      <c r="G93" s="168">
        <f>VLOOKUP(A93,'ERG Service assumptions'!$B$6:$AY$315,'ERG Service assumptions'!$AY$3,FALSE)</f>
        <v>2070.6762209821873</v>
      </c>
      <c r="H93" s="120">
        <f>G93*(1+'Escalators &amp; overheads'!F$5)*(1-'Escalators &amp; overheads'!F$9)</f>
        <v>2138.071327296806</v>
      </c>
      <c r="I93" s="120">
        <f>H93*(1+'Escalators &amp; overheads'!G$5)*(1-'Escalators &amp; overheads'!G$9)</f>
        <v>2208.7091453020389</v>
      </c>
      <c r="J93" s="120">
        <f>I93*(1+'Escalators &amp; overheads'!H$5)*(1-'Escalators &amp; overheads'!H$9)</f>
        <v>2282.275894165608</v>
      </c>
      <c r="K93" s="120">
        <f>J93*(1+'Escalators &amp; overheads'!I$5)*(1-'Escalators &amp; overheads'!I$9)</f>
        <v>2352.70177014922</v>
      </c>
    </row>
    <row r="94" spans="1:11" ht="30">
      <c r="A94" s="269" t="str">
        <f>'ERG Service assumptions'!B96</f>
        <v>EE_114</v>
      </c>
      <c r="B94" s="270" t="str">
        <f>VLOOKUP($A94,'ERG Service assumptions'!$B:$AR,'ERG Service assumptions'!D$3,FALSE)</f>
        <v>Connection application and management services</v>
      </c>
      <c r="C94" s="270" t="str">
        <f>VLOOKUP($A94,'ERG Service assumptions'!$B:$AR,'ERG Service assumptions'!E$3,FALSE)</f>
        <v>Temporary connection</v>
      </c>
      <c r="D94" s="270" t="str">
        <f>VLOOKUP($A94,'ERG Service assumptions'!$B:$AR,'ERG Service assumptions'!F$3,FALSE)</f>
        <v>Customer requested temporary connection (short term) and the recovery of the temporary builders supply. Excludes work on metering equipment.</v>
      </c>
      <c r="E94" s="129" t="str">
        <f>VLOOKUP($A94,'ERG Service assumptions'!$B:$AR,'ERG Service assumptions'!G$3,FALSE)</f>
        <v>BUSINESS HOURS - CT</v>
      </c>
      <c r="F94" s="269" t="str">
        <f>VLOOKUP($A94,'ERG Service assumptions'!$B:$AR,'ERG Service assumptions'!H$3,FALSE)</f>
        <v>Urban/Short Rural</v>
      </c>
      <c r="G94" s="168">
        <f>VLOOKUP(A94,'ERG Service assumptions'!$B$6:$AY$315,'ERG Service assumptions'!$AY$3,FALSE)</f>
        <v>1690.7012196836843</v>
      </c>
      <c r="H94" s="120">
        <f>G94*(1+'Escalators &amp; overheads'!F$5)*(1-'Escalators &amp; overheads'!F$9)</f>
        <v>1745.7291314799522</v>
      </c>
      <c r="I94" s="120">
        <f>H94*(1+'Escalators &amp; overheads'!G$5)*(1-'Escalators &amp; overheads'!G$9)</f>
        <v>1803.4047081090175</v>
      </c>
      <c r="J94" s="120">
        <f>I94*(1+'Escalators &amp; overheads'!H$5)*(1-'Escalators &amp; overheads'!H$9)</f>
        <v>1863.471748417619</v>
      </c>
      <c r="K94" s="120">
        <f>J94*(1+'Escalators &amp; overheads'!I$5)*(1-'Escalators &amp; overheads'!I$9)</f>
        <v>1920.974274991429</v>
      </c>
    </row>
    <row r="95" spans="1:11" ht="30">
      <c r="A95" s="269" t="str">
        <f>'ERG Service assumptions'!B97</f>
        <v>EE_115</v>
      </c>
      <c r="B95" s="270" t="str">
        <f>VLOOKUP($A95,'ERG Service assumptions'!$B:$AR,'ERG Service assumptions'!D$3,FALSE)</f>
        <v>Connection application and management services</v>
      </c>
      <c r="C95" s="270" t="str">
        <f>VLOOKUP($A95,'ERG Service assumptions'!$B:$AR,'ERG Service assumptions'!E$3,FALSE)</f>
        <v>Temporary connection</v>
      </c>
      <c r="D95" s="270" t="str">
        <f>VLOOKUP($A95,'ERG Service assumptions'!$B:$AR,'ERG Service assumptions'!F$3,FALSE)</f>
        <v>Customer requested temporary connection (short term) and the recovery of the temporary builders supply. Excludes work on metering equipment.</v>
      </c>
      <c r="E95" s="129" t="str">
        <f>VLOOKUP($A95,'ERG Service assumptions'!$B:$AR,'ERG Service assumptions'!G$3,FALSE)</f>
        <v>BUSINESS HOURS - CT</v>
      </c>
      <c r="F95" s="269" t="str">
        <f>VLOOKUP($A95,'ERG Service assumptions'!$B:$AR,'ERG Service assumptions'!H$3,FALSE)</f>
        <v>Long rural/Isolated</v>
      </c>
      <c r="G95" s="168">
        <f>VLOOKUP(A95,'ERG Service assumptions'!$B$6:$AY$315,'ERG Service assumptions'!$AY$3,FALSE)</f>
        <v>2275.2707925349787</v>
      </c>
      <c r="H95" s="120">
        <f>G95*(1+'Escalators &amp; overheads'!F$5)*(1-'Escalators &amp; overheads'!F$9)</f>
        <v>2349.3249181407227</v>
      </c>
      <c r="I95" s="120">
        <f>H95*(1+'Escalators &amp; overheads'!G$5)*(1-'Escalators &amp; overheads'!G$9)</f>
        <v>2426.9421537698995</v>
      </c>
      <c r="J95" s="120">
        <f>I95*(1+'Escalators &amp; overheads'!H$5)*(1-'Escalators &amp; overheads'!H$9)</f>
        <v>2507.7777152618064</v>
      </c>
      <c r="K95" s="120">
        <f>J95*(1+'Escalators &amp; overheads'!I$5)*(1-'Escalators &amp; overheads'!I$9)</f>
        <v>2585.162067793849</v>
      </c>
    </row>
    <row r="96" spans="1:11" ht="30">
      <c r="A96" s="269" t="str">
        <f>'ERG Service assumptions'!B98</f>
        <v>EE_116</v>
      </c>
      <c r="B96" s="270" t="str">
        <f>VLOOKUP($A96,'ERG Service assumptions'!$B:$AR,'ERG Service assumptions'!D$3,FALSE)</f>
        <v>Connection application and management services</v>
      </c>
      <c r="C96" s="270" t="str">
        <f>VLOOKUP($A96,'ERG Service assumptions'!$B:$AR,'ERG Service assumptions'!E$3,FALSE)</f>
        <v>Temporary connection</v>
      </c>
      <c r="D96" s="270" t="str">
        <f>VLOOKUP($A96,'ERG Service assumptions'!$B:$AR,'ERG Service assumptions'!F$3,FALSE)</f>
        <v>Customer requested temporary connection (short term) and the recovery of the temporary builders supply. Excludes work on metering equipment.</v>
      </c>
      <c r="E96" s="129" t="str">
        <f>VLOOKUP($A96,'ERG Service assumptions'!$B:$AR,'ERG Service assumptions'!G$3,FALSE)</f>
        <v>AFTER HOURS - CT</v>
      </c>
      <c r="F96" s="269" t="str">
        <f>VLOOKUP($A96,'ERG Service assumptions'!$B:$AR,'ERG Service assumptions'!H$3,FALSE)</f>
        <v>Urban/Short Rural</v>
      </c>
      <c r="G96" s="168">
        <f>VLOOKUP(A96,'ERG Service assumptions'!$B$6:$AY$315,'ERG Service assumptions'!$AY$3,FALSE)</f>
        <v>2222.5258105208814</v>
      </c>
      <c r="H96" s="120">
        <f>G96*(1+'Escalators &amp; overheads'!F$5)*(1-'Escalators &amp; overheads'!F$9)</f>
        <v>2294.8632246319057</v>
      </c>
      <c r="I96" s="120">
        <f>H96*(1+'Escalators &amp; overheads'!G$5)*(1-'Escalators &amp; overheads'!G$9)</f>
        <v>2370.681149290856</v>
      </c>
      <c r="J96" s="120">
        <f>I96*(1+'Escalators &amp; overheads'!H$5)*(1-'Escalators &amp; overheads'!H$9)</f>
        <v>2449.642793071087</v>
      </c>
      <c r="K96" s="120">
        <f>J96*(1+'Escalators &amp; overheads'!I$5)*(1-'Escalators &amp; overheads'!I$9)</f>
        <v>2525.2332332934975</v>
      </c>
    </row>
    <row r="97" spans="1:11" ht="30">
      <c r="A97" s="269" t="str">
        <f>'ERG Service assumptions'!B99</f>
        <v>EE_117</v>
      </c>
      <c r="B97" s="270" t="str">
        <f>VLOOKUP($A97,'ERG Service assumptions'!$B:$AR,'ERG Service assumptions'!D$3,FALSE)</f>
        <v>Connection application and management services</v>
      </c>
      <c r="C97" s="270" t="str">
        <f>VLOOKUP($A97,'ERG Service assumptions'!$B:$AR,'ERG Service assumptions'!E$3,FALSE)</f>
        <v>Temporary connection</v>
      </c>
      <c r="D97" s="270" t="str">
        <f>VLOOKUP($A97,'ERG Service assumptions'!$B:$AR,'ERG Service assumptions'!F$3,FALSE)</f>
        <v>Customer requested temporary connection (short term) and the recovery of the temporary builders supply. Excludes work on metering equipment.</v>
      </c>
      <c r="E97" s="129" t="str">
        <f>VLOOKUP($A97,'ERG Service assumptions'!$B:$AR,'ERG Service assumptions'!G$3,FALSE)</f>
        <v>AFTER HOURS - CT</v>
      </c>
      <c r="F97" s="269" t="str">
        <f>VLOOKUP($A97,'ERG Service assumptions'!$B:$AR,'ERG Service assumptions'!H$3,FALSE)</f>
        <v>Long rural/Isolated</v>
      </c>
      <c r="G97" s="168">
        <f>VLOOKUP(A97,'ERG Service assumptions'!$B$6:$AY$315,'ERG Service assumptions'!$AY$3,FALSE)</f>
        <v>2990.9767636409379</v>
      </c>
      <c r="H97" s="120">
        <f>G97*(1+'Escalators &amp; overheads'!F$5)*(1-'Escalators &amp; overheads'!F$9)</f>
        <v>3088.3252505398318</v>
      </c>
      <c r="I97" s="120">
        <f>H97*(1+'Escalators &amp; overheads'!G$5)*(1-'Escalators &amp; overheads'!G$9)</f>
        <v>3190.3576543251684</v>
      </c>
      <c r="J97" s="120">
        <f>I97*(1+'Escalators &amp; overheads'!H$5)*(1-'Escalators &amp; overheads'!H$9)</f>
        <v>3296.6207360169906</v>
      </c>
      <c r="K97" s="120">
        <f>J97*(1+'Escalators &amp; overheads'!I$5)*(1-'Escalators &amp; overheads'!I$9)</f>
        <v>3398.3470013266524</v>
      </c>
    </row>
    <row r="98" spans="1:11" ht="60">
      <c r="A98" s="269" t="str">
        <f>'ERG Service assumptions'!B100</f>
        <v>EE_118</v>
      </c>
      <c r="B98" s="270" t="str">
        <f>VLOOKUP($A98,'ERG Service assumptions'!$B:$AR,'ERG Service assumptions'!D$3,FALSE)</f>
        <v>Connection application and management services</v>
      </c>
      <c r="C98" s="270" t="str">
        <f>VLOOKUP($A98,'ERG Service assumptions'!$B:$AR,'ERG Service assumptions'!E$3,FALSE)</f>
        <v>Supply Abolishment</v>
      </c>
      <c r="D98" s="270" t="str">
        <f>VLOOKUP($A98,'ERG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8" s="129" t="str">
        <f>VLOOKUP($A98,'ERG Service assumptions'!$B:$AR,'ERG Service assumptions'!G$3,FALSE)</f>
        <v>SERVICE ONLY - BUSINESS HOURS - CT (Complex)</v>
      </c>
      <c r="F98" s="269" t="str">
        <f>VLOOKUP($A98,'ERG Service assumptions'!$B:$AR,'ERG Service assumptions'!H$3,FALSE)</f>
        <v>Urban/Short Rural</v>
      </c>
      <c r="G98" s="168">
        <f>VLOOKUP(A98,'ERG Service assumptions'!$B$6:$AY$315,'ERG Service assumptions'!$AY$3,FALSE)</f>
        <v>465.5554083186957</v>
      </c>
      <c r="H98" s="120">
        <f>G98*(1+'Escalators &amp; overheads'!F$5)*(1-'Escalators &amp; overheads'!F$9)</f>
        <v>480.70802171187097</v>
      </c>
      <c r="I98" s="120">
        <f>H98*(1+'Escalators &amp; overheads'!G$5)*(1-'Escalators &amp; overheads'!G$9)</f>
        <v>496.589702232918</v>
      </c>
      <c r="J98" s="120">
        <f>I98*(1+'Escalators &amp; overheads'!H$5)*(1-'Escalators &amp; overheads'!H$9)</f>
        <v>513.12990173818503</v>
      </c>
      <c r="K98" s="120">
        <f>J98*(1+'Escalators &amp; overheads'!I$5)*(1-'Escalators &amp; overheads'!I$9)</f>
        <v>528.96393079474137</v>
      </c>
    </row>
    <row r="99" spans="1:11" ht="60">
      <c r="A99" s="269" t="str">
        <f>'ERG Service assumptions'!B101</f>
        <v>EE_119</v>
      </c>
      <c r="B99" s="270" t="str">
        <f>VLOOKUP($A99,'ERG Service assumptions'!$B:$AR,'ERG Service assumptions'!D$3,FALSE)</f>
        <v>Connection application and management services</v>
      </c>
      <c r="C99" s="270" t="str">
        <f>VLOOKUP($A99,'ERG Service assumptions'!$B:$AR,'ERG Service assumptions'!E$3,FALSE)</f>
        <v>Supply Abolishment</v>
      </c>
      <c r="D99" s="270" t="str">
        <f>VLOOKUP($A99,'ERG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9" s="129" t="str">
        <f>VLOOKUP($A99,'ERG Service assumptions'!$B:$AR,'ERG Service assumptions'!G$3,FALSE)</f>
        <v>SERVICE ONLY - BUSINESS HOURS - CT (Complex)</v>
      </c>
      <c r="F99" s="269" t="str">
        <f>VLOOKUP($A99,'ERG Service assumptions'!$B:$AR,'ERG Service assumptions'!H$3,FALSE)</f>
        <v>Long rural/Isolated</v>
      </c>
      <c r="G99" s="168">
        <f>VLOOKUP(A99,'ERG Service assumptions'!$B$6:$AY$315,'ERG Service assumptions'!$AY$3,FALSE)</f>
        <v>1050.1249811699904</v>
      </c>
      <c r="H99" s="120">
        <f>G99*(1+'Escalators &amp; overheads'!F$5)*(1-'Escalators &amp; overheads'!F$9)</f>
        <v>1084.3038083726415</v>
      </c>
      <c r="I99" s="120">
        <f>H99*(1+'Escalators &amp; overheads'!G$5)*(1-'Escalators &amp; overheads'!G$9)</f>
        <v>1120.1271478938002</v>
      </c>
      <c r="J99" s="120">
        <f>I99*(1+'Escalators &amp; overheads'!H$5)*(1-'Escalators &amp; overheads'!H$9)</f>
        <v>1157.4358685823724</v>
      </c>
      <c r="K99" s="120">
        <f>J99*(1+'Escalators &amp; overheads'!I$5)*(1-'Escalators &amp; overheads'!I$9)</f>
        <v>1193.1517235971614</v>
      </c>
    </row>
    <row r="100" spans="1:11" ht="60">
      <c r="A100" s="269" t="str">
        <f>'ERG Service assumptions'!B102</f>
        <v>EE_120</v>
      </c>
      <c r="B100" s="270" t="str">
        <f>VLOOKUP($A100,'ERG Service assumptions'!$B:$AR,'ERG Service assumptions'!D$3,FALSE)</f>
        <v>Connection application and management services</v>
      </c>
      <c r="C100" s="270" t="str">
        <f>VLOOKUP($A100,'ERG Service assumptions'!$B:$AR,'ERG Service assumptions'!E$3,FALSE)</f>
        <v>Supply Abolishment</v>
      </c>
      <c r="D100" s="270" t="str">
        <f>VLOOKUP($A100,'ERG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0" s="129" t="str">
        <f>VLOOKUP($A100,'ERG Service assumptions'!$B:$AR,'ERG Service assumptions'!G$3,FALSE)</f>
        <v>SERVICE ONLY - BUSINESS HOURS - CT (Complex) - Traffic control</v>
      </c>
      <c r="F100" s="269" t="str">
        <f>VLOOKUP($A100,'ERG Service assumptions'!$B:$AR,'ERG Service assumptions'!H$3,FALSE)</f>
        <v>Urban/Short Rural</v>
      </c>
      <c r="G100" s="168">
        <f>VLOOKUP(A100,'ERG Service assumptions'!$B$6:$AY$315,'ERG Service assumptions'!$AY$3,FALSE)</f>
        <v>1266.7462338815694</v>
      </c>
      <c r="H100" s="120">
        <f>G100*(1+'Escalators &amp; overheads'!F$5)*(1-'Escalators &amp; overheads'!F$9)</f>
        <v>1307.9755174561865</v>
      </c>
      <c r="I100" s="120">
        <f>H100*(1+'Escalators &amp; overheads'!G$5)*(1-'Escalators &amp; overheads'!G$9)</f>
        <v>1351.1885456549153</v>
      </c>
      <c r="J100" s="120">
        <f>I100*(1+'Escalators &amp; overheads'!H$5)*(1-'Escalators &amp; overheads'!H$9)</f>
        <v>1396.1933615298153</v>
      </c>
      <c r="K100" s="120">
        <f>J100*(1+'Escalators &amp; overheads'!I$5)*(1-'Escalators &amp; overheads'!I$9)</f>
        <v>1439.2767331675768</v>
      </c>
    </row>
    <row r="101" spans="1:11" ht="60">
      <c r="A101" s="269" t="str">
        <f>'ERG Service assumptions'!B103</f>
        <v>EE_121</v>
      </c>
      <c r="B101" s="270" t="str">
        <f>VLOOKUP($A101,'ERG Service assumptions'!$B:$AR,'ERG Service assumptions'!D$3,FALSE)</f>
        <v>Connection application and management services</v>
      </c>
      <c r="C101" s="270" t="str">
        <f>VLOOKUP($A101,'ERG Service assumptions'!$B:$AR,'ERG Service assumptions'!E$3,FALSE)</f>
        <v>Supply Abolishment</v>
      </c>
      <c r="D101" s="270" t="str">
        <f>VLOOKUP($A101,'ERG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1" s="129" t="str">
        <f>VLOOKUP($A101,'ERG Service assumptions'!$B:$AR,'ERG Service assumptions'!G$3,FALSE)</f>
        <v>SERVICE ONLY - BUSINESS HOURS - CT (Complex) - Traffic control</v>
      </c>
      <c r="F101" s="269" t="str">
        <f>VLOOKUP($A101,'ERG Service assumptions'!$B:$AR,'ERG Service assumptions'!H$3,FALSE)</f>
        <v>Long rural/Isolated</v>
      </c>
      <c r="G101" s="168">
        <f>VLOOKUP(A101,'ERG Service assumptions'!$B$6:$AY$315,'ERG Service assumptions'!$AY$3,FALSE)</f>
        <v>1851.3158067328641</v>
      </c>
      <c r="H101" s="120">
        <f>G101*(1+'Escalators &amp; overheads'!F$5)*(1-'Escalators &amp; overheads'!F$9)</f>
        <v>1911.571304116957</v>
      </c>
      <c r="I101" s="120">
        <f>H101*(1+'Escalators &amp; overheads'!G$5)*(1-'Escalators &amp; overheads'!G$9)</f>
        <v>1974.7259913157977</v>
      </c>
      <c r="J101" s="120">
        <f>I101*(1+'Escalators &amp; overheads'!H$5)*(1-'Escalators &amp; overheads'!H$9)</f>
        <v>2040.4993283740032</v>
      </c>
      <c r="K101" s="120">
        <f>J101*(1+'Escalators &amp; overheads'!I$5)*(1-'Escalators &amp; overheads'!I$9)</f>
        <v>2103.4645259699973</v>
      </c>
    </row>
    <row r="102" spans="1:11" ht="60">
      <c r="A102" s="269" t="str">
        <f>'ERG Service assumptions'!B104</f>
        <v>EE_122</v>
      </c>
      <c r="B102" s="270" t="str">
        <f>VLOOKUP($A102,'ERG Service assumptions'!$B:$AR,'ERG Service assumptions'!D$3,FALSE)</f>
        <v>Connection application and management services</v>
      </c>
      <c r="C102" s="270" t="str">
        <f>VLOOKUP($A102,'ERG Service assumptions'!$B:$AR,'ERG Service assumptions'!E$3,FALSE)</f>
        <v>Supply Abolishment</v>
      </c>
      <c r="D102" s="270" t="str">
        <f>VLOOKUP($A102,'ERG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2" s="129" t="str">
        <f>VLOOKUP($A102,'ERG Service assumptions'!$B:$AR,'ERG Service assumptions'!G$3,FALSE)</f>
        <v>SERVICE ONLY - BUSINESS HOURS - NO CT (Simple)</v>
      </c>
      <c r="F102" s="269" t="str">
        <f>VLOOKUP($A102,'ERG Service assumptions'!$B:$AR,'ERG Service assumptions'!H$3,FALSE)</f>
        <v>Urban/Short Rural</v>
      </c>
      <c r="G102" s="168">
        <f>VLOOKUP(A102,'ERG Service assumptions'!$B$6:$AY$315,'ERG Service assumptions'!$AY$3,FALSE)</f>
        <v>378.04499322119648</v>
      </c>
      <c r="H102" s="120">
        <f>G102*(1+'Escalators &amp; overheads'!F$5)*(1-'Escalators &amp; overheads'!F$9)</f>
        <v>390.34937101415085</v>
      </c>
      <c r="I102" s="120">
        <f>H102*(1+'Escalators &amp; overheads'!G$5)*(1-'Escalators &amp; overheads'!G$9)</f>
        <v>403.24577324176795</v>
      </c>
      <c r="J102" s="120">
        <f>I102*(1+'Escalators &amp; overheads'!H$5)*(1-'Escalators &amp; overheads'!H$9)</f>
        <v>416.67691268965399</v>
      </c>
      <c r="K102" s="120">
        <f>J102*(1+'Escalators &amp; overheads'!I$5)*(1-'Escalators &amp; overheads'!I$9)</f>
        <v>429.53462049497796</v>
      </c>
    </row>
    <row r="103" spans="1:11" ht="60">
      <c r="A103" s="269" t="str">
        <f>'ERG Service assumptions'!B105</f>
        <v>EE_123</v>
      </c>
      <c r="B103" s="270" t="str">
        <f>VLOOKUP($A103,'ERG Service assumptions'!$B:$AR,'ERG Service assumptions'!D$3,FALSE)</f>
        <v>Connection application and management services</v>
      </c>
      <c r="C103" s="270" t="str">
        <f>VLOOKUP($A103,'ERG Service assumptions'!$B:$AR,'ERG Service assumptions'!E$3,FALSE)</f>
        <v>Supply Abolishment</v>
      </c>
      <c r="D103" s="270" t="str">
        <f>VLOOKUP($A103,'ERG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3" s="129" t="str">
        <f>VLOOKUP($A103,'ERG Service assumptions'!$B:$AR,'ERG Service assumptions'!G$3,FALSE)</f>
        <v>SERVICE ONLY - BUSINESS HOURS - NO CT (Simple)</v>
      </c>
      <c r="F103" s="269" t="str">
        <f>VLOOKUP($A103,'ERG Service assumptions'!$B:$AR,'ERG Service assumptions'!H$3,FALSE)</f>
        <v>Long rural/Isolated</v>
      </c>
      <c r="G103" s="168">
        <f>VLOOKUP(A103,'ERG Service assumptions'!$B$6:$AY$315,'ERG Service assumptions'!$AY$3,FALSE)</f>
        <v>962.61456607249102</v>
      </c>
      <c r="H103" s="120">
        <f>G103*(1+'Escalators &amp; overheads'!F$5)*(1-'Escalators &amp; overheads'!F$9)</f>
        <v>993.94515767492112</v>
      </c>
      <c r="I103" s="120">
        <f>H103*(1+'Escalators &amp; overheads'!G$5)*(1-'Escalators &amp; overheads'!G$9)</f>
        <v>1026.7832189026499</v>
      </c>
      <c r="J103" s="120">
        <f>I103*(1+'Escalators &amp; overheads'!H$5)*(1-'Escalators &amp; overheads'!H$9)</f>
        <v>1060.982879533841</v>
      </c>
      <c r="K103" s="120">
        <f>J103*(1+'Escalators &amp; overheads'!I$5)*(1-'Escalators &amp; overheads'!I$9)</f>
        <v>1093.7224132973975</v>
      </c>
    </row>
    <row r="104" spans="1:11" ht="35.25" customHeight="1">
      <c r="A104" s="269" t="str">
        <f>'ERG Service assumptions'!B106</f>
        <v>EE_124</v>
      </c>
      <c r="B104" s="270" t="str">
        <f>VLOOKUP($A104,'ERG Service assumptions'!$B:$AR,'ERG Service assumptions'!D$3,FALSE)</f>
        <v>Connection application and management services</v>
      </c>
      <c r="C104" s="270" t="str">
        <f>VLOOKUP($A104,'ERG Service assumptions'!$B:$AR,'ERG Service assumptions'!E$3,FALSE)</f>
        <v>Supply Abolishment</v>
      </c>
      <c r="D104" s="270" t="str">
        <f>VLOOKUP($A104,'ERG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4" s="129" t="str">
        <f>VLOOKUP($A104,'ERG Service assumptions'!$B:$AR,'ERG Service assumptions'!G$3,FALSE)</f>
        <v>SERVICE ONLY - BUSINESS HOURS - NO CT (Simple) - Traffic control</v>
      </c>
      <c r="F104" s="269" t="str">
        <f>VLOOKUP($A104,'ERG Service assumptions'!$B:$AR,'ERG Service assumptions'!H$3,FALSE)</f>
        <v>Urban/Short Rural</v>
      </c>
      <c r="G104" s="168">
        <f>VLOOKUP(A104,'ERG Service assumptions'!$B$6:$AY$315,'ERG Service assumptions'!$AY$3,FALSE)</f>
        <v>1179.2358187840703</v>
      </c>
      <c r="H104" s="120">
        <f>G104*(1+'Escalators &amp; overheads'!F$5)*(1-'Escalators &amp; overheads'!F$9)</f>
        <v>1217.6168667584666</v>
      </c>
      <c r="I104" s="120">
        <f>H104*(1+'Escalators &amp; overheads'!G$5)*(1-'Escalators &amp; overheads'!G$9)</f>
        <v>1257.8446166637657</v>
      </c>
      <c r="J104" s="120">
        <f>I104*(1+'Escalators &amp; overheads'!H$5)*(1-'Escalators &amp; overheads'!H$9)</f>
        <v>1299.7403724812848</v>
      </c>
      <c r="K104" s="120">
        <f>J104*(1+'Escalators &amp; overheads'!I$5)*(1-'Escalators &amp; overheads'!I$9)</f>
        <v>1339.8474228678137</v>
      </c>
    </row>
    <row r="105" spans="1:11" ht="60">
      <c r="A105" s="269" t="str">
        <f>'ERG Service assumptions'!B107</f>
        <v>EE_125</v>
      </c>
      <c r="B105" s="270" t="str">
        <f>VLOOKUP($A105,'ERG Service assumptions'!$B:$AR,'ERG Service assumptions'!D$3,FALSE)</f>
        <v>Connection application and management services</v>
      </c>
      <c r="C105" s="270" t="str">
        <f>VLOOKUP($A105,'ERG Service assumptions'!$B:$AR,'ERG Service assumptions'!E$3,FALSE)</f>
        <v>Supply Abolishment</v>
      </c>
      <c r="D105" s="270" t="str">
        <f>VLOOKUP($A105,'ERG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5" s="129" t="str">
        <f>VLOOKUP($A105,'ERG Service assumptions'!$B:$AR,'ERG Service assumptions'!G$3,FALSE)</f>
        <v>SERVICE ONLY - BUSINESS HOURS - NO CT (Simple) - Traffic control</v>
      </c>
      <c r="F105" s="269" t="str">
        <f>VLOOKUP($A105,'ERG Service assumptions'!$B:$AR,'ERG Service assumptions'!H$3,FALSE)</f>
        <v>Long rural/Isolated</v>
      </c>
      <c r="G105" s="168">
        <f>VLOOKUP(A105,'ERG Service assumptions'!$B$6:$AY$315,'ERG Service assumptions'!$AY$3,FALSE)</f>
        <v>1763.8053916353647</v>
      </c>
      <c r="H105" s="120">
        <f>G105*(1+'Escalators &amp; overheads'!F$5)*(1-'Escalators &amp; overheads'!F$9)</f>
        <v>1821.2126534192366</v>
      </c>
      <c r="I105" s="120">
        <f>H105*(1+'Escalators &amp; overheads'!G$5)*(1-'Escalators &amp; overheads'!G$9)</f>
        <v>1881.3820623246472</v>
      </c>
      <c r="J105" s="120">
        <f>I105*(1+'Escalators &amp; overheads'!H$5)*(1-'Escalators &amp; overheads'!H$9)</f>
        <v>1944.0463393254715</v>
      </c>
      <c r="K105" s="120">
        <f>J105*(1+'Escalators &amp; overheads'!I$5)*(1-'Escalators &amp; overheads'!I$9)</f>
        <v>2004.0352156702329</v>
      </c>
    </row>
    <row r="106" spans="1:11" ht="60">
      <c r="A106" s="269" t="str">
        <f>'ERG Service assumptions'!B108</f>
        <v>EE_126</v>
      </c>
      <c r="B106" s="270" t="str">
        <f>VLOOKUP($A106,'ERG Service assumptions'!$B:$AR,'ERG Service assumptions'!D$3,FALSE)</f>
        <v>Connection application and management services</v>
      </c>
      <c r="C106" s="270" t="str">
        <f>VLOOKUP($A106,'ERG Service assumptions'!$B:$AR,'ERG Service assumptions'!E$3,FALSE)</f>
        <v>Supply Abolishment</v>
      </c>
      <c r="D106" s="270" t="str">
        <f>VLOOKUP($A106,'ERG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6" s="129" t="str">
        <f>VLOOKUP($A106,'ERG Service assumptions'!$B:$AR,'ERG Service assumptions'!G$3,FALSE)</f>
        <v>SERVICE ONLY - AFTER HOURS - CT (Complex)</v>
      </c>
      <c r="F106" s="269" t="str">
        <f>VLOOKUP($A106,'ERG Service assumptions'!$B:$AR,'ERG Service assumptions'!H$3,FALSE)</f>
        <v>Urban/Short Rural</v>
      </c>
      <c r="G106" s="168">
        <f>VLOOKUP(A106,'ERG Service assumptions'!$B$6:$AY$315,'ERG Service assumptions'!$AY$3,FALSE)</f>
        <v>611.99986086806871</v>
      </c>
      <c r="H106" s="120">
        <f>G106*(1+'Escalators &amp; overheads'!F$5)*(1-'Escalators &amp; overheads'!F$9)</f>
        <v>631.91885895661153</v>
      </c>
      <c r="I106" s="120">
        <f>H106*(1+'Escalators &amp; overheads'!G$5)*(1-'Escalators &amp; overheads'!G$9)</f>
        <v>652.79625850038042</v>
      </c>
      <c r="J106" s="120">
        <f>I106*(1+'Escalators &amp; overheads'!H$5)*(1-'Escalators &amp; overheads'!H$9)</f>
        <v>674.53931983116854</v>
      </c>
      <c r="K106" s="120">
        <f>J106*(1+'Escalators &amp; overheads'!I$5)*(1-'Escalators &amp; overheads'!I$9)</f>
        <v>695.35407873299164</v>
      </c>
    </row>
    <row r="107" spans="1:11" ht="60">
      <c r="A107" s="269" t="str">
        <f>'ERG Service assumptions'!B109</f>
        <v>EE_127</v>
      </c>
      <c r="B107" s="270" t="str">
        <f>VLOOKUP($A107,'ERG Service assumptions'!$B:$AR,'ERG Service assumptions'!D$3,FALSE)</f>
        <v>Connection application and management services</v>
      </c>
      <c r="C107" s="270" t="str">
        <f>VLOOKUP($A107,'ERG Service assumptions'!$B:$AR,'ERG Service assumptions'!E$3,FALSE)</f>
        <v>Supply Abolishment</v>
      </c>
      <c r="D107" s="270" t="str">
        <f>VLOOKUP($A107,'ERG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7" s="129" t="str">
        <f>VLOOKUP($A107,'ERG Service assumptions'!$B:$AR,'ERG Service assumptions'!G$3,FALSE)</f>
        <v>SERVICE ONLY - AFTER HOURS - CT (Complex)</v>
      </c>
      <c r="F107" s="269" t="str">
        <f>VLOOKUP($A107,'ERG Service assumptions'!$B:$AR,'ERG Service assumptions'!H$3,FALSE)</f>
        <v>Long rural/Isolated</v>
      </c>
      <c r="G107" s="168">
        <f>VLOOKUP(A107,'ERG Service assumptions'!$B$6:$AY$315,'ERG Service assumptions'!$AY$3,FALSE)</f>
        <v>1380.450813988125</v>
      </c>
      <c r="H107" s="120">
        <f>G107*(1+'Escalators &amp; overheads'!F$5)*(1-'Escalators &amp; overheads'!F$9)</f>
        <v>1425.3808848645376</v>
      </c>
      <c r="I107" s="120">
        <f>H107*(1+'Escalators &amp; overheads'!G$5)*(1-'Escalators &amp; overheads'!G$9)</f>
        <v>1472.4727635346931</v>
      </c>
      <c r="J107" s="120">
        <f>I107*(1+'Escalators &amp; overheads'!H$5)*(1-'Escalators &amp; overheads'!H$9)</f>
        <v>1521.5172627770726</v>
      </c>
      <c r="K107" s="120">
        <f>J107*(1+'Escalators &amp; overheads'!I$5)*(1-'Escalators &amp; overheads'!I$9)</f>
        <v>1568.4678467661472</v>
      </c>
    </row>
    <row r="108" spans="1:11" ht="60">
      <c r="A108" s="269" t="str">
        <f>'ERG Service assumptions'!B110</f>
        <v>EE_128</v>
      </c>
      <c r="B108" s="270" t="str">
        <f>VLOOKUP($A108,'ERG Service assumptions'!$B:$AR,'ERG Service assumptions'!D$3,FALSE)</f>
        <v>Connection application and management services</v>
      </c>
      <c r="C108" s="270" t="str">
        <f>VLOOKUP($A108,'ERG Service assumptions'!$B:$AR,'ERG Service assumptions'!E$3,FALSE)</f>
        <v>Supply Abolishment</v>
      </c>
      <c r="D108" s="270" t="str">
        <f>VLOOKUP($A108,'ERG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8" s="129" t="str">
        <f>VLOOKUP($A108,'ERG Service assumptions'!$B:$AR,'ERG Service assumptions'!G$3,FALSE)</f>
        <v>SERVICE ONLY - AFTER HOURS - CT (Complex) - Traffic control</v>
      </c>
      <c r="F108" s="269" t="str">
        <f>VLOOKUP($A108,'ERG Service assumptions'!$B:$AR,'ERG Service assumptions'!H$3,FALSE)</f>
        <v>Urban/Short Rural</v>
      </c>
      <c r="G108" s="168">
        <f>VLOOKUP(A108,'ERG Service assumptions'!$B$6:$AY$315,'ERG Service assumptions'!$AY$3,FALSE)</f>
        <v>1413.1906864309426</v>
      </c>
      <c r="H108" s="120">
        <f>G108*(1+'Escalators &amp; overheads'!F$5)*(1-'Escalators &amp; overheads'!F$9)</f>
        <v>1459.1863547009275</v>
      </c>
      <c r="I108" s="120">
        <f>H108*(1+'Escalators &amp; overheads'!G$5)*(1-'Escalators &amp; overheads'!G$9)</f>
        <v>1507.3951019223784</v>
      </c>
      <c r="J108" s="120">
        <f>I108*(1+'Escalators &amp; overheads'!H$5)*(1-'Escalators &amp; overheads'!H$9)</f>
        <v>1557.6027796227995</v>
      </c>
      <c r="K108" s="120">
        <f>J108*(1+'Escalators &amp; overheads'!I$5)*(1-'Escalators &amp; overheads'!I$9)</f>
        <v>1605.6668811058275</v>
      </c>
    </row>
    <row r="109" spans="1:11" ht="60">
      <c r="A109" s="269" t="str">
        <f>'ERG Service assumptions'!B111</f>
        <v>EE_129</v>
      </c>
      <c r="B109" s="270" t="str">
        <f>VLOOKUP($A109,'ERG Service assumptions'!$B:$AR,'ERG Service assumptions'!D$3,FALSE)</f>
        <v>Connection application and management services</v>
      </c>
      <c r="C109" s="270" t="str">
        <f>VLOOKUP($A109,'ERG Service assumptions'!$B:$AR,'ERG Service assumptions'!E$3,FALSE)</f>
        <v>Supply Abolishment</v>
      </c>
      <c r="D109" s="270" t="str">
        <f>VLOOKUP($A109,'ERG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9" s="129" t="str">
        <f>VLOOKUP($A109,'ERG Service assumptions'!$B:$AR,'ERG Service assumptions'!G$3,FALSE)</f>
        <v>SERVICE ONLY - AFTER HOURS - CT (Complex) - Traffic control</v>
      </c>
      <c r="F109" s="269" t="str">
        <f>VLOOKUP($A109,'ERG Service assumptions'!$B:$AR,'ERG Service assumptions'!H$3,FALSE)</f>
        <v>Long rural/Isolated</v>
      </c>
      <c r="G109" s="168">
        <f>VLOOKUP(A109,'ERG Service assumptions'!$B$6:$AY$315,'ERG Service assumptions'!$AY$3,FALSE)</f>
        <v>2181.6416395509987</v>
      </c>
      <c r="H109" s="120">
        <f>G109*(1+'Escalators &amp; overheads'!F$5)*(1-'Escalators &amp; overheads'!F$9)</f>
        <v>2252.6483806088531</v>
      </c>
      <c r="I109" s="120">
        <f>H109*(1+'Escalators &amp; overheads'!G$5)*(1-'Escalators &amp; overheads'!G$9)</f>
        <v>2327.0716069566902</v>
      </c>
      <c r="J109" s="120">
        <f>I109*(1+'Escalators &amp; overheads'!H$5)*(1-'Escalators &amp; overheads'!H$9)</f>
        <v>2404.5807225687026</v>
      </c>
      <c r="K109" s="120">
        <f>J109*(1+'Escalators &amp; overheads'!I$5)*(1-'Escalators &amp; overheads'!I$9)</f>
        <v>2478.7806491389824</v>
      </c>
    </row>
    <row r="110" spans="1:11" ht="60">
      <c r="A110" s="269" t="str">
        <f>'ERG Service assumptions'!B112</f>
        <v>EE_130</v>
      </c>
      <c r="B110" s="270" t="str">
        <f>VLOOKUP($A110,'ERG Service assumptions'!$B:$AR,'ERG Service assumptions'!D$3,FALSE)</f>
        <v>Connection application and management services</v>
      </c>
      <c r="C110" s="270" t="str">
        <f>VLOOKUP($A110,'ERG Service assumptions'!$B:$AR,'ERG Service assumptions'!E$3,FALSE)</f>
        <v>Supply Abolishment</v>
      </c>
      <c r="D110" s="270" t="str">
        <f>VLOOKUP($A110,'ERG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0" s="129" t="str">
        <f>VLOOKUP($A110,'ERG Service assumptions'!$B:$AR,'ERG Service assumptions'!G$3,FALSE)</f>
        <v>SERVICE ONLY- AFTER HOURS - NO CT (Simple)</v>
      </c>
      <c r="F110" s="269" t="str">
        <f>VLOOKUP($A110,'ERG Service assumptions'!$B:$AR,'ERG Service assumptions'!H$3,FALSE)</f>
        <v>Urban/Short Rural</v>
      </c>
      <c r="G110" s="168">
        <f>VLOOKUP(A110,'ERG Service assumptions'!$B$6:$AY$315,'ERG Service assumptions'!$AY$3,FALSE)</f>
        <v>496.962293035725</v>
      </c>
      <c r="H110" s="120">
        <f>G110*(1+'Escalators &amp; overheads'!F$5)*(1-'Escalators &amp; overheads'!F$9)</f>
        <v>513.13711855123358</v>
      </c>
      <c r="I110" s="120">
        <f>H110*(1+'Escalators &amp; overheads'!G$5)*(1-'Escalators &amp; overheads'!G$9)</f>
        <v>530.09019487248952</v>
      </c>
      <c r="J110" s="120">
        <f>I110*(1+'Escalators &amp; overheads'!H$5)*(1-'Escalators &amp; overheads'!H$9)</f>
        <v>547.74621459974605</v>
      </c>
      <c r="K110" s="120">
        <f>J110*(1+'Escalators &amp; overheads'!I$5)*(1-'Escalators &amp; overheads'!I$9)</f>
        <v>564.64842483581299</v>
      </c>
    </row>
    <row r="111" spans="1:11" ht="60">
      <c r="A111" s="269" t="str">
        <f>'ERG Service assumptions'!B113</f>
        <v>EE_131</v>
      </c>
      <c r="B111" s="270" t="str">
        <f>VLOOKUP($A111,'ERG Service assumptions'!$B:$AR,'ERG Service assumptions'!D$3,FALSE)</f>
        <v>Connection application and management services</v>
      </c>
      <c r="C111" s="270" t="str">
        <f>VLOOKUP($A111,'ERG Service assumptions'!$B:$AR,'ERG Service assumptions'!E$3,FALSE)</f>
        <v>Supply Abolishment</v>
      </c>
      <c r="D111" s="270" t="str">
        <f>VLOOKUP($A111,'ERG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1" s="129" t="str">
        <f>VLOOKUP($A111,'ERG Service assumptions'!$B:$AR,'ERG Service assumptions'!G$3,FALSE)</f>
        <v>SERVICE ONLY- AFTER HOURS - NO CT (Simple)</v>
      </c>
      <c r="F111" s="269" t="str">
        <f>VLOOKUP($A111,'ERG Service assumptions'!$B:$AR,'ERG Service assumptions'!H$3,FALSE)</f>
        <v>Long rural/Isolated</v>
      </c>
      <c r="G111" s="168">
        <f>VLOOKUP(A111,'ERG Service assumptions'!$B$6:$AY$315,'ERG Service assumptions'!$AY$3,FALSE)</f>
        <v>1265.4132461557811</v>
      </c>
      <c r="H111" s="120">
        <f>G111*(1+'Escalators &amp; overheads'!F$5)*(1-'Escalators &amp; overheads'!F$9)</f>
        <v>1306.5991444591593</v>
      </c>
      <c r="I111" s="120">
        <f>H111*(1+'Escalators &amp; overheads'!G$5)*(1-'Escalators &amp; overheads'!G$9)</f>
        <v>1349.7666999068017</v>
      </c>
      <c r="J111" s="120">
        <f>I111*(1+'Escalators &amp; overheads'!H$5)*(1-'Escalators &amp; overheads'!H$9)</f>
        <v>1394.7241575456494</v>
      </c>
      <c r="K111" s="120">
        <f>J111*(1+'Escalators &amp; overheads'!I$5)*(1-'Escalators &amp; overheads'!I$9)</f>
        <v>1437.7621928689678</v>
      </c>
    </row>
    <row r="112" spans="1:11" ht="60">
      <c r="A112" s="269" t="str">
        <f>'ERG Service assumptions'!B114</f>
        <v>EE_132</v>
      </c>
      <c r="B112" s="270" t="str">
        <f>VLOOKUP($A112,'ERG Service assumptions'!$B:$AR,'ERG Service assumptions'!D$3,FALSE)</f>
        <v>Connection application and management services</v>
      </c>
      <c r="C112" s="270" t="str">
        <f>VLOOKUP($A112,'ERG Service assumptions'!$B:$AR,'ERG Service assumptions'!E$3,FALSE)</f>
        <v>Supply Abolishment</v>
      </c>
      <c r="D112" s="270" t="str">
        <f>VLOOKUP($A112,'ERG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2" s="129" t="str">
        <f>VLOOKUP($A112,'ERG Service assumptions'!$B:$AR,'ERG Service assumptions'!G$3,FALSE)</f>
        <v>SERVICE ONLY- AFTER HOURS - NO CT (Simple) - Traffic control</v>
      </c>
      <c r="F112" s="269" t="str">
        <f>VLOOKUP($A112,'ERG Service assumptions'!$B:$AR,'ERG Service assumptions'!H$3,FALSE)</f>
        <v>Urban/Short Rural</v>
      </c>
      <c r="G112" s="168">
        <f>VLOOKUP(A112,'ERG Service assumptions'!$B$6:$AY$315,'ERG Service assumptions'!$AY$3,FALSE)</f>
        <v>1298.1531185985987</v>
      </c>
      <c r="H112" s="120">
        <f>G112*(1+'Escalators &amp; overheads'!F$5)*(1-'Escalators &amp; overheads'!F$9)</f>
        <v>1340.404614295549</v>
      </c>
      <c r="I112" s="120">
        <f>H112*(1+'Escalators &amp; overheads'!G$5)*(1-'Escalators &amp; overheads'!G$9)</f>
        <v>1384.6890382944869</v>
      </c>
      <c r="J112" s="120">
        <f>I112*(1+'Escalators &amp; overheads'!H$5)*(1-'Escalators &amp; overheads'!H$9)</f>
        <v>1430.8096743913763</v>
      </c>
      <c r="K112" s="120">
        <f>J112*(1+'Escalators &amp; overheads'!I$5)*(1-'Escalators &amp; overheads'!I$9)</f>
        <v>1474.9612272086483</v>
      </c>
    </row>
    <row r="113" spans="1:11" ht="60">
      <c r="A113" s="269" t="str">
        <f>'ERG Service assumptions'!B115</f>
        <v>EE_133</v>
      </c>
      <c r="B113" s="270" t="str">
        <f>VLOOKUP($A113,'ERG Service assumptions'!$B:$AR,'ERG Service assumptions'!D$3,FALSE)</f>
        <v>Connection application and management services</v>
      </c>
      <c r="C113" s="270" t="str">
        <f>VLOOKUP($A113,'ERG Service assumptions'!$B:$AR,'ERG Service assumptions'!E$3,FALSE)</f>
        <v>Supply Abolishment</v>
      </c>
      <c r="D113" s="270" t="str">
        <f>VLOOKUP($A113,'ERG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3" s="129" t="str">
        <f>VLOOKUP($A113,'ERG Service assumptions'!$B:$AR,'ERG Service assumptions'!G$3,FALSE)</f>
        <v>SERVICE ONLY- AFTER HOURS - NO CT (Simple) - Traffic control</v>
      </c>
      <c r="F113" s="269" t="str">
        <f>VLOOKUP($A113,'ERG Service assumptions'!$B:$AR,'ERG Service assumptions'!H$3,FALSE)</f>
        <v>Long rural/Isolated</v>
      </c>
      <c r="G113" s="168">
        <f>VLOOKUP(A113,'ERG Service assumptions'!$B$6:$AY$315,'ERG Service assumptions'!$AY$3,FALSE)</f>
        <v>2066.6040717186547</v>
      </c>
      <c r="H113" s="120">
        <f>G113*(1+'Escalators &amp; overheads'!F$5)*(1-'Escalators &amp; overheads'!F$9)</f>
        <v>2133.8666402034751</v>
      </c>
      <c r="I113" s="120">
        <f>H113*(1+'Escalators &amp; overheads'!G$5)*(1-'Escalators &amp; overheads'!G$9)</f>
        <v>2204.3655433287995</v>
      </c>
      <c r="J113" s="120">
        <f>I113*(1+'Escalators &amp; overheads'!H$5)*(1-'Escalators &amp; overheads'!H$9)</f>
        <v>2277.7876173372802</v>
      </c>
      <c r="K113" s="120">
        <f>J113*(1+'Escalators &amp; overheads'!I$5)*(1-'Escalators &amp; overheads'!I$9)</f>
        <v>2348.0749952418037</v>
      </c>
    </row>
    <row r="114" spans="1:11" ht="60">
      <c r="A114" s="269" t="str">
        <f>'ERG Service assumptions'!B116</f>
        <v>EE_134</v>
      </c>
      <c r="B114" s="270" t="str">
        <f>VLOOKUP($A114,'ERG Service assumptions'!$B:$AR,'ERG Service assumptions'!D$3,FALSE)</f>
        <v>Connection application and management services</v>
      </c>
      <c r="C114" s="270" t="str">
        <f>VLOOKUP($A114,'ERG Service assumptions'!$B:$AR,'ERG Service assumptions'!E$3,FALSE)</f>
        <v>Supply Abolishment</v>
      </c>
      <c r="D114" s="270" t="str">
        <f>VLOOKUP($A114,'ERG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4" s="129" t="str">
        <f>VLOOKUP($A114,'ERG Service assumptions'!$B:$AR,'ERG Service assumptions'!G$3,FALSE)</f>
        <v>SERVICE ONLY - ANYTIME - CT (Complex)</v>
      </c>
      <c r="F114" s="269" t="str">
        <f>VLOOKUP($A114,'ERG Service assumptions'!$B:$AR,'ERG Service assumptions'!H$3,FALSE)</f>
        <v>Urban/Short Rural</v>
      </c>
      <c r="G114" s="168">
        <f>VLOOKUP(A114,'ERG Service assumptions'!$B$6:$AY$315,'ERG Service assumptions'!$AY$3,FALSE)</f>
        <v>611.99986086806871</v>
      </c>
      <c r="H114" s="120">
        <f>G114*(1+'Escalators &amp; overheads'!F$5)*(1-'Escalators &amp; overheads'!F$9)</f>
        <v>631.91885895661153</v>
      </c>
      <c r="I114" s="120">
        <f>H114*(1+'Escalators &amp; overheads'!G$5)*(1-'Escalators &amp; overheads'!G$9)</f>
        <v>652.79625850038042</v>
      </c>
      <c r="J114" s="120">
        <f>I114*(1+'Escalators &amp; overheads'!H$5)*(1-'Escalators &amp; overheads'!H$9)</f>
        <v>674.53931983116854</v>
      </c>
      <c r="K114" s="120">
        <f>J114*(1+'Escalators &amp; overheads'!I$5)*(1-'Escalators &amp; overheads'!I$9)</f>
        <v>695.35407873299164</v>
      </c>
    </row>
    <row r="115" spans="1:11" ht="60">
      <c r="A115" s="269" t="str">
        <f>'ERG Service assumptions'!B117</f>
        <v>EE_135</v>
      </c>
      <c r="B115" s="270" t="str">
        <f>VLOOKUP($A115,'ERG Service assumptions'!$B:$AR,'ERG Service assumptions'!D$3,FALSE)</f>
        <v>Connection application and management services</v>
      </c>
      <c r="C115" s="270" t="str">
        <f>VLOOKUP($A115,'ERG Service assumptions'!$B:$AR,'ERG Service assumptions'!E$3,FALSE)</f>
        <v>Supply Abolishment</v>
      </c>
      <c r="D115" s="270" t="str">
        <f>VLOOKUP($A115,'ERG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5" s="129" t="str">
        <f>VLOOKUP($A115,'ERG Service assumptions'!$B:$AR,'ERG Service assumptions'!G$3,FALSE)</f>
        <v>SERVICE ONLY - ANYTIME - CT (Complex) - Traffic control</v>
      </c>
      <c r="F115" s="269" t="str">
        <f>VLOOKUP($A115,'ERG Service assumptions'!$B:$AR,'ERG Service assumptions'!H$3,FALSE)</f>
        <v>Urban/Short Rural</v>
      </c>
      <c r="G115" s="168">
        <f>VLOOKUP(A115,'ERG Service assumptions'!$B$6:$AY$315,'ERG Service assumptions'!$AY$3,FALSE)</f>
        <v>1413.1906864309426</v>
      </c>
      <c r="H115" s="120">
        <f>G115*(1+'Escalators &amp; overheads'!F$5)*(1-'Escalators &amp; overheads'!F$9)</f>
        <v>1459.1863547009275</v>
      </c>
      <c r="I115" s="120">
        <f>H115*(1+'Escalators &amp; overheads'!G$5)*(1-'Escalators &amp; overheads'!G$9)</f>
        <v>1507.3951019223784</v>
      </c>
      <c r="J115" s="120">
        <f>I115*(1+'Escalators &amp; overheads'!H$5)*(1-'Escalators &amp; overheads'!H$9)</f>
        <v>1557.6027796227995</v>
      </c>
      <c r="K115" s="120">
        <f>J115*(1+'Escalators &amp; overheads'!I$5)*(1-'Escalators &amp; overheads'!I$9)</f>
        <v>1605.6668811058275</v>
      </c>
    </row>
    <row r="116" spans="1:11" ht="60">
      <c r="A116" s="269" t="str">
        <f>'ERG Service assumptions'!B118</f>
        <v>EE_136</v>
      </c>
      <c r="B116" s="270" t="str">
        <f>VLOOKUP($A116,'ERG Service assumptions'!$B:$AR,'ERG Service assumptions'!D$3,FALSE)</f>
        <v>Connection application and management services</v>
      </c>
      <c r="C116" s="270" t="str">
        <f>VLOOKUP($A116,'ERG Service assumptions'!$B:$AR,'ERG Service assumptions'!E$3,FALSE)</f>
        <v>Supply Abolishment</v>
      </c>
      <c r="D116" s="270" t="str">
        <f>VLOOKUP($A116,'ERG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6" s="129" t="str">
        <f>VLOOKUP($A116,'ERG Service assumptions'!$B:$AR,'ERG Service assumptions'!G$3,FALSE)</f>
        <v>SERVICE ONLY - ANYTIME - NO CT (Simple)</v>
      </c>
      <c r="F116" s="269" t="str">
        <f>VLOOKUP($A116,'ERG Service assumptions'!$B:$AR,'ERG Service assumptions'!H$3,FALSE)</f>
        <v>Urban/Short Rural</v>
      </c>
      <c r="G116" s="168">
        <f>VLOOKUP(A116,'ERG Service assumptions'!$B$6:$AY$315,'ERG Service assumptions'!$AY$3,FALSE)</f>
        <v>496.962293035725</v>
      </c>
      <c r="H116" s="120">
        <f>G116*(1+'Escalators &amp; overheads'!F$5)*(1-'Escalators &amp; overheads'!F$9)</f>
        <v>513.13711855123358</v>
      </c>
      <c r="I116" s="120">
        <f>H116*(1+'Escalators &amp; overheads'!G$5)*(1-'Escalators &amp; overheads'!G$9)</f>
        <v>530.09019487248952</v>
      </c>
      <c r="J116" s="120">
        <f>I116*(1+'Escalators &amp; overheads'!H$5)*(1-'Escalators &amp; overheads'!H$9)</f>
        <v>547.74621459974605</v>
      </c>
      <c r="K116" s="120">
        <f>J116*(1+'Escalators &amp; overheads'!I$5)*(1-'Escalators &amp; overheads'!I$9)</f>
        <v>564.64842483581299</v>
      </c>
    </row>
    <row r="117" spans="1:11" ht="60">
      <c r="A117" s="269" t="str">
        <f>'ERG Service assumptions'!B119</f>
        <v>EE_137</v>
      </c>
      <c r="B117" s="270" t="str">
        <f>VLOOKUP($A117,'ERG Service assumptions'!$B:$AR,'ERG Service assumptions'!D$3,FALSE)</f>
        <v>Connection application and management services</v>
      </c>
      <c r="C117" s="270" t="str">
        <f>VLOOKUP($A117,'ERG Service assumptions'!$B:$AR,'ERG Service assumptions'!E$3,FALSE)</f>
        <v>Supply Abolishment</v>
      </c>
      <c r="D117" s="270" t="str">
        <f>VLOOKUP($A117,'ERG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7" s="129" t="str">
        <f>VLOOKUP($A117,'ERG Service assumptions'!$B:$AR,'ERG Service assumptions'!G$3,FALSE)</f>
        <v>SERVICE ONLY - ANYTIME - NO CT (Simple) - Traffic control</v>
      </c>
      <c r="F117" s="269" t="str">
        <f>VLOOKUP($A117,'ERG Service assumptions'!$B:$AR,'ERG Service assumptions'!H$3,FALSE)</f>
        <v>Urban/Short Rural</v>
      </c>
      <c r="G117" s="168">
        <f>VLOOKUP(A117,'ERG Service assumptions'!$B$6:$AY$315,'ERG Service assumptions'!$AY$3,FALSE)</f>
        <v>1298.1531185985987</v>
      </c>
      <c r="H117" s="120">
        <f>G117*(1+'Escalators &amp; overheads'!F$5)*(1-'Escalators &amp; overheads'!F$9)</f>
        <v>1340.404614295549</v>
      </c>
      <c r="I117" s="120">
        <f>H117*(1+'Escalators &amp; overheads'!G$5)*(1-'Escalators &amp; overheads'!G$9)</f>
        <v>1384.6890382944869</v>
      </c>
      <c r="J117" s="120">
        <f>I117*(1+'Escalators &amp; overheads'!H$5)*(1-'Escalators &amp; overheads'!H$9)</f>
        <v>1430.8096743913763</v>
      </c>
      <c r="K117" s="120">
        <f>J117*(1+'Escalators &amp; overheads'!I$5)*(1-'Escalators &amp; overheads'!I$9)</f>
        <v>1474.9612272086483</v>
      </c>
    </row>
    <row r="118" spans="1:11" ht="60">
      <c r="A118" s="269" t="str">
        <f>'ERG Service assumptions'!B120</f>
        <v>EE_138</v>
      </c>
      <c r="B118" s="270" t="str">
        <f>VLOOKUP($A118,'ERG Service assumptions'!$B:$AR,'ERG Service assumptions'!D$3,FALSE)</f>
        <v>Connection application and management services</v>
      </c>
      <c r="C118" s="270" t="str">
        <f>VLOOKUP($A118,'ERG Service assumptions'!$B:$AR,'ERG Service assumptions'!E$3,FALSE)</f>
        <v>Supply Abolishment</v>
      </c>
      <c r="D118" s="270" t="str">
        <f>VLOOKUP($A118,'ERG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8" s="129" t="str">
        <f>VLOOKUP($A118,'ERG Service assumptions'!$B:$AR,'ERG Service assumptions'!G$3,FALSE)</f>
        <v xml:space="preserve">METER ONLY (Per NMI) - BUSINESS HOURS - CT </v>
      </c>
      <c r="F118" s="269" t="str">
        <f>VLOOKUP($A118,'ERG Service assumptions'!$B:$AR,'ERG Service assumptions'!H$3,FALSE)</f>
        <v>Urban/Short Rural</v>
      </c>
      <c r="G118" s="168">
        <f>VLOOKUP(A118,'ERG Service assumptions'!$B$6:$AY$315,'ERG Service assumptions'!$AY$3,FALSE)</f>
        <v>350.04166038999676</v>
      </c>
      <c r="H118" s="120">
        <f>G118*(1+'Escalators &amp; overheads'!F$5)*(1-'Escalators &amp; overheads'!F$9)</f>
        <v>361.43460279088043</v>
      </c>
      <c r="I118" s="120">
        <f>H118*(1+'Escalators &amp; overheads'!G$5)*(1-'Escalators &amp; overheads'!G$9)</f>
        <v>373.37571596459998</v>
      </c>
      <c r="J118" s="120">
        <f>I118*(1+'Escalators &amp; overheads'!H$5)*(1-'Escalators &amp; overheads'!H$9)</f>
        <v>385.81195619412409</v>
      </c>
      <c r="K118" s="120">
        <f>J118*(1+'Escalators &amp; overheads'!I$5)*(1-'Escalators &amp; overheads'!I$9)</f>
        <v>397.71724119905372</v>
      </c>
    </row>
    <row r="119" spans="1:11" ht="60">
      <c r="A119" s="269" t="str">
        <f>'ERG Service assumptions'!B121</f>
        <v>EE_139</v>
      </c>
      <c r="B119" s="270" t="str">
        <f>VLOOKUP($A119,'ERG Service assumptions'!$B:$AR,'ERG Service assumptions'!D$3,FALSE)</f>
        <v>Connection application and management services</v>
      </c>
      <c r="C119" s="270" t="str">
        <f>VLOOKUP($A119,'ERG Service assumptions'!$B:$AR,'ERG Service assumptions'!E$3,FALSE)</f>
        <v>Supply Abolishment</v>
      </c>
      <c r="D119" s="270" t="str">
        <f>VLOOKUP($A119,'ERG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9" s="129" t="str">
        <f>VLOOKUP($A119,'ERG Service assumptions'!$B:$AR,'ERG Service assumptions'!G$3,FALSE)</f>
        <v xml:space="preserve">METER ONLY (Per NMI) - BUSINESS HOURS - CT </v>
      </c>
      <c r="F119" s="269" t="str">
        <f>VLOOKUP($A119,'ERG Service assumptions'!$B:$AR,'ERG Service assumptions'!H$3,FALSE)</f>
        <v>Long rural/Isolated</v>
      </c>
      <c r="G119" s="168">
        <f>VLOOKUP(A119,'ERG Service assumptions'!$B$6:$AY$315,'ERG Service assumptions'!$AY$3,FALSE)</f>
        <v>350.04166038999676</v>
      </c>
      <c r="H119" s="120">
        <f>G119*(1+'Escalators &amp; overheads'!F$5)*(1-'Escalators &amp; overheads'!F$9)</f>
        <v>361.43460279088043</v>
      </c>
      <c r="I119" s="120">
        <f>H119*(1+'Escalators &amp; overheads'!G$5)*(1-'Escalators &amp; overheads'!G$9)</f>
        <v>373.37571596459998</v>
      </c>
      <c r="J119" s="120">
        <f>I119*(1+'Escalators &amp; overheads'!H$5)*(1-'Escalators &amp; overheads'!H$9)</f>
        <v>385.81195619412409</v>
      </c>
      <c r="K119" s="120">
        <f>J119*(1+'Escalators &amp; overheads'!I$5)*(1-'Escalators &amp; overheads'!I$9)</f>
        <v>397.71724119905372</v>
      </c>
    </row>
    <row r="120" spans="1:11" ht="60">
      <c r="A120" s="269" t="str">
        <f>'ERG Service assumptions'!B122</f>
        <v>EE_140</v>
      </c>
      <c r="B120" s="270" t="str">
        <f>VLOOKUP($A120,'ERG Service assumptions'!$B:$AR,'ERG Service assumptions'!D$3,FALSE)</f>
        <v>Connection application and management services</v>
      </c>
      <c r="C120" s="270" t="str">
        <f>VLOOKUP($A120,'ERG Service assumptions'!$B:$AR,'ERG Service assumptions'!E$3,FALSE)</f>
        <v>Supply Abolishment</v>
      </c>
      <c r="D120" s="270" t="str">
        <f>VLOOKUP($A120,'ERG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0" s="129" t="str">
        <f>VLOOKUP($A120,'ERG Service assumptions'!$B:$AR,'ERG Service assumptions'!G$3,FALSE)</f>
        <v xml:space="preserve">METER ONLY (Per NMI) - BUSINESS HOURS - NO CT </v>
      </c>
      <c r="F120" s="269" t="str">
        <f>VLOOKUP($A120,'ERG Service assumptions'!$B:$AR,'ERG Service assumptions'!H$3,FALSE)</f>
        <v>Urban/Short Rural</v>
      </c>
      <c r="G120" s="168">
        <f>VLOOKUP(A120,'ERG Service assumptions'!$B$6:$AY$315,'ERG Service assumptions'!$AY$3,FALSE)</f>
        <v>87.510415097499191</v>
      </c>
      <c r="H120" s="120">
        <f>G120*(1+'Escalators &amp; overheads'!F$5)*(1-'Escalators &amp; overheads'!F$9)</f>
        <v>90.358650697720108</v>
      </c>
      <c r="I120" s="120">
        <f>H120*(1+'Escalators &amp; overheads'!G$5)*(1-'Escalators &amp; overheads'!G$9)</f>
        <v>93.343928991149994</v>
      </c>
      <c r="J120" s="120">
        <f>I120*(1+'Escalators &amp; overheads'!H$5)*(1-'Escalators &amp; overheads'!H$9)</f>
        <v>96.452989048531023</v>
      </c>
      <c r="K120" s="120">
        <f>J120*(1+'Escalators &amp; overheads'!I$5)*(1-'Escalators &amp; overheads'!I$9)</f>
        <v>99.429310299763429</v>
      </c>
    </row>
    <row r="121" spans="1:11" ht="60">
      <c r="A121" s="269" t="str">
        <f>'ERG Service assumptions'!B123</f>
        <v>EE_141</v>
      </c>
      <c r="B121" s="270" t="str">
        <f>VLOOKUP($A121,'ERG Service assumptions'!$B:$AR,'ERG Service assumptions'!D$3,FALSE)</f>
        <v>Connection application and management services</v>
      </c>
      <c r="C121" s="270" t="str">
        <f>VLOOKUP($A121,'ERG Service assumptions'!$B:$AR,'ERG Service assumptions'!E$3,FALSE)</f>
        <v>Supply Abolishment</v>
      </c>
      <c r="D121" s="270" t="str">
        <f>VLOOKUP($A121,'ERG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v>
      </c>
      <c r="E121" s="129" t="str">
        <f>VLOOKUP($A121,'ERG Service assumptions'!$B:$AR,'ERG Service assumptions'!G$3,FALSE)</f>
        <v xml:space="preserve">METER ONLY (Per NMI) - BUSINESS HOURS - NO CT </v>
      </c>
      <c r="F121" s="269" t="str">
        <f>VLOOKUP($A121,'ERG Service assumptions'!$B:$AR,'ERG Service assumptions'!H$3,FALSE)</f>
        <v>Long rural/Isolated</v>
      </c>
      <c r="G121" s="168">
        <f>VLOOKUP(A121,'ERG Service assumptions'!$B$6:$AY$315,'ERG Service assumptions'!$AY$3,FALSE)</f>
        <v>87.510415097499191</v>
      </c>
      <c r="H121" s="120">
        <f>G121*(1+'Escalators &amp; overheads'!F$5)*(1-'Escalators &amp; overheads'!F$9)</f>
        <v>90.358650697720108</v>
      </c>
      <c r="I121" s="120">
        <f>H121*(1+'Escalators &amp; overheads'!G$5)*(1-'Escalators &amp; overheads'!G$9)</f>
        <v>93.343928991149994</v>
      </c>
      <c r="J121" s="120">
        <f>I121*(1+'Escalators &amp; overheads'!H$5)*(1-'Escalators &amp; overheads'!H$9)</f>
        <v>96.452989048531023</v>
      </c>
      <c r="K121" s="120">
        <f>J121*(1+'Escalators &amp; overheads'!I$5)*(1-'Escalators &amp; overheads'!I$9)</f>
        <v>99.429310299763429</v>
      </c>
    </row>
    <row r="122" spans="1:11" ht="60">
      <c r="A122" s="269" t="str">
        <f>'ERG Service assumptions'!B124</f>
        <v>EE_142</v>
      </c>
      <c r="B122" s="270" t="str">
        <f>VLOOKUP($A122,'ERG Service assumptions'!$B:$AR,'ERG Service assumptions'!D$3,FALSE)</f>
        <v>Connection application and management services</v>
      </c>
      <c r="C122" s="270" t="str">
        <f>VLOOKUP($A122,'ERG Service assumptions'!$B:$AR,'ERG Service assumptions'!E$3,FALSE)</f>
        <v>Supply Abolishment</v>
      </c>
      <c r="D122" s="270" t="str">
        <f>VLOOKUP($A122,'ERG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2" s="129" t="str">
        <f>VLOOKUP($A122,'ERG Service assumptions'!$B:$AR,'ERG Service assumptions'!G$3,FALSE)</f>
        <v xml:space="preserve">METER ONLY (Per NMI) - AFTER HOURS- CT </v>
      </c>
      <c r="F122" s="269" t="str">
        <f>VLOOKUP($A122,'ERG Service assumptions'!$B:$AR,'ERG Service assumptions'!H$3,FALSE)</f>
        <v>Urban/Short Rural</v>
      </c>
      <c r="G122" s="168">
        <f>VLOOKUP(A122,'ERG Service assumptions'!$B$6:$AY$315,'ERG Service assumptions'!$AY$3,FALSE)</f>
        <v>460.15027132937496</v>
      </c>
      <c r="H122" s="120">
        <f>G122*(1+'Escalators &amp; overheads'!F$5)*(1-'Escalators &amp; overheads'!F$9)</f>
        <v>475.12696162151246</v>
      </c>
      <c r="I122" s="120">
        <f>H122*(1+'Escalators &amp; overheads'!G$5)*(1-'Escalators &amp; overheads'!G$9)</f>
        <v>490.82425451156422</v>
      </c>
      <c r="J122" s="120">
        <f>I122*(1+'Escalators &amp; overheads'!H$5)*(1-'Escalators &amp; overheads'!H$9)</f>
        <v>507.17242092569063</v>
      </c>
      <c r="K122" s="120">
        <f>J122*(1+'Escalators &amp; overheads'!I$5)*(1-'Escalators &amp; overheads'!I$9)</f>
        <v>522.82261558871551</v>
      </c>
    </row>
    <row r="123" spans="1:11" ht="60">
      <c r="A123" s="269" t="str">
        <f>'ERG Service assumptions'!B125</f>
        <v>EE_143</v>
      </c>
      <c r="B123" s="270" t="str">
        <f>VLOOKUP($A123,'ERG Service assumptions'!$B:$AR,'ERG Service assumptions'!D$3,FALSE)</f>
        <v>Connection application and management services</v>
      </c>
      <c r="C123" s="270" t="str">
        <f>VLOOKUP($A123,'ERG Service assumptions'!$B:$AR,'ERG Service assumptions'!E$3,FALSE)</f>
        <v>Supply Abolishment</v>
      </c>
      <c r="D123" s="270" t="str">
        <f>VLOOKUP($A123,'ERG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3" s="129" t="str">
        <f>VLOOKUP($A123,'ERG Service assumptions'!$B:$AR,'ERG Service assumptions'!G$3,FALSE)</f>
        <v xml:space="preserve">METER ONLY (Per NMI) - AFTER HOURS- CT </v>
      </c>
      <c r="F123" s="269" t="str">
        <f>VLOOKUP($A123,'ERG Service assumptions'!$B:$AR,'ERG Service assumptions'!H$3,FALSE)</f>
        <v>Long rural/Isolated</v>
      </c>
      <c r="G123" s="168">
        <f>VLOOKUP(A123,'ERG Service assumptions'!$B$6:$AY$315,'ERG Service assumptions'!$AY$3,FALSE)</f>
        <v>460.15027132937496</v>
      </c>
      <c r="H123" s="120">
        <f>G123*(1+'Escalators &amp; overheads'!F$5)*(1-'Escalators &amp; overheads'!F$9)</f>
        <v>475.12696162151246</v>
      </c>
      <c r="I123" s="120">
        <f>H123*(1+'Escalators &amp; overheads'!G$5)*(1-'Escalators &amp; overheads'!G$9)</f>
        <v>490.82425451156422</v>
      </c>
      <c r="J123" s="120">
        <f>I123*(1+'Escalators &amp; overheads'!H$5)*(1-'Escalators &amp; overheads'!H$9)</f>
        <v>507.17242092569063</v>
      </c>
      <c r="K123" s="120">
        <f>J123*(1+'Escalators &amp; overheads'!I$5)*(1-'Escalators &amp; overheads'!I$9)</f>
        <v>522.82261558871551</v>
      </c>
    </row>
    <row r="124" spans="1:11" ht="60">
      <c r="A124" s="269" t="str">
        <f>'ERG Service assumptions'!B126</f>
        <v>EE_144</v>
      </c>
      <c r="B124" s="270" t="str">
        <f>VLOOKUP($A124,'ERG Service assumptions'!$B:$AR,'ERG Service assumptions'!D$3,FALSE)</f>
        <v>Connection application and management services</v>
      </c>
      <c r="C124" s="270" t="str">
        <f>VLOOKUP($A124,'ERG Service assumptions'!$B:$AR,'ERG Service assumptions'!E$3,FALSE)</f>
        <v>Supply Abolishment</v>
      </c>
      <c r="D124" s="270" t="str">
        <f>VLOOKUP($A124,'ERG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4" s="129" t="str">
        <f>VLOOKUP($A124,'ERG Service assumptions'!$B:$AR,'ERG Service assumptions'!G$3,FALSE)</f>
        <v>METER ONLY (Per NMI) - AFTER HOURS - NO CT</v>
      </c>
      <c r="F124" s="269" t="str">
        <f>VLOOKUP($A124,'ERG Service assumptions'!$B:$AR,'ERG Service assumptions'!H$3,FALSE)</f>
        <v>Urban/Short Rural</v>
      </c>
      <c r="G124" s="168">
        <f>VLOOKUP(A124,'ERG Service assumptions'!$B$6:$AY$315,'ERG Service assumptions'!$AY$3,FALSE)</f>
        <v>115.03756783234374</v>
      </c>
      <c r="H124" s="120">
        <f>G124*(1+'Escalators &amp; overheads'!F$5)*(1-'Escalators &amp; overheads'!F$9)</f>
        <v>118.78174040537812</v>
      </c>
      <c r="I124" s="120">
        <f>H124*(1+'Escalators &amp; overheads'!G$5)*(1-'Escalators &amp; overheads'!G$9)</f>
        <v>122.70606362789106</v>
      </c>
      <c r="J124" s="120">
        <f>I124*(1+'Escalators &amp; overheads'!H$5)*(1-'Escalators &amp; overheads'!H$9)</f>
        <v>126.79310523142266</v>
      </c>
      <c r="K124" s="120">
        <f>J124*(1+'Escalators &amp; overheads'!I$5)*(1-'Escalators &amp; overheads'!I$9)</f>
        <v>130.70565389717888</v>
      </c>
    </row>
    <row r="125" spans="1:11" ht="60">
      <c r="A125" s="269" t="str">
        <f>'ERG Service assumptions'!B127</f>
        <v>EE_145</v>
      </c>
      <c r="B125" s="270" t="str">
        <f>VLOOKUP($A125,'ERG Service assumptions'!$B:$AR,'ERG Service assumptions'!D$3,FALSE)</f>
        <v>Connection application and management services</v>
      </c>
      <c r="C125" s="270" t="str">
        <f>VLOOKUP($A125,'ERG Service assumptions'!$B:$AR,'ERG Service assumptions'!E$3,FALSE)</f>
        <v>Supply Abolishment</v>
      </c>
      <c r="D125" s="270" t="str">
        <f>VLOOKUP($A125,'ERG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5" s="129" t="str">
        <f>VLOOKUP($A125,'ERG Service assumptions'!$B:$AR,'ERG Service assumptions'!G$3,FALSE)</f>
        <v>METER ONLY (Per NMI) - AFTER HOURS - NO CT</v>
      </c>
      <c r="F125" s="269" t="str">
        <f>VLOOKUP($A125,'ERG Service assumptions'!$B:$AR,'ERG Service assumptions'!H$3,FALSE)</f>
        <v>Long rural/Isolated</v>
      </c>
      <c r="G125" s="168">
        <f>VLOOKUP(A125,'ERG Service assumptions'!$B$6:$AY$315,'ERG Service assumptions'!$AY$3,FALSE)</f>
        <v>115.03756783234374</v>
      </c>
      <c r="H125" s="120">
        <f>G125*(1+'Escalators &amp; overheads'!F$5)*(1-'Escalators &amp; overheads'!F$9)</f>
        <v>118.78174040537812</v>
      </c>
      <c r="I125" s="120">
        <f>H125*(1+'Escalators &amp; overheads'!G$5)*(1-'Escalators &amp; overheads'!G$9)</f>
        <v>122.70606362789106</v>
      </c>
      <c r="J125" s="120">
        <f>I125*(1+'Escalators &amp; overheads'!H$5)*(1-'Escalators &amp; overheads'!H$9)</f>
        <v>126.79310523142266</v>
      </c>
      <c r="K125" s="120">
        <f>J125*(1+'Escalators &amp; overheads'!I$5)*(1-'Escalators &amp; overheads'!I$9)</f>
        <v>130.70565389717888</v>
      </c>
    </row>
    <row r="126" spans="1:11" ht="60">
      <c r="A126" s="269" t="str">
        <f>'ERG Service assumptions'!B128</f>
        <v>EE_146</v>
      </c>
      <c r="B126" s="270" t="str">
        <f>VLOOKUP($A126,'ERG Service assumptions'!$B:$AR,'ERG Service assumptions'!D$3,FALSE)</f>
        <v>Connection application and management services</v>
      </c>
      <c r="C126" s="270" t="str">
        <f>VLOOKUP($A126,'ERG Service assumptions'!$B:$AR,'ERG Service assumptions'!E$3,FALSE)</f>
        <v>Supply Abolishment</v>
      </c>
      <c r="D126" s="270" t="str">
        <f>VLOOKUP($A126,'ERG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6" s="129" t="str">
        <f>VLOOKUP($A126,'ERG Service assumptions'!$B:$AR,'ERG Service assumptions'!G$3,FALSE)</f>
        <v xml:space="preserve">METER ONLY (Per NMI) - ANYTIME - CT </v>
      </c>
      <c r="F126" s="269" t="str">
        <f>VLOOKUP($A126,'ERG Service assumptions'!$B:$AR,'ERG Service assumptions'!H$3,FALSE)</f>
        <v>Urban/Short Rural</v>
      </c>
      <c r="G126" s="168">
        <f>VLOOKUP(A126,'ERG Service assumptions'!$B$6:$AY$315,'ERG Service assumptions'!$AY$3,FALSE)</f>
        <v>460.15027132937496</v>
      </c>
      <c r="H126" s="120">
        <f>G126*(1+'Escalators &amp; overheads'!F$5)*(1-'Escalators &amp; overheads'!F$9)</f>
        <v>475.12696162151246</v>
      </c>
      <c r="I126" s="120">
        <f>H126*(1+'Escalators &amp; overheads'!G$5)*(1-'Escalators &amp; overheads'!G$9)</f>
        <v>490.82425451156422</v>
      </c>
      <c r="J126" s="120">
        <f>I126*(1+'Escalators &amp; overheads'!H$5)*(1-'Escalators &amp; overheads'!H$9)</f>
        <v>507.17242092569063</v>
      </c>
      <c r="K126" s="120">
        <f>J126*(1+'Escalators &amp; overheads'!I$5)*(1-'Escalators &amp; overheads'!I$9)</f>
        <v>522.82261558871551</v>
      </c>
    </row>
    <row r="127" spans="1:11" ht="60">
      <c r="A127" s="269" t="str">
        <f>'ERG Service assumptions'!B129</f>
        <v>EE_147</v>
      </c>
      <c r="B127" s="270" t="str">
        <f>VLOOKUP($A127,'ERG Service assumptions'!$B:$AR,'ERG Service assumptions'!D$3,FALSE)</f>
        <v>Connection application and management services</v>
      </c>
      <c r="C127" s="270" t="str">
        <f>VLOOKUP($A127,'ERG Service assumptions'!$B:$AR,'ERG Service assumptions'!E$3,FALSE)</f>
        <v>Supply Abolishment</v>
      </c>
      <c r="D127" s="270" t="str">
        <f>VLOOKUP($A127,'ERG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7" s="129" t="str">
        <f>VLOOKUP($A127,'ERG Service assumptions'!$B:$AR,'ERG Service assumptions'!G$3,FALSE)</f>
        <v xml:space="preserve">METER ONLY (Per NMI) - ANYTIME - NO CT </v>
      </c>
      <c r="F127" s="269" t="str">
        <f>VLOOKUP($A127,'ERG Service assumptions'!$B:$AR,'ERG Service assumptions'!H$3,FALSE)</f>
        <v>Urban/Short Rural</v>
      </c>
      <c r="G127" s="168">
        <f>VLOOKUP(A127,'ERG Service assumptions'!$B$6:$AY$315,'ERG Service assumptions'!$AY$3,FALSE)</f>
        <v>115.03756783234374</v>
      </c>
      <c r="H127" s="120">
        <f>G127*(1+'Escalators &amp; overheads'!F$5)*(1-'Escalators &amp; overheads'!F$9)</f>
        <v>118.78174040537812</v>
      </c>
      <c r="I127" s="120">
        <f>H127*(1+'Escalators &amp; overheads'!G$5)*(1-'Escalators &amp; overheads'!G$9)</f>
        <v>122.70606362789106</v>
      </c>
      <c r="J127" s="120">
        <f>I127*(1+'Escalators &amp; overheads'!H$5)*(1-'Escalators &amp; overheads'!H$9)</f>
        <v>126.79310523142266</v>
      </c>
      <c r="K127" s="120">
        <f>J127*(1+'Escalators &amp; overheads'!I$5)*(1-'Escalators &amp; overheads'!I$9)</f>
        <v>130.70565389717888</v>
      </c>
    </row>
    <row r="128" spans="1:11" ht="30">
      <c r="A128" s="269" t="str">
        <f>'ERG Service assumptions'!B130</f>
        <v>NEW1</v>
      </c>
      <c r="B128" s="270" t="str">
        <f>VLOOKUP($A128,'ERG Service assumptions'!$B:$AR,'ERG Service assumptions'!D$3,FALSE)</f>
        <v>Connection application and management services</v>
      </c>
      <c r="C128" s="270" t="str">
        <f>VLOOKUP($A128,'ERG Service assumptions'!$B:$AR,'ERG Service assumptions'!E$3,FALSE)</f>
        <v>Supply Abolishment</v>
      </c>
      <c r="D128" s="270" t="str">
        <f>VLOOKUP($A128,'ERG Service assumptions'!$B:$AR,'ERG Service assumptions'!F$3,FALSE)</f>
        <v>Request to de-energise an unmetered supply point.</v>
      </c>
      <c r="E128" s="129" t="str">
        <f>VLOOKUP($A128,'ERG Service assumptions'!$B:$AR,'ERG Service assumptions'!G$3,FALSE)</f>
        <v>BUSINESS HOURS</v>
      </c>
      <c r="F128" s="269" t="str">
        <f>VLOOKUP($A128,'ERG Service assumptions'!$B:$AR,'ERG Service assumptions'!H$3,FALSE)</f>
        <v>Urban/Short Rural</v>
      </c>
      <c r="G128" s="168">
        <f>VLOOKUP(A128,'ERG Service assumptions'!$B$6:$AY$315,'ERG Service assumptions'!$AY$3,FALSE)</f>
        <v>378.04499322119648</v>
      </c>
      <c r="H128" s="120">
        <f>G128*(1+'Escalators &amp; overheads'!F$5)*(1-'Escalators &amp; overheads'!F$9)</f>
        <v>390.34937101415085</v>
      </c>
      <c r="I128" s="120">
        <f>H128*(1+'Escalators &amp; overheads'!G$5)*(1-'Escalators &amp; overheads'!G$9)</f>
        <v>403.24577324176795</v>
      </c>
      <c r="J128" s="120">
        <f>I128*(1+'Escalators &amp; overheads'!H$5)*(1-'Escalators &amp; overheads'!H$9)</f>
        <v>416.67691268965399</v>
      </c>
      <c r="K128" s="120">
        <f>J128*(1+'Escalators &amp; overheads'!I$5)*(1-'Escalators &amp; overheads'!I$9)</f>
        <v>429.53462049497796</v>
      </c>
    </row>
    <row r="129" spans="1:11" ht="30">
      <c r="A129" s="269" t="str">
        <f>'ERG Service assumptions'!B131</f>
        <v>NEW2</v>
      </c>
      <c r="B129" s="270" t="str">
        <f>VLOOKUP($A129,'ERG Service assumptions'!$B:$AR,'ERG Service assumptions'!D$3,FALSE)</f>
        <v>Connection application and management services</v>
      </c>
      <c r="C129" s="270" t="str">
        <f>VLOOKUP($A129,'ERG Service assumptions'!$B:$AR,'ERG Service assumptions'!E$3,FALSE)</f>
        <v>Supply Abolishment</v>
      </c>
      <c r="D129" s="270" t="str">
        <f>VLOOKUP($A129,'ERG Service assumptions'!$B:$AR,'ERG Service assumptions'!F$3,FALSE)</f>
        <v>Request to de-energise an unmetered supply point.</v>
      </c>
      <c r="E129" s="129" t="str">
        <f>VLOOKUP($A129,'ERG Service assumptions'!$B:$AR,'ERG Service assumptions'!G$3,FALSE)</f>
        <v>AFTER HOURS</v>
      </c>
      <c r="F129" s="269" t="str">
        <f>VLOOKUP($A129,'ERG Service assumptions'!$B:$AR,'ERG Service assumptions'!H$3,FALSE)</f>
        <v>Urban/Short Rural</v>
      </c>
      <c r="G129" s="168">
        <f>VLOOKUP(A129,'ERG Service assumptions'!$B$6:$AY$315,'ERG Service assumptions'!$AY$3,FALSE)</f>
        <v>496.962293035725</v>
      </c>
      <c r="H129" s="120">
        <f>G129*(1+'Escalators &amp; overheads'!F$5)*(1-'Escalators &amp; overheads'!F$9)</f>
        <v>513.13711855123358</v>
      </c>
      <c r="I129" s="120">
        <f>H129*(1+'Escalators &amp; overheads'!G$5)*(1-'Escalators &amp; overheads'!G$9)</f>
        <v>530.09019487248952</v>
      </c>
      <c r="J129" s="120">
        <f>I129*(1+'Escalators &amp; overheads'!H$5)*(1-'Escalators &amp; overheads'!H$9)</f>
        <v>547.74621459974605</v>
      </c>
      <c r="K129" s="120">
        <f>J129*(1+'Escalators &amp; overheads'!I$5)*(1-'Escalators &amp; overheads'!I$9)</f>
        <v>564.64842483581299</v>
      </c>
    </row>
    <row r="130" spans="1:11" ht="30">
      <c r="A130" s="269" t="str">
        <f>'ERG Service assumptions'!B132</f>
        <v>NEW3</v>
      </c>
      <c r="B130" s="270" t="str">
        <f>VLOOKUP($A130,'ERG Service assumptions'!$B:$AR,'ERG Service assumptions'!D$3,FALSE)</f>
        <v>Connection application and management services</v>
      </c>
      <c r="C130" s="270" t="str">
        <f>VLOOKUP($A130,'ERG Service assumptions'!$B:$AR,'ERG Service assumptions'!E$3,FALSE)</f>
        <v>Supply Abolishment</v>
      </c>
      <c r="D130" s="270" t="str">
        <f>VLOOKUP($A130,'ERG Service assumptions'!$B:$AR,'ERG Service assumptions'!F$3,FALSE)</f>
        <v>Request to de-energise an unmetered supply point.</v>
      </c>
      <c r="E130" s="129" t="str">
        <f>VLOOKUP($A130,'ERG Service assumptions'!$B:$AR,'ERG Service assumptions'!G$3,FALSE)</f>
        <v>BUSINESS HOURS - TRAFFIC CONTROL</v>
      </c>
      <c r="F130" s="269" t="str">
        <f>VLOOKUP($A130,'ERG Service assumptions'!$B:$AR,'ERG Service assumptions'!H$3,FALSE)</f>
        <v>Urban/Short Rural</v>
      </c>
      <c r="G130" s="168">
        <f>VLOOKUP(A130,'ERG Service assumptions'!$B$6:$AY$315,'ERG Service assumptions'!$AY$3,FALSE)</f>
        <v>1179.2358187840703</v>
      </c>
      <c r="H130" s="120">
        <f>G130*(1+'Escalators &amp; overheads'!F$5)*(1-'Escalators &amp; overheads'!F$9)</f>
        <v>1217.6168667584666</v>
      </c>
      <c r="I130" s="120">
        <f>H130*(1+'Escalators &amp; overheads'!G$5)*(1-'Escalators &amp; overheads'!G$9)</f>
        <v>1257.8446166637657</v>
      </c>
      <c r="J130" s="120">
        <f>I130*(1+'Escalators &amp; overheads'!H$5)*(1-'Escalators &amp; overheads'!H$9)</f>
        <v>1299.7403724812848</v>
      </c>
      <c r="K130" s="120">
        <f>J130*(1+'Escalators &amp; overheads'!I$5)*(1-'Escalators &amp; overheads'!I$9)</f>
        <v>1339.8474228678137</v>
      </c>
    </row>
    <row r="131" spans="1:11" ht="30">
      <c r="A131" s="269" t="str">
        <f>'ERG Service assumptions'!B133</f>
        <v>NEW4</v>
      </c>
      <c r="B131" s="270" t="str">
        <f>VLOOKUP($A131,'ERG Service assumptions'!$B:$AR,'ERG Service assumptions'!D$3,FALSE)</f>
        <v>Connection application and management services</v>
      </c>
      <c r="C131" s="270" t="str">
        <f>VLOOKUP($A131,'ERG Service assumptions'!$B:$AR,'ERG Service assumptions'!E$3,FALSE)</f>
        <v>Supply Abolishment</v>
      </c>
      <c r="D131" s="270" t="str">
        <f>VLOOKUP($A131,'ERG Service assumptions'!$B:$AR,'ERG Service assumptions'!F$3,FALSE)</f>
        <v>Request to de-energise an unmetered supply point.</v>
      </c>
      <c r="E131" s="129" t="str">
        <f>VLOOKUP($A131,'ERG Service assumptions'!$B:$AR,'ERG Service assumptions'!G$3,FALSE)</f>
        <v>AFTER HOURS - TRAFFIC CONTROL</v>
      </c>
      <c r="F131" s="269" t="str">
        <f>VLOOKUP($A131,'ERG Service assumptions'!$B:$AR,'ERG Service assumptions'!H$3,FALSE)</f>
        <v>Urban/Short Rural</v>
      </c>
      <c r="G131" s="168">
        <f>VLOOKUP(A131,'ERG Service assumptions'!$B$6:$AY$315,'ERG Service assumptions'!$AY$3,FALSE)</f>
        <v>1298.1531185985987</v>
      </c>
      <c r="H131" s="120">
        <f>G131*(1+'Escalators &amp; overheads'!F$5)*(1-'Escalators &amp; overheads'!F$9)</f>
        <v>1340.404614295549</v>
      </c>
      <c r="I131" s="120">
        <f>H131*(1+'Escalators &amp; overheads'!G$5)*(1-'Escalators &amp; overheads'!G$9)</f>
        <v>1384.6890382944869</v>
      </c>
      <c r="J131" s="120">
        <f>I131*(1+'Escalators &amp; overheads'!H$5)*(1-'Escalators &amp; overheads'!H$9)</f>
        <v>1430.8096743913763</v>
      </c>
      <c r="K131" s="120">
        <f>J131*(1+'Escalators &amp; overheads'!I$5)*(1-'Escalators &amp; overheads'!I$9)</f>
        <v>1474.9612272086483</v>
      </c>
    </row>
    <row r="132" spans="1:11" ht="30">
      <c r="A132" s="269" t="str">
        <f>'ERG Service assumptions'!B134</f>
        <v>NEW5</v>
      </c>
      <c r="B132" s="270" t="str">
        <f>VLOOKUP($A132,'ERG Service assumptions'!$B:$AR,'ERG Service assumptions'!D$3,FALSE)</f>
        <v>Connection application and management services</v>
      </c>
      <c r="C132" s="270" t="str">
        <f>VLOOKUP($A132,'ERG Service assumptions'!$B:$AR,'ERG Service assumptions'!E$3,FALSE)</f>
        <v>Supply Abolishment</v>
      </c>
      <c r="D132" s="270" t="str">
        <f>VLOOKUP($A132,'ERG Service assumptions'!$B:$AR,'ERG Service assumptions'!F$3,FALSE)</f>
        <v>Request to de-energise an unmetered supply point.</v>
      </c>
      <c r="E132" s="129" t="str">
        <f>VLOOKUP($A132,'ERG Service assumptions'!$B:$AR,'ERG Service assumptions'!G$3,FALSE)</f>
        <v>BUSINESS HOURS</v>
      </c>
      <c r="F132" s="269" t="str">
        <f>VLOOKUP($A132,'ERG Service assumptions'!$B:$AR,'ERG Service assumptions'!H$3,FALSE)</f>
        <v>Long rural/Isolated</v>
      </c>
      <c r="G132" s="168">
        <f>VLOOKUP(A132,'ERG Service assumptions'!$B$6:$AY$315,'ERG Service assumptions'!$AY$3,FALSE)</f>
        <v>962.61456607249102</v>
      </c>
      <c r="H132" s="120">
        <f>G132*(1+'Escalators &amp; overheads'!F$5)*(1-'Escalators &amp; overheads'!F$9)</f>
        <v>993.94515767492112</v>
      </c>
      <c r="I132" s="120">
        <f>H132*(1+'Escalators &amp; overheads'!G$5)*(1-'Escalators &amp; overheads'!G$9)</f>
        <v>1026.7832189026499</v>
      </c>
      <c r="J132" s="120">
        <f>I132*(1+'Escalators &amp; overheads'!H$5)*(1-'Escalators &amp; overheads'!H$9)</f>
        <v>1060.982879533841</v>
      </c>
      <c r="K132" s="120">
        <f>J132*(1+'Escalators &amp; overheads'!I$5)*(1-'Escalators &amp; overheads'!I$9)</f>
        <v>1093.7224132973975</v>
      </c>
    </row>
    <row r="133" spans="1:11" ht="30">
      <c r="A133" s="269" t="str">
        <f>'ERG Service assumptions'!B135</f>
        <v>NEW6</v>
      </c>
      <c r="B133" s="270" t="str">
        <f>VLOOKUP($A133,'ERG Service assumptions'!$B:$AR,'ERG Service assumptions'!D$3,FALSE)</f>
        <v>Connection application and management services</v>
      </c>
      <c r="C133" s="270" t="str">
        <f>VLOOKUP($A133,'ERG Service assumptions'!$B:$AR,'ERG Service assumptions'!E$3,FALSE)</f>
        <v>Supply Abolishment</v>
      </c>
      <c r="D133" s="270" t="str">
        <f>VLOOKUP($A133,'ERG Service assumptions'!$B:$AR,'ERG Service assumptions'!F$3,FALSE)</f>
        <v>Request to de-energise an unmetered supply point.</v>
      </c>
      <c r="E133" s="129" t="str">
        <f>VLOOKUP($A133,'ERG Service assumptions'!$B:$AR,'ERG Service assumptions'!G$3,FALSE)</f>
        <v>AFTER HOURS</v>
      </c>
      <c r="F133" s="269" t="str">
        <f>VLOOKUP($A133,'ERG Service assumptions'!$B:$AR,'ERG Service assumptions'!H$3,FALSE)</f>
        <v>Long rural/Isolated</v>
      </c>
      <c r="G133" s="168">
        <f>VLOOKUP(A133,'ERG Service assumptions'!$B$6:$AY$315,'ERG Service assumptions'!$AY$3,FALSE)</f>
        <v>1265.4132461557811</v>
      </c>
      <c r="H133" s="120">
        <f>G133*(1+'Escalators &amp; overheads'!F$5)*(1-'Escalators &amp; overheads'!F$9)</f>
        <v>1306.5991444591593</v>
      </c>
      <c r="I133" s="120">
        <f>H133*(1+'Escalators &amp; overheads'!G$5)*(1-'Escalators &amp; overheads'!G$9)</f>
        <v>1349.7666999068017</v>
      </c>
      <c r="J133" s="120">
        <f>I133*(1+'Escalators &amp; overheads'!H$5)*(1-'Escalators &amp; overheads'!H$9)</f>
        <v>1394.7241575456494</v>
      </c>
      <c r="K133" s="120">
        <f>J133*(1+'Escalators &amp; overheads'!I$5)*(1-'Escalators &amp; overheads'!I$9)</f>
        <v>1437.7621928689678</v>
      </c>
    </row>
    <row r="134" spans="1:11" ht="30">
      <c r="A134" s="269" t="str">
        <f>'ERG Service assumptions'!B136</f>
        <v>NEW7</v>
      </c>
      <c r="B134" s="270" t="str">
        <f>VLOOKUP($A134,'ERG Service assumptions'!$B:$AR,'ERG Service assumptions'!D$3,FALSE)</f>
        <v>Connection application and management services</v>
      </c>
      <c r="C134" s="270" t="str">
        <f>VLOOKUP($A134,'ERG Service assumptions'!$B:$AR,'ERG Service assumptions'!E$3,FALSE)</f>
        <v>Supply Abolishment</v>
      </c>
      <c r="D134" s="270" t="str">
        <f>VLOOKUP($A134,'ERG Service assumptions'!$B:$AR,'ERG Service assumptions'!F$3,FALSE)</f>
        <v>Request to de-energise an unmetered supply point.</v>
      </c>
      <c r="E134" s="129" t="str">
        <f>VLOOKUP($A134,'ERG Service assumptions'!$B:$AR,'ERG Service assumptions'!G$3,FALSE)</f>
        <v>BUSINESS HOURS - TRAFFIC CONTROL</v>
      </c>
      <c r="F134" s="269" t="str">
        <f>VLOOKUP($A134,'ERG Service assumptions'!$B:$AR,'ERG Service assumptions'!H$3,FALSE)</f>
        <v>Long rural/Isolated</v>
      </c>
      <c r="G134" s="168">
        <f>VLOOKUP(A134,'ERG Service assumptions'!$B$6:$AY$315,'ERG Service assumptions'!$AY$3,FALSE)</f>
        <v>1763.8053916353647</v>
      </c>
      <c r="H134" s="120">
        <f>G134*(1+'Escalators &amp; overheads'!F$5)*(1-'Escalators &amp; overheads'!F$9)</f>
        <v>1821.2126534192366</v>
      </c>
      <c r="I134" s="120">
        <f>H134*(1+'Escalators &amp; overheads'!G$5)*(1-'Escalators &amp; overheads'!G$9)</f>
        <v>1881.3820623246472</v>
      </c>
      <c r="J134" s="120">
        <f>I134*(1+'Escalators &amp; overheads'!H$5)*(1-'Escalators &amp; overheads'!H$9)</f>
        <v>1944.0463393254715</v>
      </c>
      <c r="K134" s="120">
        <f>J134*(1+'Escalators &amp; overheads'!I$5)*(1-'Escalators &amp; overheads'!I$9)</f>
        <v>2004.0352156702329</v>
      </c>
    </row>
    <row r="135" spans="1:11" ht="30">
      <c r="A135" s="269" t="str">
        <f>'ERG Service assumptions'!B137</f>
        <v>NEW8</v>
      </c>
      <c r="B135" s="270" t="str">
        <f>VLOOKUP($A135,'ERG Service assumptions'!$B:$AR,'ERG Service assumptions'!D$3,FALSE)</f>
        <v>Connection application and management services</v>
      </c>
      <c r="C135" s="270" t="str">
        <f>VLOOKUP($A135,'ERG Service assumptions'!$B:$AR,'ERG Service assumptions'!E$3,FALSE)</f>
        <v>Supply Abolishment</v>
      </c>
      <c r="D135" s="270" t="str">
        <f>VLOOKUP($A135,'ERG Service assumptions'!$B:$AR,'ERG Service assumptions'!F$3,FALSE)</f>
        <v>Request to de-energise an unmetered supply point.</v>
      </c>
      <c r="E135" s="129" t="str">
        <f>VLOOKUP($A135,'ERG Service assumptions'!$B:$AR,'ERG Service assumptions'!G$3,FALSE)</f>
        <v>AFTER HOURS - TRAFFIC CONTROL</v>
      </c>
      <c r="F135" s="269" t="str">
        <f>VLOOKUP($A135,'ERG Service assumptions'!$B:$AR,'ERG Service assumptions'!H$3,FALSE)</f>
        <v>Long rural/Isolated</v>
      </c>
      <c r="G135" s="168">
        <f>VLOOKUP(A135,'ERG Service assumptions'!$B$6:$AY$315,'ERG Service assumptions'!$AY$3,FALSE)</f>
        <v>2066.6040717186547</v>
      </c>
      <c r="H135" s="120">
        <f>G135*(1+'Escalators &amp; overheads'!F$5)*(1-'Escalators &amp; overheads'!F$9)</f>
        <v>2133.8666402034751</v>
      </c>
      <c r="I135" s="120">
        <f>H135*(1+'Escalators &amp; overheads'!G$5)*(1-'Escalators &amp; overheads'!G$9)</f>
        <v>2204.3655433287995</v>
      </c>
      <c r="J135" s="120">
        <f>I135*(1+'Escalators &amp; overheads'!H$5)*(1-'Escalators &amp; overheads'!H$9)</f>
        <v>2277.7876173372802</v>
      </c>
      <c r="K135" s="120">
        <f>J135*(1+'Escalators &amp; overheads'!I$5)*(1-'Escalators &amp; overheads'!I$9)</f>
        <v>2348.0749952418037</v>
      </c>
    </row>
    <row r="136" spans="1:11" ht="30">
      <c r="A136" s="269" t="str">
        <f>'ERG Service assumptions'!B138</f>
        <v>EE_148</v>
      </c>
      <c r="B136" s="270" t="str">
        <f>VLOOKUP($A136,'ERG Service assumptions'!$B:$AR,'ERG Service assumptions'!D$3,FALSE)</f>
        <v>Connection application and management services</v>
      </c>
      <c r="C136" s="270" t="str">
        <f>VLOOKUP($A136,'ERG Service assumptions'!$B:$AR,'ERG Service assumptions'!E$3,FALSE)</f>
        <v>Supply enhancement</v>
      </c>
      <c r="D136" s="270" t="str">
        <f>VLOOKUP($A136,'ERG Service assumptions'!$B:$AR,'ERG Service assumptions'!F$3,FALSE)</f>
        <v>Service upgrade. For example, an upgrade from single phase to multi phase and/or increase capacity. Excludes work on metering equipment (if required). Overhead</v>
      </c>
      <c r="E136" s="129" t="str">
        <f>VLOOKUP($A136,'ERG Service assumptions'!$B:$AR,'ERG Service assumptions'!G$3,FALSE)</f>
        <v xml:space="preserve">BUSINESS HOURS - SINGLE TO MULTI PHASE </v>
      </c>
      <c r="F136" s="269" t="str">
        <f>VLOOKUP($A136,'ERG Service assumptions'!$B:$AR,'ERG Service assumptions'!H$3,FALSE)</f>
        <v>Urban/Short Rural</v>
      </c>
      <c r="G136" s="168">
        <f>VLOOKUP(A136,'ERG Service assumptions'!$B$6:$AY$315,'ERG Service assumptions'!$AY$3,FALSE)</f>
        <v>1050.2226864251238</v>
      </c>
      <c r="H136" s="120">
        <f>G136*(1+'Escalators &amp; overheads'!F$5)*(1-'Escalators &amp; overheads'!F$9)</f>
        <v>1084.4046936788086</v>
      </c>
      <c r="I136" s="120">
        <f>H136*(1+'Escalators &amp; overheads'!G$5)*(1-'Escalators &amp; overheads'!G$9)</f>
        <v>1120.231366258975</v>
      </c>
      <c r="J136" s="120">
        <f>I136*(1+'Escalators &amp; overheads'!H$5)*(1-'Escalators &amp; overheads'!H$9)</f>
        <v>1157.5435582087198</v>
      </c>
      <c r="K136" s="120">
        <f>J136*(1+'Escalators &amp; overheads'!I$5)*(1-'Escalators &amp; overheads'!I$9)</f>
        <v>1193.2627362819915</v>
      </c>
    </row>
    <row r="137" spans="1:11" ht="30">
      <c r="A137" s="269" t="str">
        <f>'ERG Service assumptions'!B139</f>
        <v>EE_149</v>
      </c>
      <c r="B137" s="270" t="str">
        <f>VLOOKUP($A137,'ERG Service assumptions'!$B:$AR,'ERG Service assumptions'!D$3,FALSE)</f>
        <v>Connection application and management services</v>
      </c>
      <c r="C137" s="270" t="str">
        <f>VLOOKUP($A137,'ERG Service assumptions'!$B:$AR,'ERG Service assumptions'!E$3,FALSE)</f>
        <v>Supply enhancement</v>
      </c>
      <c r="D137" s="270" t="str">
        <f>VLOOKUP($A137,'ERG Service assumptions'!$B:$AR,'ERG Service assumptions'!F$3,FALSE)</f>
        <v>Service upgrade. For example, an upgrade from single phase to multi phase and/or increase capacity. Excludes work on metering equipment (if required). Overhead</v>
      </c>
      <c r="E137" s="129" t="str">
        <f>VLOOKUP($A137,'ERG Service assumptions'!$B:$AR,'ERG Service assumptions'!G$3,FALSE)</f>
        <v xml:space="preserve">BUSINESS HOURS - SINGLE TO MULTI PHASE </v>
      </c>
      <c r="F137" s="269" t="str">
        <f>VLOOKUP($A137,'ERG Service assumptions'!$B:$AR,'ERG Service assumptions'!H$3,FALSE)</f>
        <v>Long rural/Isolated</v>
      </c>
      <c r="G137" s="168">
        <f>VLOOKUP(A137,'ERG Service assumptions'!$B$6:$AY$315,'ERG Service assumptions'!$AY$3,FALSE)</f>
        <v>1634.7922592764185</v>
      </c>
      <c r="H137" s="120">
        <f>G137*(1+'Escalators &amp; overheads'!F$5)*(1-'Escalators &amp; overheads'!F$9)</f>
        <v>1688.0004803395791</v>
      </c>
      <c r="I137" s="120">
        <f>H137*(1+'Escalators &amp; overheads'!G$5)*(1-'Escalators &amp; overheads'!G$9)</f>
        <v>1743.7688119198569</v>
      </c>
      <c r="J137" s="120">
        <f>I137*(1+'Escalators &amp; overheads'!H$5)*(1-'Escalators &amp; overheads'!H$9)</f>
        <v>1801.8495250529072</v>
      </c>
      <c r="K137" s="120">
        <f>J137*(1+'Escalators &amp; overheads'!I$5)*(1-'Escalators &amp; overheads'!I$9)</f>
        <v>1857.4505290844113</v>
      </c>
    </row>
    <row r="138" spans="1:11" ht="30">
      <c r="A138" s="269" t="str">
        <f>'ERG Service assumptions'!B140</f>
        <v>EE_150</v>
      </c>
      <c r="B138" s="270" t="str">
        <f>VLOOKUP($A138,'ERG Service assumptions'!$B:$AR,'ERG Service assumptions'!D$3,FALSE)</f>
        <v>Connection application and management services</v>
      </c>
      <c r="C138" s="270" t="str">
        <f>VLOOKUP($A138,'ERG Service assumptions'!$B:$AR,'ERG Service assumptions'!E$3,FALSE)</f>
        <v>Supply enhancement</v>
      </c>
      <c r="D138" s="270" t="str">
        <f>VLOOKUP($A138,'ERG Service assumptions'!$B:$AR,'ERG Service assumptions'!F$3,FALSE)</f>
        <v>Service upgrade. For example, an upgrade from single phase to multi phase and/or increase capacity. Excludes work on metering equipment (if required). Overhead</v>
      </c>
      <c r="E138" s="129" t="str">
        <f>VLOOKUP($A138,'ERG Service assumptions'!$B:$AR,'ERG Service assumptions'!G$3,FALSE)</f>
        <v>BUSINESS HOURS - SINGLE TO MULTI PHASE - Traffic control</v>
      </c>
      <c r="F138" s="269" t="str">
        <f>VLOOKUP($A138,'ERG Service assumptions'!$B:$AR,'ERG Service assumptions'!H$3,FALSE)</f>
        <v>Urban/Short Rural</v>
      </c>
      <c r="G138" s="168">
        <f>VLOOKUP(A138,'ERG Service assumptions'!$B$6:$AY$315,'ERG Service assumptions'!$AY$3,FALSE)</f>
        <v>1851.4135119879977</v>
      </c>
      <c r="H138" s="120">
        <f>G138*(1+'Escalators &amp; overheads'!F$5)*(1-'Escalators &amp; overheads'!F$9)</f>
        <v>1911.6721894231243</v>
      </c>
      <c r="I138" s="120">
        <f>H138*(1+'Escalators &amp; overheads'!G$5)*(1-'Escalators &amp; overheads'!G$9)</f>
        <v>1974.8302096809725</v>
      </c>
      <c r="J138" s="120">
        <f>I138*(1+'Escalators &amp; overheads'!H$5)*(1-'Escalators &amp; overheads'!H$9)</f>
        <v>2040.6070180003505</v>
      </c>
      <c r="K138" s="120">
        <f>J138*(1+'Escalators &amp; overheads'!I$5)*(1-'Escalators &amp; overheads'!I$9)</f>
        <v>2103.5755386548267</v>
      </c>
    </row>
    <row r="139" spans="1:11" ht="30">
      <c r="A139" s="269" t="str">
        <f>'ERG Service assumptions'!B141</f>
        <v>EE_151</v>
      </c>
      <c r="B139" s="270" t="str">
        <f>VLOOKUP($A139,'ERG Service assumptions'!$B:$AR,'ERG Service assumptions'!D$3,FALSE)</f>
        <v>Connection application and management services</v>
      </c>
      <c r="C139" s="270" t="str">
        <f>VLOOKUP($A139,'ERG Service assumptions'!$B:$AR,'ERG Service assumptions'!E$3,FALSE)</f>
        <v>Supply enhancement</v>
      </c>
      <c r="D139" s="270" t="str">
        <f>VLOOKUP($A139,'ERG Service assumptions'!$B:$AR,'ERG Service assumptions'!F$3,FALSE)</f>
        <v>Service upgrade. For example, an upgrade from single phase to multi phase and/or increase capacity. Excludes work on metering equipment (if required). Overhead</v>
      </c>
      <c r="E139" s="129" t="str">
        <f>VLOOKUP($A139,'ERG Service assumptions'!$B:$AR,'ERG Service assumptions'!G$3,FALSE)</f>
        <v>BUSINESS HOURS - SINGLE TO MULTI PHASE - Traffic control</v>
      </c>
      <c r="F139" s="269" t="str">
        <f>VLOOKUP($A139,'ERG Service assumptions'!$B:$AR,'ERG Service assumptions'!H$3,FALSE)</f>
        <v>Long rural/Isolated</v>
      </c>
      <c r="G139" s="168">
        <f>VLOOKUP(A139,'ERG Service assumptions'!$B$6:$AY$315,'ERG Service assumptions'!$AY$3,FALSE)</f>
        <v>2435.9830848392921</v>
      </c>
      <c r="H139" s="120">
        <f>G139*(1+'Escalators &amp; overheads'!F$5)*(1-'Escalators &amp; overheads'!F$9)</f>
        <v>2515.2679760838946</v>
      </c>
      <c r="I139" s="120">
        <f>H139*(1+'Escalators &amp; overheads'!G$5)*(1-'Escalators &amp; overheads'!G$9)</f>
        <v>2598.3676553418545</v>
      </c>
      <c r="J139" s="120">
        <f>I139*(1+'Escalators &amp; overheads'!H$5)*(1-'Escalators &amp; overheads'!H$9)</f>
        <v>2684.9129848445377</v>
      </c>
      <c r="K139" s="120">
        <f>J139*(1+'Escalators &amp; overheads'!I$5)*(1-'Escalators &amp; overheads'!I$9)</f>
        <v>2767.7633314572467</v>
      </c>
    </row>
    <row r="140" spans="1:11" ht="30">
      <c r="A140" s="269" t="str">
        <f>'ERG Service assumptions'!B142</f>
        <v>EE_152</v>
      </c>
      <c r="B140" s="270" t="str">
        <f>VLOOKUP($A140,'ERG Service assumptions'!$B:$AR,'ERG Service assumptions'!D$3,FALSE)</f>
        <v>Connection application and management services</v>
      </c>
      <c r="C140" s="270" t="str">
        <f>VLOOKUP($A140,'ERG Service assumptions'!$B:$AR,'ERG Service assumptions'!E$3,FALSE)</f>
        <v>Supply enhancement</v>
      </c>
      <c r="D140" s="270" t="str">
        <f>VLOOKUP($A140,'ERG Service assumptions'!$B:$AR,'ERG Service assumptions'!F$3,FALSE)</f>
        <v>Service upgrade. For example, an upgrade from single phase to multi phase and/or increase capacity. Excludes work on metering equipment (if required). Overhead</v>
      </c>
      <c r="E140" s="129" t="str">
        <f>VLOOKUP($A140,'ERG Service assumptions'!$B:$AR,'ERG Service assumptions'!G$3,FALSE)</f>
        <v xml:space="preserve">BUSINESS HOURS - MULTIPHASE INCREASE CAPACITY </v>
      </c>
      <c r="F140" s="269" t="str">
        <f>VLOOKUP($A140,'ERG Service assumptions'!$B:$AR,'ERG Service assumptions'!H$3,FALSE)</f>
        <v>Urban/Short Rural</v>
      </c>
      <c r="G140" s="168">
        <f>VLOOKUP(A140,'ERG Service assumptions'!$B$6:$AY$315,'ERG Service assumptions'!$AY$3,FALSE)</f>
        <v>1137.733101522623</v>
      </c>
      <c r="H140" s="120">
        <f>G140*(1+'Escalators &amp; overheads'!F$5)*(1-'Escalators &amp; overheads'!F$9)</f>
        <v>1174.7633443765287</v>
      </c>
      <c r="I140" s="120">
        <f>H140*(1+'Escalators &amp; overheads'!G$5)*(1-'Escalators &amp; overheads'!G$9)</f>
        <v>1213.5752952501248</v>
      </c>
      <c r="J140" s="120">
        <f>I140*(1+'Escalators &amp; overheads'!H$5)*(1-'Escalators &amp; overheads'!H$9)</f>
        <v>1253.9965472572508</v>
      </c>
      <c r="K140" s="120">
        <f>J140*(1+'Escalators &amp; overheads'!I$5)*(1-'Escalators &amp; overheads'!I$9)</f>
        <v>1292.6920465817548</v>
      </c>
    </row>
    <row r="141" spans="1:11" ht="30">
      <c r="A141" s="269" t="str">
        <f>'ERG Service assumptions'!B143</f>
        <v>EE_153</v>
      </c>
      <c r="B141" s="270" t="str">
        <f>VLOOKUP($A141,'ERG Service assumptions'!$B:$AR,'ERG Service assumptions'!D$3,FALSE)</f>
        <v>Connection application and management services</v>
      </c>
      <c r="C141" s="270" t="str">
        <f>VLOOKUP($A141,'ERG Service assumptions'!$B:$AR,'ERG Service assumptions'!E$3,FALSE)</f>
        <v>Supply enhancement</v>
      </c>
      <c r="D141" s="270" t="str">
        <f>VLOOKUP($A141,'ERG Service assumptions'!$B:$AR,'ERG Service assumptions'!F$3,FALSE)</f>
        <v>Service upgrade. For example, an upgrade from single phase to multi phase and/or increase capacity. Excludes work on metering equipment (if required). Overhead</v>
      </c>
      <c r="E141" s="129" t="str">
        <f>VLOOKUP($A141,'ERG Service assumptions'!$B:$AR,'ERG Service assumptions'!G$3,FALSE)</f>
        <v xml:space="preserve">BUSINESS HOURS - MULTIPHASE INCREASE CAPACITY </v>
      </c>
      <c r="F141" s="269" t="str">
        <f>VLOOKUP($A141,'ERG Service assumptions'!$B:$AR,'ERG Service assumptions'!H$3,FALSE)</f>
        <v>Long rural/Isolated</v>
      </c>
      <c r="G141" s="168">
        <f>VLOOKUP(A141,'ERG Service assumptions'!$B$6:$AY$315,'ERG Service assumptions'!$AY$3,FALSE)</f>
        <v>1722.3026743739176</v>
      </c>
      <c r="H141" s="120">
        <f>G141*(1+'Escalators &amp; overheads'!F$5)*(1-'Escalators &amp; overheads'!F$9)</f>
        <v>1778.359131037299</v>
      </c>
      <c r="I141" s="120">
        <f>H141*(1+'Escalators &amp; overheads'!G$5)*(1-'Escalators &amp; overheads'!G$9)</f>
        <v>1837.1127409110068</v>
      </c>
      <c r="J141" s="120">
        <f>I141*(1+'Escalators &amp; overheads'!H$5)*(1-'Escalators &amp; overheads'!H$9)</f>
        <v>1898.302514101438</v>
      </c>
      <c r="K141" s="120">
        <f>J141*(1+'Escalators &amp; overheads'!I$5)*(1-'Escalators &amp; overheads'!I$9)</f>
        <v>1956.8798393841744</v>
      </c>
    </row>
    <row r="142" spans="1:11" ht="30">
      <c r="A142" s="269" t="str">
        <f>'ERG Service assumptions'!B144</f>
        <v>EE_154</v>
      </c>
      <c r="B142" s="270" t="str">
        <f>VLOOKUP($A142,'ERG Service assumptions'!$B:$AR,'ERG Service assumptions'!D$3,FALSE)</f>
        <v>Connection application and management services</v>
      </c>
      <c r="C142" s="270" t="str">
        <f>VLOOKUP($A142,'ERG Service assumptions'!$B:$AR,'ERG Service assumptions'!E$3,FALSE)</f>
        <v>Supply enhancement</v>
      </c>
      <c r="D142" s="270" t="str">
        <f>VLOOKUP($A142,'ERG Service assumptions'!$B:$AR,'ERG Service assumptions'!F$3,FALSE)</f>
        <v>Service upgrade. For example, an upgrade from single phase to multi phase and/or increase capacity. Excludes work on metering equipment (if required). Overhead</v>
      </c>
      <c r="E142" s="129" t="str">
        <f>VLOOKUP($A142,'ERG Service assumptions'!$B:$AR,'ERG Service assumptions'!G$3,FALSE)</f>
        <v>BUSINESS HOURS - MULTIPHASE INCREASE CAPACITY - Traffic control</v>
      </c>
      <c r="F142" s="269" t="str">
        <f>VLOOKUP($A142,'ERG Service assumptions'!$B:$AR,'ERG Service assumptions'!H$3,FALSE)</f>
        <v>Urban/Short Rural</v>
      </c>
      <c r="G142" s="168">
        <f>VLOOKUP(A142,'ERG Service assumptions'!$B$6:$AY$315,'ERG Service assumptions'!$AY$3,FALSE)</f>
        <v>1938.9239270854969</v>
      </c>
      <c r="H142" s="120">
        <f>G142*(1+'Escalators &amp; overheads'!F$5)*(1-'Escalators &amp; overheads'!F$9)</f>
        <v>2002.0308401208447</v>
      </c>
      <c r="I142" s="120">
        <f>H142*(1+'Escalators &amp; overheads'!G$5)*(1-'Escalators &amp; overheads'!G$9)</f>
        <v>2068.1741386721228</v>
      </c>
      <c r="J142" s="120">
        <f>I142*(1+'Escalators &amp; overheads'!H$5)*(1-'Escalators &amp; overheads'!H$9)</f>
        <v>2137.0600070488817</v>
      </c>
      <c r="K142" s="120">
        <f>J142*(1+'Escalators &amp; overheads'!I$5)*(1-'Escalators &amp; overheads'!I$9)</f>
        <v>2203.0048489545907</v>
      </c>
    </row>
    <row r="143" spans="1:11" ht="30">
      <c r="A143" s="269" t="str">
        <f>'ERG Service assumptions'!B145</f>
        <v>EE_155</v>
      </c>
      <c r="B143" s="270" t="str">
        <f>VLOOKUP($A143,'ERG Service assumptions'!$B:$AR,'ERG Service assumptions'!D$3,FALSE)</f>
        <v>Connection application and management services</v>
      </c>
      <c r="C143" s="270" t="str">
        <f>VLOOKUP($A143,'ERG Service assumptions'!$B:$AR,'ERG Service assumptions'!E$3,FALSE)</f>
        <v>Supply enhancement</v>
      </c>
      <c r="D143" s="270" t="str">
        <f>VLOOKUP($A143,'ERG Service assumptions'!$B:$AR,'ERG Service assumptions'!F$3,FALSE)</f>
        <v>Service upgrade. For example, an upgrade from single phase to multi phase and/or increase capacity. Excludes work on metering equipment (if required). Overhead</v>
      </c>
      <c r="E143" s="129" t="str">
        <f>VLOOKUP($A143,'ERG Service assumptions'!$B:$AR,'ERG Service assumptions'!G$3,FALSE)</f>
        <v>BUSINESS HOURS - MULTIPHASE INCREASE CAPACITY - Traffic control</v>
      </c>
      <c r="F143" s="269" t="str">
        <f>VLOOKUP($A143,'ERG Service assumptions'!$B:$AR,'ERG Service assumptions'!H$3,FALSE)</f>
        <v>Long rural/Isolated</v>
      </c>
      <c r="G143" s="168">
        <f>VLOOKUP(A143,'ERG Service assumptions'!$B$6:$AY$315,'ERG Service assumptions'!$AY$3,FALSE)</f>
        <v>2523.4934999367915</v>
      </c>
      <c r="H143" s="120">
        <f>G143*(1+'Escalators &amp; overheads'!F$5)*(1-'Escalators &amp; overheads'!F$9)</f>
        <v>2605.626626781615</v>
      </c>
      <c r="I143" s="120">
        <f>H143*(1+'Escalators &amp; overheads'!G$5)*(1-'Escalators &amp; overheads'!G$9)</f>
        <v>2691.7115843330048</v>
      </c>
      <c r="J143" s="120">
        <f>I143*(1+'Escalators &amp; overheads'!H$5)*(1-'Escalators &amp; overheads'!H$9)</f>
        <v>2781.3659738930692</v>
      </c>
      <c r="K143" s="120">
        <f>J143*(1+'Escalators &amp; overheads'!I$5)*(1-'Escalators &amp; overheads'!I$9)</f>
        <v>2867.1926417570103</v>
      </c>
    </row>
    <row r="144" spans="1:11" ht="30">
      <c r="A144" s="269" t="str">
        <f>'ERG Service assumptions'!B146</f>
        <v>EE_156</v>
      </c>
      <c r="B144" s="270" t="str">
        <f>VLOOKUP($A144,'ERG Service assumptions'!$B:$AR,'ERG Service assumptions'!D$3,FALSE)</f>
        <v>Connection application and management services</v>
      </c>
      <c r="C144" s="270" t="str">
        <f>VLOOKUP($A144,'ERG Service assumptions'!$B:$AR,'ERG Service assumptions'!E$3,FALSE)</f>
        <v>Supply enhancement</v>
      </c>
      <c r="D144" s="270" t="str">
        <f>VLOOKUP($A144,'ERG Service assumptions'!$B:$AR,'ERG Service assumptions'!F$3,FALSE)</f>
        <v>Service upgrade. For example, an upgrade from single phase to multi phase and/or increase capacity. Excludes work on metering equipment (if required). Overhead</v>
      </c>
      <c r="E144" s="129" t="str">
        <f>VLOOKUP($A144,'ERG Service assumptions'!$B:$AR,'ERG Service assumptions'!G$3,FALSE)</f>
        <v xml:space="preserve">AFTER HOURS - SINGLE TO MULTI PHASE </v>
      </c>
      <c r="F144" s="269" t="str">
        <f>VLOOKUP($A144,'ERG Service assumptions'!$B:$AR,'ERG Service assumptions'!H$3,FALSE)</f>
        <v>Urban/Short Rural</v>
      </c>
      <c r="G144" s="168">
        <f>VLOOKUP(A144,'ERG Service assumptions'!$B$6:$AY$315,'ERG Service assumptions'!$AY$3,FALSE)</f>
        <v>1306.7757499138752</v>
      </c>
      <c r="H144" s="120">
        <f>G144*(1+'Escalators &amp; overheads'!F$5)*(1-'Escalators &amp; overheads'!F$9)</f>
        <v>1349.3078897541816</v>
      </c>
      <c r="I144" s="120">
        <f>H144*(1+'Escalators &amp; overheads'!G$5)*(1-'Escalators &amp; overheads'!G$9)</f>
        <v>1393.886461073402</v>
      </c>
      <c r="J144" s="120">
        <f>I144*(1+'Escalators &amp; overheads'!H$5)*(1-'Escalators &amp; overheads'!H$9)</f>
        <v>1440.3134410332705</v>
      </c>
      <c r="K144" s="120">
        <f>J144*(1+'Escalators &amp; overheads'!I$5)*(1-'Escalators &amp; overheads'!I$9)</f>
        <v>1484.758258609904</v>
      </c>
    </row>
    <row r="145" spans="1:11" ht="30">
      <c r="A145" s="269" t="str">
        <f>'ERG Service assumptions'!B147</f>
        <v>EE_157</v>
      </c>
      <c r="B145" s="270" t="str">
        <f>VLOOKUP($A145,'ERG Service assumptions'!$B:$AR,'ERG Service assumptions'!D$3,FALSE)</f>
        <v>Connection application and management services</v>
      </c>
      <c r="C145" s="270" t="str">
        <f>VLOOKUP($A145,'ERG Service assumptions'!$B:$AR,'ERG Service assumptions'!E$3,FALSE)</f>
        <v>Supply enhancement</v>
      </c>
      <c r="D145" s="270" t="str">
        <f>VLOOKUP($A145,'ERG Service assumptions'!$B:$AR,'ERG Service assumptions'!F$3,FALSE)</f>
        <v>Service upgrade. For example, an upgrade from single phase to multi phase and/or increase capacity. Excludes work on metering equipment (if required). Overhead</v>
      </c>
      <c r="E145" s="129" t="str">
        <f>VLOOKUP($A145,'ERG Service assumptions'!$B:$AR,'ERG Service assumptions'!G$3,FALSE)</f>
        <v xml:space="preserve">AFTER HOURS - SINGLE TO MULTI PHASE </v>
      </c>
      <c r="F145" s="269" t="str">
        <f>VLOOKUP($A145,'ERG Service assumptions'!$B:$AR,'ERG Service assumptions'!H$3,FALSE)</f>
        <v>Long rural/Isolated</v>
      </c>
      <c r="G145" s="168">
        <f>VLOOKUP(A145,'ERG Service assumptions'!$B$6:$AY$315,'ERG Service assumptions'!$AY$3,FALSE)</f>
        <v>2075.2267030339312</v>
      </c>
      <c r="H145" s="120">
        <f>G145*(1+'Escalators &amp; overheads'!F$5)*(1-'Escalators &amp; overheads'!F$9)</f>
        <v>2142.7699156621075</v>
      </c>
      <c r="I145" s="120">
        <f>H145*(1+'Escalators &amp; overheads'!G$5)*(1-'Escalators &amp; overheads'!G$9)</f>
        <v>2213.5629661077146</v>
      </c>
      <c r="J145" s="120">
        <f>I145*(1+'Escalators &amp; overheads'!H$5)*(1-'Escalators &amp; overheads'!H$9)</f>
        <v>2287.291383979174</v>
      </c>
      <c r="K145" s="120">
        <f>J145*(1+'Escalators &amp; overheads'!I$5)*(1-'Escalators &amp; overheads'!I$9)</f>
        <v>2357.8720266430591</v>
      </c>
    </row>
    <row r="146" spans="1:11" ht="30">
      <c r="A146" s="269" t="str">
        <f>'ERG Service assumptions'!B148</f>
        <v>EE_158</v>
      </c>
      <c r="B146" s="270" t="str">
        <f>VLOOKUP($A146,'ERG Service assumptions'!$B:$AR,'ERG Service assumptions'!D$3,FALSE)</f>
        <v>Connection application and management services</v>
      </c>
      <c r="C146" s="270" t="str">
        <f>VLOOKUP($A146,'ERG Service assumptions'!$B:$AR,'ERG Service assumptions'!E$3,FALSE)</f>
        <v>Supply enhancement</v>
      </c>
      <c r="D146" s="270" t="str">
        <f>VLOOKUP($A146,'ERG Service assumptions'!$B:$AR,'ERG Service assumptions'!F$3,FALSE)</f>
        <v>Service upgrade. For example, an upgrade from single phase to multi phase and/or increase capacity. Excludes work on metering equipment (if required). Overhead</v>
      </c>
      <c r="E146" s="129" t="str">
        <f>VLOOKUP($A146,'ERG Service assumptions'!$B:$AR,'ERG Service assumptions'!G$3,FALSE)</f>
        <v>AFTER HOURS - SINGLE TO MULTI PHASE - Traffic control</v>
      </c>
      <c r="F146" s="269" t="str">
        <f>VLOOKUP($A146,'ERG Service assumptions'!$B:$AR,'ERG Service assumptions'!H$3,FALSE)</f>
        <v>Urban/Short Rural</v>
      </c>
      <c r="G146" s="168">
        <f>VLOOKUP(A146,'ERG Service assumptions'!$B$6:$AY$315,'ERG Service assumptions'!$AY$3,FALSE)</f>
        <v>2107.9665754767493</v>
      </c>
      <c r="H146" s="120">
        <f>G146*(1+'Escalators &amp; overheads'!F$5)*(1-'Escalators &amp; overheads'!F$9)</f>
        <v>2176.5753854984978</v>
      </c>
      <c r="I146" s="120">
        <f>H146*(1+'Escalators &amp; overheads'!G$5)*(1-'Escalators &amp; overheads'!G$9)</f>
        <v>2248.4853044953998</v>
      </c>
      <c r="J146" s="120">
        <f>I146*(1+'Escalators &amp; overheads'!H$5)*(1-'Escalators &amp; overheads'!H$9)</f>
        <v>2323.3769008249014</v>
      </c>
      <c r="K146" s="120">
        <f>J146*(1+'Escalators &amp; overheads'!I$5)*(1-'Escalators &amp; overheads'!I$9)</f>
        <v>2395.0710609827397</v>
      </c>
    </row>
    <row r="147" spans="1:11" ht="30">
      <c r="A147" s="269" t="str">
        <f>'ERG Service assumptions'!B149</f>
        <v>EE_159</v>
      </c>
      <c r="B147" s="270" t="str">
        <f>VLOOKUP($A147,'ERG Service assumptions'!$B:$AR,'ERG Service assumptions'!D$3,FALSE)</f>
        <v>Connection application and management services</v>
      </c>
      <c r="C147" s="270" t="str">
        <f>VLOOKUP($A147,'ERG Service assumptions'!$B:$AR,'ERG Service assumptions'!E$3,FALSE)</f>
        <v>Supply enhancement</v>
      </c>
      <c r="D147" s="270" t="str">
        <f>VLOOKUP($A147,'ERG Service assumptions'!$B:$AR,'ERG Service assumptions'!F$3,FALSE)</f>
        <v>Service upgrade. For example, an upgrade from single phase to multi phase and/or increase capacity. Excludes work on metering equipment (if required). Overhead</v>
      </c>
      <c r="E147" s="129" t="str">
        <f>VLOOKUP($A147,'ERG Service assumptions'!$B:$AR,'ERG Service assumptions'!G$3,FALSE)</f>
        <v>AFTER HOURS - SINGLE TO MULTI PHASE - Traffic control</v>
      </c>
      <c r="F147" s="269" t="str">
        <f>VLOOKUP($A147,'ERG Service assumptions'!$B:$AR,'ERG Service assumptions'!H$3,FALSE)</f>
        <v>Long rural/Isolated</v>
      </c>
      <c r="G147" s="168">
        <f>VLOOKUP(A147,'ERG Service assumptions'!$B$6:$AY$315,'ERG Service assumptions'!$AY$3,FALSE)</f>
        <v>2876.4175285968049</v>
      </c>
      <c r="H147" s="120">
        <f>G147*(1+'Escalators &amp; overheads'!F$5)*(1-'Escalators &amp; overheads'!F$9)</f>
        <v>2970.037411406423</v>
      </c>
      <c r="I147" s="120">
        <f>H147*(1+'Escalators &amp; overheads'!G$5)*(1-'Escalators &amp; overheads'!G$9)</f>
        <v>3068.1618095297117</v>
      </c>
      <c r="J147" s="120">
        <f>I147*(1+'Escalators &amp; overheads'!H$5)*(1-'Escalators &amp; overheads'!H$9)</f>
        <v>3170.3548437708046</v>
      </c>
      <c r="K147" s="120">
        <f>J147*(1+'Escalators &amp; overheads'!I$5)*(1-'Escalators &amp; overheads'!I$9)</f>
        <v>3268.1848290158946</v>
      </c>
    </row>
    <row r="148" spans="1:11" ht="30">
      <c r="A148" s="269" t="str">
        <f>'ERG Service assumptions'!B150</f>
        <v>EE_160</v>
      </c>
      <c r="B148" s="270" t="str">
        <f>VLOOKUP($A148,'ERG Service assumptions'!$B:$AR,'ERG Service assumptions'!D$3,FALSE)</f>
        <v>Connection application and management services</v>
      </c>
      <c r="C148" s="270" t="str">
        <f>VLOOKUP($A148,'ERG Service assumptions'!$B:$AR,'ERG Service assumptions'!E$3,FALSE)</f>
        <v>Supply enhancement</v>
      </c>
      <c r="D148" s="270" t="str">
        <f>VLOOKUP($A148,'ERG Service assumptions'!$B:$AR,'ERG Service assumptions'!F$3,FALSE)</f>
        <v>Service upgrade. For example, an upgrade from single phase to multi phase and/or increase capacity. Excludes work on metering equipment (if required). Overhead</v>
      </c>
      <c r="E148" s="129" t="str">
        <f>VLOOKUP($A148,'ERG Service assumptions'!$B:$AR,'ERG Service assumptions'!G$3,FALSE)</f>
        <v>AFTER HOURS - MULTIPHASE INCREASE CAPACITY</v>
      </c>
      <c r="F148" s="269" t="str">
        <f>VLOOKUP($A148,'ERG Service assumptions'!$B:$AR,'ERG Service assumptions'!H$3,FALSE)</f>
        <v>Urban/Short Rural</v>
      </c>
      <c r="G148" s="168">
        <f>VLOOKUP(A148,'ERG Service assumptions'!$B$6:$AY$315,'ERG Service assumptions'!$AY$3,FALSE)</f>
        <v>1421.8133177462191</v>
      </c>
      <c r="H148" s="120">
        <f>G148*(1+'Escalators &amp; overheads'!F$5)*(1-'Escalators &amp; overheads'!F$9)</f>
        <v>1468.0896301595599</v>
      </c>
      <c r="I148" s="120">
        <f>H148*(1+'Escalators &amp; overheads'!G$5)*(1-'Escalators &amp; overheads'!G$9)</f>
        <v>1516.5925247012933</v>
      </c>
      <c r="J148" s="120">
        <f>I148*(1+'Escalators &amp; overheads'!H$5)*(1-'Escalators &amp; overheads'!H$9)</f>
        <v>1567.1065462646934</v>
      </c>
      <c r="K148" s="120">
        <f>J148*(1+'Escalators &amp; overheads'!I$5)*(1-'Escalators &amp; overheads'!I$9)</f>
        <v>1615.463912507083</v>
      </c>
    </row>
    <row r="149" spans="1:11" ht="30">
      <c r="A149" s="269" t="str">
        <f>'ERG Service assumptions'!B151</f>
        <v>EE_161</v>
      </c>
      <c r="B149" s="270" t="str">
        <f>VLOOKUP($A149,'ERG Service assumptions'!$B:$AR,'ERG Service assumptions'!D$3,FALSE)</f>
        <v>Connection application and management services</v>
      </c>
      <c r="C149" s="270" t="str">
        <f>VLOOKUP($A149,'ERG Service assumptions'!$B:$AR,'ERG Service assumptions'!E$3,FALSE)</f>
        <v>Supply enhancement</v>
      </c>
      <c r="D149" s="270" t="str">
        <f>VLOOKUP($A149,'ERG Service assumptions'!$B:$AR,'ERG Service assumptions'!F$3,FALSE)</f>
        <v>Service upgrade. For example, an upgrade from single phase to multi phase and/or increase capacity. Excludes work on metering equipment (if required). Overhead</v>
      </c>
      <c r="E149" s="129" t="str">
        <f>VLOOKUP($A149,'ERG Service assumptions'!$B:$AR,'ERG Service assumptions'!G$3,FALSE)</f>
        <v>AFTER HOURS - MULTIPHASE INCREASE CAPACITY</v>
      </c>
      <c r="F149" s="269" t="str">
        <f>VLOOKUP($A149,'ERG Service assumptions'!$B:$AR,'ERG Service assumptions'!H$3,FALSE)</f>
        <v>Long rural/Isolated</v>
      </c>
      <c r="G149" s="168">
        <f>VLOOKUP(A149,'ERG Service assumptions'!$B$6:$AY$315,'ERG Service assumptions'!$AY$3,FALSE)</f>
        <v>2190.2642708662752</v>
      </c>
      <c r="H149" s="120">
        <f>G149*(1+'Escalators &amp; overheads'!F$5)*(1-'Escalators &amp; overheads'!F$9)</f>
        <v>2261.5516560674855</v>
      </c>
      <c r="I149" s="120">
        <f>H149*(1+'Escalators &amp; overheads'!G$5)*(1-'Escalators &amp; overheads'!G$9)</f>
        <v>2336.2690297356053</v>
      </c>
      <c r="J149" s="120">
        <f>I149*(1+'Escalators &amp; overheads'!H$5)*(1-'Escalators &amp; overheads'!H$9)</f>
        <v>2414.0844892105965</v>
      </c>
      <c r="K149" s="120">
        <f>J149*(1+'Escalators &amp; overheads'!I$5)*(1-'Escalators &amp; overheads'!I$9)</f>
        <v>2488.5776805402379</v>
      </c>
    </row>
    <row r="150" spans="1:11" ht="30">
      <c r="A150" s="269" t="str">
        <f>'ERG Service assumptions'!B152</f>
        <v>EE_162</v>
      </c>
      <c r="B150" s="270" t="str">
        <f>VLOOKUP($A150,'ERG Service assumptions'!$B:$AR,'ERG Service assumptions'!D$3,FALSE)</f>
        <v>Connection application and management services</v>
      </c>
      <c r="C150" s="270" t="str">
        <f>VLOOKUP($A150,'ERG Service assumptions'!$B:$AR,'ERG Service assumptions'!E$3,FALSE)</f>
        <v>Supply enhancement</v>
      </c>
      <c r="D150" s="270" t="str">
        <f>VLOOKUP($A150,'ERG Service assumptions'!$B:$AR,'ERG Service assumptions'!F$3,FALSE)</f>
        <v>Service upgrade. For example, an upgrade from single phase to multi phase and/or increase capacity. Excludes work on metering equipment (if required). Overhead</v>
      </c>
      <c r="E150" s="129" t="str">
        <f>VLOOKUP($A150,'ERG Service assumptions'!$B:$AR,'ERG Service assumptions'!G$3,FALSE)</f>
        <v>AFTER HOURS - MULTIPHASE INCREASE CAPACITY - Traffic control</v>
      </c>
      <c r="F150" s="269" t="str">
        <f>VLOOKUP($A150,'ERG Service assumptions'!$B:$AR,'ERG Service assumptions'!H$3,FALSE)</f>
        <v>Urban/Short Rural</v>
      </c>
      <c r="G150" s="168">
        <f>VLOOKUP(A150,'ERG Service assumptions'!$B$6:$AY$315,'ERG Service assumptions'!$AY$3,FALSE)</f>
        <v>2223.0041433090928</v>
      </c>
      <c r="H150" s="120">
        <f>G150*(1+'Escalators &amp; overheads'!F$5)*(1-'Escalators &amp; overheads'!F$9)</f>
        <v>2295.3571259038754</v>
      </c>
      <c r="I150" s="120">
        <f>H150*(1+'Escalators &amp; overheads'!G$5)*(1-'Escalators &amp; overheads'!G$9)</f>
        <v>2371.1913681232904</v>
      </c>
      <c r="J150" s="120">
        <f>I150*(1+'Escalators &amp; overheads'!H$5)*(1-'Escalators &amp; overheads'!H$9)</f>
        <v>2450.1700060563235</v>
      </c>
      <c r="K150" s="120">
        <f>J150*(1+'Escalators &amp; overheads'!I$5)*(1-'Escalators &amp; overheads'!I$9)</f>
        <v>2525.776714879918</v>
      </c>
    </row>
    <row r="151" spans="1:11" ht="30">
      <c r="A151" s="269" t="str">
        <f>'ERG Service assumptions'!B153</f>
        <v>EE_163</v>
      </c>
      <c r="B151" s="270" t="str">
        <f>VLOOKUP($A151,'ERG Service assumptions'!$B:$AR,'ERG Service assumptions'!D$3,FALSE)</f>
        <v>Connection application and management services</v>
      </c>
      <c r="C151" s="270" t="str">
        <f>VLOOKUP($A151,'ERG Service assumptions'!$B:$AR,'ERG Service assumptions'!E$3,FALSE)</f>
        <v>Supply enhancement</v>
      </c>
      <c r="D151" s="270" t="str">
        <f>VLOOKUP($A151,'ERG Service assumptions'!$B:$AR,'ERG Service assumptions'!F$3,FALSE)</f>
        <v>Service upgrade. For example, an upgrade from single phase to multi phase and/or increase capacity. Excludes work on metering equipment (if required). Overhead</v>
      </c>
      <c r="E151" s="129" t="str">
        <f>VLOOKUP($A151,'ERG Service assumptions'!$B:$AR,'ERG Service assumptions'!G$3,FALSE)</f>
        <v>AFTER HOURS - MULTIPHASE INCREASE CAPACITY - Traffic control</v>
      </c>
      <c r="F151" s="269" t="str">
        <f>VLOOKUP($A151,'ERG Service assumptions'!$B:$AR,'ERG Service assumptions'!H$3,FALSE)</f>
        <v>Long rural/Isolated</v>
      </c>
      <c r="G151" s="168">
        <f>VLOOKUP(A151,'ERG Service assumptions'!$B$6:$AY$315,'ERG Service assumptions'!$AY$3,FALSE)</f>
        <v>2991.4550964291493</v>
      </c>
      <c r="H151" s="120">
        <f>G151*(1+'Escalators &amp; overheads'!F$5)*(1-'Escalators &amp; overheads'!F$9)</f>
        <v>3088.8191518118015</v>
      </c>
      <c r="I151" s="120">
        <f>H151*(1+'Escalators &amp; overheads'!G$5)*(1-'Escalators &amp; overheads'!G$9)</f>
        <v>3190.8678731576033</v>
      </c>
      <c r="J151" s="120">
        <f>I151*(1+'Escalators &amp; overheads'!H$5)*(1-'Escalators &amp; overheads'!H$9)</f>
        <v>3297.1479490022275</v>
      </c>
      <c r="K151" s="120">
        <f>J151*(1+'Escalators &amp; overheads'!I$5)*(1-'Escalators &amp; overheads'!I$9)</f>
        <v>3398.8904829130738</v>
      </c>
    </row>
    <row r="152" spans="1:11" ht="30">
      <c r="A152" s="269" t="str">
        <f>'ERG Service assumptions'!B154</f>
        <v>EE_164</v>
      </c>
      <c r="B152" s="270" t="str">
        <f>VLOOKUP($A152,'ERG Service assumptions'!$B:$AR,'ERG Service assumptions'!D$3,FALSE)</f>
        <v>Connection application and management services</v>
      </c>
      <c r="C152" s="270" t="str">
        <f>VLOOKUP($A152,'ERG Service assumptions'!$B:$AR,'ERG Service assumptions'!E$3,FALSE)</f>
        <v>Supply enhancement</v>
      </c>
      <c r="D152" s="270" t="str">
        <f>VLOOKUP($A152,'ERG Service assumptions'!$B:$AR,'ERG Service assumptions'!F$3,FALSE)</f>
        <v>Service upgrade. For example, an upgrade from single phase to multi phase and/or increase capacity. Excludes work on metering equipment (if required). Underground</v>
      </c>
      <c r="E152" s="129" t="str">
        <f>VLOOKUP($A152,'ERG Service assumptions'!$B:$AR,'ERG Service assumptions'!G$3,FALSE)</f>
        <v xml:space="preserve">BUSINESS HOURS - SINGLE TO MULTI PHASE </v>
      </c>
      <c r="F152" s="269" t="str">
        <f>VLOOKUP($A152,'ERG Service assumptions'!$B:$AR,'ERG Service assumptions'!H$3,FALSE)</f>
        <v>Urban/Short Rural</v>
      </c>
      <c r="G152" s="168">
        <f>VLOOKUP(A152,'ERG Service assumptions'!$B$6:$AY$315,'ERG Service assumptions'!$AY$3,FALSE)</f>
        <v>232.77770415934785</v>
      </c>
      <c r="H152" s="120">
        <f>G152*(1+'Escalators &amp; overheads'!F$5)*(1-'Escalators &amp; overheads'!F$9)</f>
        <v>240.35401085593548</v>
      </c>
      <c r="I152" s="120">
        <f>H152*(1+'Escalators &amp; overheads'!G$5)*(1-'Escalators &amp; overheads'!G$9)</f>
        <v>248.294851116459</v>
      </c>
      <c r="J152" s="120">
        <f>I152*(1+'Escalators &amp; overheads'!H$5)*(1-'Escalators &amp; overheads'!H$9)</f>
        <v>256.56495086909251</v>
      </c>
      <c r="K152" s="120">
        <f>J152*(1+'Escalators &amp; overheads'!I$5)*(1-'Escalators &amp; overheads'!I$9)</f>
        <v>264.48196539737069</v>
      </c>
    </row>
    <row r="153" spans="1:11" ht="30">
      <c r="A153" s="269" t="str">
        <f>'ERG Service assumptions'!B155</f>
        <v>EE_165</v>
      </c>
      <c r="B153" s="270" t="str">
        <f>VLOOKUP($A153,'ERG Service assumptions'!$B:$AR,'ERG Service assumptions'!D$3,FALSE)</f>
        <v>Connection application and management services</v>
      </c>
      <c r="C153" s="270" t="str">
        <f>VLOOKUP($A153,'ERG Service assumptions'!$B:$AR,'ERG Service assumptions'!E$3,FALSE)</f>
        <v>Supply enhancement</v>
      </c>
      <c r="D153" s="270" t="str">
        <f>VLOOKUP($A153,'ERG Service assumptions'!$B:$AR,'ERG Service assumptions'!F$3,FALSE)</f>
        <v>Service upgrade. For example, an upgrade from single phase to multi phase and/or increase capacity. Excludes work on metering equipment (if required). Underground</v>
      </c>
      <c r="E153" s="129" t="str">
        <f>VLOOKUP($A153,'ERG Service assumptions'!$B:$AR,'ERG Service assumptions'!G$3,FALSE)</f>
        <v xml:space="preserve">BUSINESS HOURS - SINGLE TO MULTI PHASE </v>
      </c>
      <c r="F153" s="269" t="str">
        <f>VLOOKUP($A153,'ERG Service assumptions'!$B:$AR,'ERG Service assumptions'!H$3,FALSE)</f>
        <v>Long rural/Isolated</v>
      </c>
      <c r="G153" s="168">
        <f>VLOOKUP(A153,'ERG Service assumptions'!$B$6:$AY$315,'ERG Service assumptions'!$AY$3,FALSE)</f>
        <v>525.0624905849952</v>
      </c>
      <c r="H153" s="120">
        <f>G153*(1+'Escalators &amp; overheads'!F$5)*(1-'Escalators &amp; overheads'!F$9)</f>
        <v>542.15190418632073</v>
      </c>
      <c r="I153" s="120">
        <f>H153*(1+'Escalators &amp; overheads'!G$5)*(1-'Escalators &amp; overheads'!G$9)</f>
        <v>560.06357394690008</v>
      </c>
      <c r="J153" s="120">
        <f>I153*(1+'Escalators &amp; overheads'!H$5)*(1-'Escalators &amp; overheads'!H$9)</f>
        <v>578.71793429118622</v>
      </c>
      <c r="K153" s="120">
        <f>J153*(1+'Escalators &amp; overheads'!I$5)*(1-'Escalators &amp; overheads'!I$9)</f>
        <v>596.57586179858072</v>
      </c>
    </row>
    <row r="154" spans="1:11" ht="30">
      <c r="A154" s="269" t="str">
        <f>'ERG Service assumptions'!B156</f>
        <v>EE_166</v>
      </c>
      <c r="B154" s="270" t="str">
        <f>VLOOKUP($A154,'ERG Service assumptions'!$B:$AR,'ERG Service assumptions'!D$3,FALSE)</f>
        <v>Connection application and management services</v>
      </c>
      <c r="C154" s="270" t="str">
        <f>VLOOKUP($A154,'ERG Service assumptions'!$B:$AR,'ERG Service assumptions'!E$3,FALSE)</f>
        <v>Supply enhancement</v>
      </c>
      <c r="D154" s="270" t="str">
        <f>VLOOKUP($A154,'ERG Service assumptions'!$B:$AR,'ERG Service assumptions'!F$3,FALSE)</f>
        <v>Service upgrade. For example, an upgrade from single phase to multi phase and/or increase capacity. Excludes work on metering equipment (if required). Underground</v>
      </c>
      <c r="E154" s="129" t="str">
        <f>VLOOKUP($A154,'ERG Service assumptions'!$B:$AR,'ERG Service assumptions'!G$3,FALSE)</f>
        <v>BUSINESS HOURS - SINGLE TO MULTI PHASE - Traffic control</v>
      </c>
      <c r="F154" s="269" t="str">
        <f>VLOOKUP($A154,'ERG Service assumptions'!$B:$AR,'ERG Service assumptions'!H$3,FALSE)</f>
        <v>Urban/Short Rural</v>
      </c>
      <c r="G154" s="168">
        <f>VLOOKUP(A154,'ERG Service assumptions'!$B$6:$AY$315,'ERG Service assumptions'!$AY$3,FALSE)</f>
        <v>1033.9685297222215</v>
      </c>
      <c r="H154" s="120">
        <f>G154*(1+'Escalators &amp; overheads'!F$5)*(1-'Escalators &amp; overheads'!F$9)</f>
        <v>1067.6215066002512</v>
      </c>
      <c r="I154" s="120">
        <f>H154*(1+'Escalators &amp; overheads'!G$5)*(1-'Escalators &amp; overheads'!G$9)</f>
        <v>1102.8936945384567</v>
      </c>
      <c r="J154" s="120">
        <f>I154*(1+'Escalators &amp; overheads'!H$5)*(1-'Escalators &amp; overheads'!H$9)</f>
        <v>1139.6284106607231</v>
      </c>
      <c r="K154" s="120">
        <f>J154*(1+'Escalators &amp; overheads'!I$5)*(1-'Escalators &amp; overheads'!I$9)</f>
        <v>1174.7947677702064</v>
      </c>
    </row>
    <row r="155" spans="1:11" ht="30">
      <c r="A155" s="269" t="str">
        <f>'ERG Service assumptions'!B157</f>
        <v>EE_167</v>
      </c>
      <c r="B155" s="270" t="str">
        <f>VLOOKUP($A155,'ERG Service assumptions'!$B:$AR,'ERG Service assumptions'!D$3,FALSE)</f>
        <v>Connection application and management services</v>
      </c>
      <c r="C155" s="270" t="str">
        <f>VLOOKUP($A155,'ERG Service assumptions'!$B:$AR,'ERG Service assumptions'!E$3,FALSE)</f>
        <v>Supply enhancement</v>
      </c>
      <c r="D155" s="270" t="str">
        <f>VLOOKUP($A155,'ERG Service assumptions'!$B:$AR,'ERG Service assumptions'!F$3,FALSE)</f>
        <v>Service upgrade. For example, an upgrade from single phase to multi phase and/or increase capacity. Excludes work on metering equipment (if required). Underground</v>
      </c>
      <c r="E155" s="129" t="str">
        <f>VLOOKUP($A155,'ERG Service assumptions'!$B:$AR,'ERG Service assumptions'!G$3,FALSE)</f>
        <v>BUSINESS HOURS - SINGLE TO MULTI PHASE - Traffic control</v>
      </c>
      <c r="F155" s="269" t="str">
        <f>VLOOKUP($A155,'ERG Service assumptions'!$B:$AR,'ERG Service assumptions'!H$3,FALSE)</f>
        <v>Long rural/Isolated</v>
      </c>
      <c r="G155" s="168">
        <f>VLOOKUP(A155,'ERG Service assumptions'!$B$6:$AY$315,'ERG Service assumptions'!$AY$3,FALSE)</f>
        <v>1326.2533161478691</v>
      </c>
      <c r="H155" s="120">
        <f>G155*(1+'Escalators &amp; overheads'!F$5)*(1-'Escalators &amp; overheads'!F$9)</f>
        <v>1369.4193999306365</v>
      </c>
      <c r="I155" s="120">
        <f>H155*(1+'Escalators &amp; overheads'!G$5)*(1-'Escalators &amp; overheads'!G$9)</f>
        <v>1414.6624173688976</v>
      </c>
      <c r="J155" s="120">
        <f>I155*(1+'Escalators &amp; overheads'!H$5)*(1-'Escalators &amp; overheads'!H$9)</f>
        <v>1461.7813940828169</v>
      </c>
      <c r="K155" s="120">
        <f>J155*(1+'Escalators &amp; overheads'!I$5)*(1-'Escalators &amp; overheads'!I$9)</f>
        <v>1506.8886641714164</v>
      </c>
    </row>
    <row r="156" spans="1:11" ht="30">
      <c r="A156" s="269" t="str">
        <f>'ERG Service assumptions'!B158</f>
        <v>EE_168</v>
      </c>
      <c r="B156" s="270" t="str">
        <f>VLOOKUP($A156,'ERG Service assumptions'!$B:$AR,'ERG Service assumptions'!D$3,FALSE)</f>
        <v>Connection application and management services</v>
      </c>
      <c r="C156" s="270" t="str">
        <f>VLOOKUP($A156,'ERG Service assumptions'!$B:$AR,'ERG Service assumptions'!E$3,FALSE)</f>
        <v>Supply enhancement</v>
      </c>
      <c r="D156" s="270" t="str">
        <f>VLOOKUP($A156,'ERG Service assumptions'!$B:$AR,'ERG Service assumptions'!F$3,FALSE)</f>
        <v>Service upgrade. For example, an upgrade from single phase to multi phase and/or increase capacity. Excludes work on metering equipment (if required). Underground</v>
      </c>
      <c r="E156" s="129" t="str">
        <f>VLOOKUP($A156,'ERG Service assumptions'!$B:$AR,'ERG Service assumptions'!G$3,FALSE)</f>
        <v xml:space="preserve">BUSINESS HOURS - MULTIPHASE INCREASE CAPACITY </v>
      </c>
      <c r="F156" s="269" t="str">
        <f>VLOOKUP($A156,'ERG Service assumptions'!$B:$AR,'ERG Service assumptions'!H$3,FALSE)</f>
        <v>Urban/Short Rural</v>
      </c>
      <c r="G156" s="168">
        <f>VLOOKUP(A156,'ERG Service assumptions'!$B$6:$AY$315,'ERG Service assumptions'!$AY$3,FALSE)</f>
        <v>232.77770415934785</v>
      </c>
      <c r="H156" s="120">
        <f>G156*(1+'Escalators &amp; overheads'!F$5)*(1-'Escalators &amp; overheads'!F$9)</f>
        <v>240.35401085593548</v>
      </c>
      <c r="I156" s="120">
        <f>H156*(1+'Escalators &amp; overheads'!G$5)*(1-'Escalators &amp; overheads'!G$9)</f>
        <v>248.294851116459</v>
      </c>
      <c r="J156" s="120">
        <f>I156*(1+'Escalators &amp; overheads'!H$5)*(1-'Escalators &amp; overheads'!H$9)</f>
        <v>256.56495086909251</v>
      </c>
      <c r="K156" s="120">
        <f>J156*(1+'Escalators &amp; overheads'!I$5)*(1-'Escalators &amp; overheads'!I$9)</f>
        <v>264.48196539737069</v>
      </c>
    </row>
    <row r="157" spans="1:11" ht="30">
      <c r="A157" s="269" t="str">
        <f>'ERG Service assumptions'!B159</f>
        <v>EE_169</v>
      </c>
      <c r="B157" s="270" t="str">
        <f>VLOOKUP($A157,'ERG Service assumptions'!$B:$AR,'ERG Service assumptions'!D$3,FALSE)</f>
        <v>Connection application and management services</v>
      </c>
      <c r="C157" s="270" t="str">
        <f>VLOOKUP($A157,'ERG Service assumptions'!$B:$AR,'ERG Service assumptions'!E$3,FALSE)</f>
        <v>Supply enhancement</v>
      </c>
      <c r="D157" s="270" t="str">
        <f>VLOOKUP($A157,'ERG Service assumptions'!$B:$AR,'ERG Service assumptions'!F$3,FALSE)</f>
        <v>Service upgrade. For example, an upgrade from single phase to multi phase and/or increase capacity. Excludes work on metering equipment (if required). Underground</v>
      </c>
      <c r="E157" s="129" t="str">
        <f>VLOOKUP($A157,'ERG Service assumptions'!$B:$AR,'ERG Service assumptions'!G$3,FALSE)</f>
        <v xml:space="preserve">BUSINESS HOURS - MULTIPHASE INCREASE CAPACITY </v>
      </c>
      <c r="F157" s="269" t="str">
        <f>VLOOKUP($A157,'ERG Service assumptions'!$B:$AR,'ERG Service assumptions'!H$3,FALSE)</f>
        <v>Long rural/Isolated</v>
      </c>
      <c r="G157" s="168">
        <f>VLOOKUP(A157,'ERG Service assumptions'!$B$6:$AY$315,'ERG Service assumptions'!$AY$3,FALSE)</f>
        <v>525.0624905849952</v>
      </c>
      <c r="H157" s="120">
        <f>G157*(1+'Escalators &amp; overheads'!F$5)*(1-'Escalators &amp; overheads'!F$9)</f>
        <v>542.15190418632073</v>
      </c>
      <c r="I157" s="120">
        <f>H157*(1+'Escalators &amp; overheads'!G$5)*(1-'Escalators &amp; overheads'!G$9)</f>
        <v>560.06357394690008</v>
      </c>
      <c r="J157" s="120">
        <f>I157*(1+'Escalators &amp; overheads'!H$5)*(1-'Escalators &amp; overheads'!H$9)</f>
        <v>578.71793429118622</v>
      </c>
      <c r="K157" s="120">
        <f>J157*(1+'Escalators &amp; overheads'!I$5)*(1-'Escalators &amp; overheads'!I$9)</f>
        <v>596.57586179858072</v>
      </c>
    </row>
    <row r="158" spans="1:11" ht="30">
      <c r="A158" s="269" t="str">
        <f>'ERG Service assumptions'!B160</f>
        <v>EE_170</v>
      </c>
      <c r="B158" s="270" t="str">
        <f>VLOOKUP($A158,'ERG Service assumptions'!$B:$AR,'ERG Service assumptions'!D$3,FALSE)</f>
        <v>Connection application and management services</v>
      </c>
      <c r="C158" s="270" t="str">
        <f>VLOOKUP($A158,'ERG Service assumptions'!$B:$AR,'ERG Service assumptions'!E$3,FALSE)</f>
        <v>Supply enhancement</v>
      </c>
      <c r="D158" s="270" t="str">
        <f>VLOOKUP($A158,'ERG Service assumptions'!$B:$AR,'ERG Service assumptions'!F$3,FALSE)</f>
        <v>Service upgrade. For example, an upgrade from single phase to multi phase and/or increase capacity. Excludes work on metering equipment (if required). Underground</v>
      </c>
      <c r="E158" s="129" t="str">
        <f>VLOOKUP($A158,'ERG Service assumptions'!$B:$AR,'ERG Service assumptions'!G$3,FALSE)</f>
        <v>BUSINESS HOURS - MULTIPHASE INCREASE CAPACITY - Traffic control</v>
      </c>
      <c r="F158" s="269" t="str">
        <f>VLOOKUP($A158,'ERG Service assumptions'!$B:$AR,'ERG Service assumptions'!H$3,FALSE)</f>
        <v>Urban/Short Rural</v>
      </c>
      <c r="G158" s="168">
        <f>VLOOKUP(A158,'ERG Service assumptions'!$B$6:$AY$315,'ERG Service assumptions'!$AY$3,FALSE)</f>
        <v>1033.9685297222215</v>
      </c>
      <c r="H158" s="120">
        <f>G158*(1+'Escalators &amp; overheads'!F$5)*(1-'Escalators &amp; overheads'!F$9)</f>
        <v>1067.6215066002512</v>
      </c>
      <c r="I158" s="120">
        <f>H158*(1+'Escalators &amp; overheads'!G$5)*(1-'Escalators &amp; overheads'!G$9)</f>
        <v>1102.8936945384567</v>
      </c>
      <c r="J158" s="120">
        <f>I158*(1+'Escalators &amp; overheads'!H$5)*(1-'Escalators &amp; overheads'!H$9)</f>
        <v>1139.6284106607231</v>
      </c>
      <c r="K158" s="120">
        <f>J158*(1+'Escalators &amp; overheads'!I$5)*(1-'Escalators &amp; overheads'!I$9)</f>
        <v>1174.7947677702064</v>
      </c>
    </row>
    <row r="159" spans="1:11" ht="30">
      <c r="A159" s="269" t="str">
        <f>'ERG Service assumptions'!B161</f>
        <v>EE_171</v>
      </c>
      <c r="B159" s="270" t="str">
        <f>VLOOKUP($A159,'ERG Service assumptions'!$B:$AR,'ERG Service assumptions'!D$3,FALSE)</f>
        <v>Connection application and management services</v>
      </c>
      <c r="C159" s="270" t="str">
        <f>VLOOKUP($A159,'ERG Service assumptions'!$B:$AR,'ERG Service assumptions'!E$3,FALSE)</f>
        <v>Supply enhancement</v>
      </c>
      <c r="D159" s="270" t="str">
        <f>VLOOKUP($A159,'ERG Service assumptions'!$B:$AR,'ERG Service assumptions'!F$3,FALSE)</f>
        <v>Service upgrade. For example, an upgrade from single phase to multi phase and/or increase capacity. Excludes work on metering equipment (if required). Underground</v>
      </c>
      <c r="E159" s="129" t="str">
        <f>VLOOKUP($A159,'ERG Service assumptions'!$B:$AR,'ERG Service assumptions'!G$3,FALSE)</f>
        <v>BUSINESS HOURS - MULTIPHASE INCREASE CAPACITY - Traffic control</v>
      </c>
      <c r="F159" s="269" t="str">
        <f>VLOOKUP($A159,'ERG Service assumptions'!$B:$AR,'ERG Service assumptions'!H$3,FALSE)</f>
        <v>Long rural/Isolated</v>
      </c>
      <c r="G159" s="168">
        <f>VLOOKUP(A159,'ERG Service assumptions'!$B$6:$AY$315,'ERG Service assumptions'!$AY$3,FALSE)</f>
        <v>1326.2533161478691</v>
      </c>
      <c r="H159" s="120">
        <f>G159*(1+'Escalators &amp; overheads'!F$5)*(1-'Escalators &amp; overheads'!F$9)</f>
        <v>1369.4193999306365</v>
      </c>
      <c r="I159" s="120">
        <f>H159*(1+'Escalators &amp; overheads'!G$5)*(1-'Escalators &amp; overheads'!G$9)</f>
        <v>1414.6624173688976</v>
      </c>
      <c r="J159" s="120">
        <f>I159*(1+'Escalators &amp; overheads'!H$5)*(1-'Escalators &amp; overheads'!H$9)</f>
        <v>1461.7813940828169</v>
      </c>
      <c r="K159" s="120">
        <f>J159*(1+'Escalators &amp; overheads'!I$5)*(1-'Escalators &amp; overheads'!I$9)</f>
        <v>1506.8886641714164</v>
      </c>
    </row>
    <row r="160" spans="1:11" ht="30">
      <c r="A160" s="269" t="str">
        <f>'ERG Service assumptions'!B162</f>
        <v>EE_172</v>
      </c>
      <c r="B160" s="270" t="str">
        <f>VLOOKUP($A160,'ERG Service assumptions'!$B:$AR,'ERG Service assumptions'!D$3,FALSE)</f>
        <v>Connection application and management services</v>
      </c>
      <c r="C160" s="270" t="str">
        <f>VLOOKUP($A160,'ERG Service assumptions'!$B:$AR,'ERG Service assumptions'!E$3,FALSE)</f>
        <v>Supply enhancement</v>
      </c>
      <c r="D160" s="270" t="str">
        <f>VLOOKUP($A160,'ERG Service assumptions'!$B:$AR,'ERG Service assumptions'!F$3,FALSE)</f>
        <v>Service upgrade. For example, an upgrade from single phase to multi phase and/or increase capacity. Excludes work on metering equipment (if required). Underground</v>
      </c>
      <c r="E160" s="129" t="str">
        <f>VLOOKUP($A160,'ERG Service assumptions'!$B:$AR,'ERG Service assumptions'!G$3,FALSE)</f>
        <v xml:space="preserve">AFTER HOURS - SINGLE TO MULTI PHASE </v>
      </c>
      <c r="F160" s="269" t="str">
        <f>VLOOKUP($A160,'ERG Service assumptions'!$B:$AR,'ERG Service assumptions'!H$3,FALSE)</f>
        <v>Urban/Short Rural</v>
      </c>
      <c r="G160" s="168">
        <f>VLOOKUP(A160,'ERG Service assumptions'!$B$6:$AY$315,'ERG Service assumptions'!$AY$3,FALSE)</f>
        <v>305.99993043403435</v>
      </c>
      <c r="H160" s="120">
        <f>G160*(1+'Escalators &amp; overheads'!F$5)*(1-'Escalators &amp; overheads'!F$9)</f>
        <v>315.95942947830576</v>
      </c>
      <c r="I160" s="120">
        <f>H160*(1+'Escalators &amp; overheads'!G$5)*(1-'Escalators &amp; overheads'!G$9)</f>
        <v>326.39812925019021</v>
      </c>
      <c r="J160" s="120">
        <f>I160*(1+'Escalators &amp; overheads'!H$5)*(1-'Escalators &amp; overheads'!H$9)</f>
        <v>337.26965991558427</v>
      </c>
      <c r="K160" s="120">
        <f>J160*(1+'Escalators &amp; overheads'!I$5)*(1-'Escalators &amp; overheads'!I$9)</f>
        <v>347.67703936649582</v>
      </c>
    </row>
    <row r="161" spans="1:11" ht="30">
      <c r="A161" s="269" t="str">
        <f>'ERG Service assumptions'!B163</f>
        <v>EE_173</v>
      </c>
      <c r="B161" s="270" t="str">
        <f>VLOOKUP($A161,'ERG Service assumptions'!$B:$AR,'ERG Service assumptions'!D$3,FALSE)</f>
        <v>Connection application and management services</v>
      </c>
      <c r="C161" s="270" t="str">
        <f>VLOOKUP($A161,'ERG Service assumptions'!$B:$AR,'ERG Service assumptions'!E$3,FALSE)</f>
        <v>Supply enhancement</v>
      </c>
      <c r="D161" s="270" t="str">
        <f>VLOOKUP($A161,'ERG Service assumptions'!$B:$AR,'ERG Service assumptions'!F$3,FALSE)</f>
        <v>Service upgrade. For example, an upgrade from single phase to multi phase and/or increase capacity. Excludes work on metering equipment (if required). Underground</v>
      </c>
      <c r="E161" s="129" t="str">
        <f>VLOOKUP($A161,'ERG Service assumptions'!$B:$AR,'ERG Service assumptions'!G$3,FALSE)</f>
        <v xml:space="preserve">AFTER HOURS - SINGLE TO MULTI PHASE </v>
      </c>
      <c r="F161" s="269" t="str">
        <f>VLOOKUP($A161,'ERG Service assumptions'!$B:$AR,'ERG Service assumptions'!H$3,FALSE)</f>
        <v>Long rural/Isolated</v>
      </c>
      <c r="G161" s="168">
        <f>VLOOKUP(A161,'ERG Service assumptions'!$B$6:$AY$315,'ERG Service assumptions'!$AY$3,FALSE)</f>
        <v>690.2254069940625</v>
      </c>
      <c r="H161" s="120">
        <f>G161*(1+'Escalators &amp; overheads'!F$5)*(1-'Escalators &amp; overheads'!F$9)</f>
        <v>712.69044243226881</v>
      </c>
      <c r="I161" s="120">
        <f>H161*(1+'Escalators &amp; overheads'!G$5)*(1-'Escalators &amp; overheads'!G$9)</f>
        <v>736.23638176734653</v>
      </c>
      <c r="J161" s="120">
        <f>I161*(1+'Escalators &amp; overheads'!H$5)*(1-'Escalators &amp; overheads'!H$9)</f>
        <v>760.75863138853629</v>
      </c>
      <c r="K161" s="120">
        <f>J161*(1+'Escalators &amp; overheads'!I$5)*(1-'Escalators &amp; overheads'!I$9)</f>
        <v>784.2339233830736</v>
      </c>
    </row>
    <row r="162" spans="1:11" ht="30">
      <c r="A162" s="269" t="str">
        <f>'ERG Service assumptions'!B164</f>
        <v>EE_174</v>
      </c>
      <c r="B162" s="270" t="str">
        <f>VLOOKUP($A162,'ERG Service assumptions'!$B:$AR,'ERG Service assumptions'!D$3,FALSE)</f>
        <v>Connection application and management services</v>
      </c>
      <c r="C162" s="270" t="str">
        <f>VLOOKUP($A162,'ERG Service assumptions'!$B:$AR,'ERG Service assumptions'!E$3,FALSE)</f>
        <v>Supply enhancement</v>
      </c>
      <c r="D162" s="270" t="str">
        <f>VLOOKUP($A162,'ERG Service assumptions'!$B:$AR,'ERG Service assumptions'!F$3,FALSE)</f>
        <v>Service upgrade. For example, an upgrade from single phase to multi phase and/or increase capacity. Excludes work on metering equipment (if required). Underground</v>
      </c>
      <c r="E162" s="129" t="str">
        <f>VLOOKUP($A162,'ERG Service assumptions'!$B:$AR,'ERG Service assumptions'!G$3,FALSE)</f>
        <v>AFTER HOURS - SINGLE TO MULTI PHASE - Traffic control</v>
      </c>
      <c r="F162" s="269" t="str">
        <f>VLOOKUP($A162,'ERG Service assumptions'!$B:$AR,'ERG Service assumptions'!H$3,FALSE)</f>
        <v>Urban/Short Rural</v>
      </c>
      <c r="G162" s="168">
        <f>VLOOKUP(A162,'ERG Service assumptions'!$B$6:$AY$315,'ERG Service assumptions'!$AY$3,FALSE)</f>
        <v>1107.1907559969081</v>
      </c>
      <c r="H162" s="120">
        <f>G162*(1+'Escalators &amp; overheads'!F$5)*(1-'Escalators &amp; overheads'!F$9)</f>
        <v>1143.2269252226215</v>
      </c>
      <c r="I162" s="120">
        <f>H162*(1+'Escalators &amp; overheads'!G$5)*(1-'Escalators &amp; overheads'!G$9)</f>
        <v>1180.9969726721879</v>
      </c>
      <c r="J162" s="120">
        <f>I162*(1+'Escalators &amp; overheads'!H$5)*(1-'Escalators &amp; overheads'!H$9)</f>
        <v>1220.333119707215</v>
      </c>
      <c r="K162" s="120">
        <f>J162*(1+'Escalators &amp; overheads'!I$5)*(1-'Escalators &amp; overheads'!I$9)</f>
        <v>1257.9898417393317</v>
      </c>
    </row>
    <row r="163" spans="1:11" ht="30">
      <c r="A163" s="269" t="str">
        <f>'ERG Service assumptions'!B165</f>
        <v>EE_175</v>
      </c>
      <c r="B163" s="270" t="str">
        <f>VLOOKUP($A163,'ERG Service assumptions'!$B:$AR,'ERG Service assumptions'!D$3,FALSE)</f>
        <v>Connection application and management services</v>
      </c>
      <c r="C163" s="270" t="str">
        <f>VLOOKUP($A163,'ERG Service assumptions'!$B:$AR,'ERG Service assumptions'!E$3,FALSE)</f>
        <v>Supply enhancement</v>
      </c>
      <c r="D163" s="270" t="str">
        <f>VLOOKUP($A163,'ERG Service assumptions'!$B:$AR,'ERG Service assumptions'!F$3,FALSE)</f>
        <v>Service upgrade. For example, an upgrade from single phase to multi phase and/or increase capacity. Excludes work on metering equipment (if required). Underground</v>
      </c>
      <c r="E163" s="129" t="str">
        <f>VLOOKUP($A163,'ERG Service assumptions'!$B:$AR,'ERG Service assumptions'!G$3,FALSE)</f>
        <v>AFTER HOURS - SINGLE TO MULTI PHASE - Traffic control</v>
      </c>
      <c r="F163" s="269" t="str">
        <f>VLOOKUP($A163,'ERG Service assumptions'!$B:$AR,'ERG Service assumptions'!H$3,FALSE)</f>
        <v>Long rural/Isolated</v>
      </c>
      <c r="G163" s="168">
        <f>VLOOKUP(A163,'ERG Service assumptions'!$B$6:$AY$315,'ERG Service assumptions'!$AY$3,FALSE)</f>
        <v>1491.4162325569364</v>
      </c>
      <c r="H163" s="120">
        <f>G163*(1+'Escalators &amp; overheads'!F$5)*(1-'Escalators &amp; overheads'!F$9)</f>
        <v>1539.9579381765845</v>
      </c>
      <c r="I163" s="120">
        <f>H163*(1+'Escalators &amp; overheads'!G$5)*(1-'Escalators &amp; overheads'!G$9)</f>
        <v>1590.8352251893443</v>
      </c>
      <c r="J163" s="120">
        <f>I163*(1+'Escalators &amp; overheads'!H$5)*(1-'Escalators &amp; overheads'!H$9)</f>
        <v>1643.822091180167</v>
      </c>
      <c r="K163" s="120">
        <f>J163*(1+'Escalators &amp; overheads'!I$5)*(1-'Escalators &amp; overheads'!I$9)</f>
        <v>1694.5467257559094</v>
      </c>
    </row>
    <row r="164" spans="1:11" ht="30">
      <c r="A164" s="269" t="str">
        <f>'ERG Service assumptions'!B166</f>
        <v>EE_176</v>
      </c>
      <c r="B164" s="270" t="str">
        <f>VLOOKUP($A164,'ERG Service assumptions'!$B:$AR,'ERG Service assumptions'!D$3,FALSE)</f>
        <v>Connection application and management services</v>
      </c>
      <c r="C164" s="270" t="str">
        <f>VLOOKUP($A164,'ERG Service assumptions'!$B:$AR,'ERG Service assumptions'!E$3,FALSE)</f>
        <v>Supply enhancement</v>
      </c>
      <c r="D164" s="270" t="str">
        <f>VLOOKUP($A164,'ERG Service assumptions'!$B:$AR,'ERG Service assumptions'!F$3,FALSE)</f>
        <v>Service upgrade. For example, an upgrade from single phase to multi phase and/or increase capacity. Excludes work on metering equipment (if required). Underground</v>
      </c>
      <c r="E164" s="129" t="str">
        <f>VLOOKUP($A164,'ERG Service assumptions'!$B:$AR,'ERG Service assumptions'!G$3,FALSE)</f>
        <v>AFTER HOURS - MULTIPHASE INCREASE CAPACITY</v>
      </c>
      <c r="F164" s="269" t="str">
        <f>VLOOKUP($A164,'ERG Service assumptions'!$B:$AR,'ERG Service assumptions'!H$3,FALSE)</f>
        <v>Urban/Short Rural</v>
      </c>
      <c r="G164" s="168">
        <f>VLOOKUP(A164,'ERG Service assumptions'!$B$6:$AY$315,'ERG Service assumptions'!$AY$3,FALSE)</f>
        <v>305.99993043403435</v>
      </c>
      <c r="H164" s="120">
        <f>G164*(1+'Escalators &amp; overheads'!F$5)*(1-'Escalators &amp; overheads'!F$9)</f>
        <v>315.95942947830576</v>
      </c>
      <c r="I164" s="120">
        <f>H164*(1+'Escalators &amp; overheads'!G$5)*(1-'Escalators &amp; overheads'!G$9)</f>
        <v>326.39812925019021</v>
      </c>
      <c r="J164" s="120">
        <f>I164*(1+'Escalators &amp; overheads'!H$5)*(1-'Escalators &amp; overheads'!H$9)</f>
        <v>337.26965991558427</v>
      </c>
      <c r="K164" s="120">
        <f>J164*(1+'Escalators &amp; overheads'!I$5)*(1-'Escalators &amp; overheads'!I$9)</f>
        <v>347.67703936649582</v>
      </c>
    </row>
    <row r="165" spans="1:11" ht="30">
      <c r="A165" s="269" t="str">
        <f>'ERG Service assumptions'!B167</f>
        <v>EE_177</v>
      </c>
      <c r="B165" s="270" t="str">
        <f>VLOOKUP($A165,'ERG Service assumptions'!$B:$AR,'ERG Service assumptions'!D$3,FALSE)</f>
        <v>Connection application and management services</v>
      </c>
      <c r="C165" s="270" t="str">
        <f>VLOOKUP($A165,'ERG Service assumptions'!$B:$AR,'ERG Service assumptions'!E$3,FALSE)</f>
        <v>Supply enhancement</v>
      </c>
      <c r="D165" s="270" t="str">
        <f>VLOOKUP($A165,'ERG Service assumptions'!$B:$AR,'ERG Service assumptions'!F$3,FALSE)</f>
        <v>Service upgrade. For example, an upgrade from single phase to multi phase and/or increase capacity. Excludes work on metering equipment (if required). Underground</v>
      </c>
      <c r="E165" s="129" t="str">
        <f>VLOOKUP($A165,'ERG Service assumptions'!$B:$AR,'ERG Service assumptions'!G$3,FALSE)</f>
        <v>AFTER HOURS - MULTIPHASE INCREASE CAPACITY</v>
      </c>
      <c r="F165" s="269" t="str">
        <f>VLOOKUP($A165,'ERG Service assumptions'!$B:$AR,'ERG Service assumptions'!H$3,FALSE)</f>
        <v>Long rural/Isolated</v>
      </c>
      <c r="G165" s="168">
        <f>VLOOKUP(A165,'ERG Service assumptions'!$B$6:$AY$315,'ERG Service assumptions'!$AY$3,FALSE)</f>
        <v>690.2254069940625</v>
      </c>
      <c r="H165" s="120">
        <f>G165*(1+'Escalators &amp; overheads'!F$5)*(1-'Escalators &amp; overheads'!F$9)</f>
        <v>712.69044243226881</v>
      </c>
      <c r="I165" s="120">
        <f>H165*(1+'Escalators &amp; overheads'!G$5)*(1-'Escalators &amp; overheads'!G$9)</f>
        <v>736.23638176734653</v>
      </c>
      <c r="J165" s="120">
        <f>I165*(1+'Escalators &amp; overheads'!H$5)*(1-'Escalators &amp; overheads'!H$9)</f>
        <v>760.75863138853629</v>
      </c>
      <c r="K165" s="120">
        <f>J165*(1+'Escalators &amp; overheads'!I$5)*(1-'Escalators &amp; overheads'!I$9)</f>
        <v>784.2339233830736</v>
      </c>
    </row>
    <row r="166" spans="1:11" ht="30">
      <c r="A166" s="269" t="str">
        <f>'ERG Service assumptions'!B168</f>
        <v>EE_178</v>
      </c>
      <c r="B166" s="270" t="str">
        <f>VLOOKUP($A166,'ERG Service assumptions'!$B:$AR,'ERG Service assumptions'!D$3,FALSE)</f>
        <v>Connection application and management services</v>
      </c>
      <c r="C166" s="270" t="str">
        <f>VLOOKUP($A166,'ERG Service assumptions'!$B:$AR,'ERG Service assumptions'!E$3,FALSE)</f>
        <v>Supply enhancement</v>
      </c>
      <c r="D166" s="270" t="str">
        <f>VLOOKUP($A166,'ERG Service assumptions'!$B:$AR,'ERG Service assumptions'!F$3,FALSE)</f>
        <v>Service upgrade. For example, an upgrade from single phase to multi phase and/or increase capacity. Excludes work on metering equipment (if required). Underground</v>
      </c>
      <c r="E166" s="129" t="str">
        <f>VLOOKUP($A166,'ERG Service assumptions'!$B:$AR,'ERG Service assumptions'!G$3,FALSE)</f>
        <v>AFTER HOURS - MULTIPHASE INCREASE CAPACITY - Traffic control</v>
      </c>
      <c r="F166" s="269" t="str">
        <f>VLOOKUP($A166,'ERG Service assumptions'!$B:$AR,'ERG Service assumptions'!H$3,FALSE)</f>
        <v>Urban/Short Rural</v>
      </c>
      <c r="G166" s="168">
        <f>VLOOKUP(A166,'ERG Service assumptions'!$B$6:$AY$315,'ERG Service assumptions'!$AY$3,FALSE)</f>
        <v>1107.1907559969081</v>
      </c>
      <c r="H166" s="120">
        <f>G166*(1+'Escalators &amp; overheads'!F$5)*(1-'Escalators &amp; overheads'!F$9)</f>
        <v>1143.2269252226215</v>
      </c>
      <c r="I166" s="120">
        <f>H166*(1+'Escalators &amp; overheads'!G$5)*(1-'Escalators &amp; overheads'!G$9)</f>
        <v>1180.9969726721879</v>
      </c>
      <c r="J166" s="120">
        <f>I166*(1+'Escalators &amp; overheads'!H$5)*(1-'Escalators &amp; overheads'!H$9)</f>
        <v>1220.333119707215</v>
      </c>
      <c r="K166" s="120">
        <f>J166*(1+'Escalators &amp; overheads'!I$5)*(1-'Escalators &amp; overheads'!I$9)</f>
        <v>1257.9898417393317</v>
      </c>
    </row>
    <row r="167" spans="1:11" ht="30">
      <c r="A167" s="269" t="str">
        <f>'ERG Service assumptions'!B169</f>
        <v>EE_179</v>
      </c>
      <c r="B167" s="270" t="str">
        <f>VLOOKUP($A167,'ERG Service assumptions'!$B:$AR,'ERG Service assumptions'!D$3,FALSE)</f>
        <v>Connection application and management services</v>
      </c>
      <c r="C167" s="270" t="str">
        <f>VLOOKUP($A167,'ERG Service assumptions'!$B:$AR,'ERG Service assumptions'!E$3,FALSE)</f>
        <v>Supply enhancement</v>
      </c>
      <c r="D167" s="270" t="str">
        <f>VLOOKUP($A167,'ERG Service assumptions'!$B:$AR,'ERG Service assumptions'!F$3,FALSE)</f>
        <v>Service upgrade. For example, an upgrade from single phase to multi phase and/or increase capacity. Excludes work on metering equipment (if required). Underground</v>
      </c>
      <c r="E167" s="129" t="str">
        <f>VLOOKUP($A167,'ERG Service assumptions'!$B:$AR,'ERG Service assumptions'!G$3,FALSE)</f>
        <v>AFTER HOURS - MULTIPHASE INCREASE CAPACITY - Traffic control</v>
      </c>
      <c r="F167" s="269" t="str">
        <f>VLOOKUP($A167,'ERG Service assumptions'!$B:$AR,'ERG Service assumptions'!H$3,FALSE)</f>
        <v>Long rural/Isolated</v>
      </c>
      <c r="G167" s="168">
        <f>VLOOKUP(A167,'ERG Service assumptions'!$B$6:$AY$315,'ERG Service assumptions'!$AY$3,FALSE)</f>
        <v>1491.4162325569364</v>
      </c>
      <c r="H167" s="120">
        <f>G167*(1+'Escalators &amp; overheads'!F$5)*(1-'Escalators &amp; overheads'!F$9)</f>
        <v>1539.9579381765845</v>
      </c>
      <c r="I167" s="120">
        <f>H167*(1+'Escalators &amp; overheads'!G$5)*(1-'Escalators &amp; overheads'!G$9)</f>
        <v>1590.8352251893443</v>
      </c>
      <c r="J167" s="120">
        <f>I167*(1+'Escalators &amp; overheads'!H$5)*(1-'Escalators &amp; overheads'!H$9)</f>
        <v>1643.822091180167</v>
      </c>
      <c r="K167" s="120">
        <f>J167*(1+'Escalators &amp; overheads'!I$5)*(1-'Escalators &amp; overheads'!I$9)</f>
        <v>1694.5467257559094</v>
      </c>
    </row>
    <row r="168" spans="1:11" ht="60">
      <c r="A168" s="269" t="str">
        <f>'ERG Service assumptions'!B170</f>
        <v>EE_180</v>
      </c>
      <c r="B168" s="270" t="str">
        <f>VLOOKUP($A168,'ERG Service assumptions'!$B:$AR,'ERG Service assumptions'!D$3,FALSE)</f>
        <v>Connection application and management services</v>
      </c>
      <c r="C168" s="270" t="str">
        <f>VLOOKUP($A168,'ERG Service assumptions'!$B:$AR,'ERG Service assumptions'!E$3,FALSE)</f>
        <v>Point of attachment relocation</v>
      </c>
      <c r="D168" s="270" t="str">
        <f>VLOOKUP($A168,'ERG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8" s="129" t="str">
        <f>VLOOKUP($A168,'ERG Service assumptions'!$B:$AR,'ERG Service assumptions'!G$3,FALSE)</f>
        <v>BUSINESS HOURS - SINGLE PHASE</v>
      </c>
      <c r="F168" s="269" t="str">
        <f>VLOOKUP($A168,'ERG Service assumptions'!$B:$AR,'ERG Service assumptions'!H$3,FALSE)</f>
        <v>Urban/Short Rural</v>
      </c>
      <c r="G168" s="168">
        <f>VLOOKUP(A168,'ERG Service assumptions'!$B$6:$AY$315,'ERG Service assumptions'!$AY$3,FALSE)</f>
        <v>518.06165737719516</v>
      </c>
      <c r="H168" s="120">
        <f>G168*(1+'Escalators &amp; overheads'!F$5)*(1-'Escalators &amp; overheads'!F$9)</f>
        <v>534.92321213050298</v>
      </c>
      <c r="I168" s="120">
        <f>H168*(1+'Escalators &amp; overheads'!G$5)*(1-'Escalators &amp; overheads'!G$9)</f>
        <v>552.59605962760793</v>
      </c>
      <c r="J168" s="120">
        <f>I168*(1+'Escalators &amp; overheads'!H$5)*(1-'Escalators &amp; overheads'!H$9)</f>
        <v>571.00169516730352</v>
      </c>
      <c r="K168" s="120">
        <f>J168*(1+'Escalators &amp; overheads'!I$5)*(1-'Escalators &amp; overheads'!I$9)</f>
        <v>588.62151697459944</v>
      </c>
    </row>
    <row r="169" spans="1:11" ht="60">
      <c r="A169" s="269" t="str">
        <f>'ERG Service assumptions'!B171</f>
        <v>EE_181</v>
      </c>
      <c r="B169" s="270" t="str">
        <f>VLOOKUP($A169,'ERG Service assumptions'!$B:$AR,'ERG Service assumptions'!D$3,FALSE)</f>
        <v>Connection application and management services</v>
      </c>
      <c r="C169" s="270" t="str">
        <f>VLOOKUP($A169,'ERG Service assumptions'!$B:$AR,'ERG Service assumptions'!E$3,FALSE)</f>
        <v>Point of attachment relocation</v>
      </c>
      <c r="D169" s="270" t="str">
        <f>VLOOKUP($A169,'ERG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9" s="129" t="str">
        <f>VLOOKUP($A169,'ERG Service assumptions'!$B:$AR,'ERG Service assumptions'!G$3,FALSE)</f>
        <v>BUSINESS HOURS - SINGLE PHASE</v>
      </c>
      <c r="F169" s="269" t="str">
        <f>VLOOKUP($A169,'ERG Service assumptions'!$B:$AR,'ERG Service assumptions'!H$3,FALSE)</f>
        <v>Long rural/Isolated</v>
      </c>
      <c r="G169" s="168">
        <f>VLOOKUP(A169,'ERG Service assumptions'!$B$6:$AY$315,'ERG Service assumptions'!$AY$3,FALSE)</f>
        <v>1102.6312302284898</v>
      </c>
      <c r="H169" s="120">
        <f>G169*(1+'Escalators &amp; overheads'!F$5)*(1-'Escalators &amp; overheads'!F$9)</f>
        <v>1138.5189987912734</v>
      </c>
      <c r="I169" s="120">
        <f>H169*(1+'Escalators &amp; overheads'!G$5)*(1-'Escalators &amp; overheads'!G$9)</f>
        <v>1176.1335052884899</v>
      </c>
      <c r="J169" s="120">
        <f>I169*(1+'Escalators &amp; overheads'!H$5)*(1-'Escalators &amp; overheads'!H$9)</f>
        <v>1215.3076620114909</v>
      </c>
      <c r="K169" s="120">
        <f>J169*(1+'Escalators &amp; overheads'!I$5)*(1-'Escalators &amp; overheads'!I$9)</f>
        <v>1252.8093097770191</v>
      </c>
    </row>
    <row r="170" spans="1:11" ht="60">
      <c r="A170" s="269" t="str">
        <f>'ERG Service assumptions'!B172</f>
        <v>EE_182</v>
      </c>
      <c r="B170" s="270" t="str">
        <f>VLOOKUP($A170,'ERG Service assumptions'!$B:$AR,'ERG Service assumptions'!D$3,FALSE)</f>
        <v>Connection application and management services</v>
      </c>
      <c r="C170" s="270" t="str">
        <f>VLOOKUP($A170,'ERG Service assumptions'!$B:$AR,'ERG Service assumptions'!E$3,FALSE)</f>
        <v>Point of attachment relocation</v>
      </c>
      <c r="D170" s="270" t="str">
        <f>VLOOKUP($A170,'ERG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0" s="129" t="str">
        <f>VLOOKUP($A170,'ERG Service assumptions'!$B:$AR,'ERG Service assumptions'!G$3,FALSE)</f>
        <v>BUSINESS HOURS - SINGLE PHASE - Traffic Control</v>
      </c>
      <c r="F170" s="269" t="str">
        <f>VLOOKUP($A170,'ERG Service assumptions'!$B:$AR,'ERG Service assumptions'!H$3,FALSE)</f>
        <v>Urban/Short Rural</v>
      </c>
      <c r="G170" s="168">
        <f>VLOOKUP(A170,'ERG Service assumptions'!$B$6:$AY$315,'ERG Service assumptions'!$AY$3,FALSE)</f>
        <v>1319.2524829400691</v>
      </c>
      <c r="H170" s="120">
        <f>G170*(1+'Escalators &amp; overheads'!F$5)*(1-'Escalators &amp; overheads'!F$9)</f>
        <v>1362.1907078748188</v>
      </c>
      <c r="I170" s="120">
        <f>H170*(1+'Escalators &amp; overheads'!G$5)*(1-'Escalators &amp; overheads'!G$9)</f>
        <v>1407.1949030496055</v>
      </c>
      <c r="J170" s="120">
        <f>I170*(1+'Escalators &amp; overheads'!H$5)*(1-'Escalators &amp; overheads'!H$9)</f>
        <v>1454.0651549589343</v>
      </c>
      <c r="K170" s="120">
        <f>J170*(1+'Escalators &amp; overheads'!I$5)*(1-'Escalators &amp; overheads'!I$9)</f>
        <v>1498.9343193474351</v>
      </c>
    </row>
    <row r="171" spans="1:11" ht="60">
      <c r="A171" s="269" t="str">
        <f>'ERG Service assumptions'!B173</f>
        <v>EE_183</v>
      </c>
      <c r="B171" s="270" t="str">
        <f>VLOOKUP($A171,'ERG Service assumptions'!$B:$AR,'ERG Service assumptions'!D$3,FALSE)</f>
        <v>Connection application and management services</v>
      </c>
      <c r="C171" s="270" t="str">
        <f>VLOOKUP($A171,'ERG Service assumptions'!$B:$AR,'ERG Service assumptions'!E$3,FALSE)</f>
        <v>Point of attachment relocation</v>
      </c>
      <c r="D171" s="270" t="str">
        <f>VLOOKUP($A171,'ERG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1" s="129" t="str">
        <f>VLOOKUP($A171,'ERG Service assumptions'!$B:$AR,'ERG Service assumptions'!G$3,FALSE)</f>
        <v>BUSINESS HOURS - SINGLE PHASE - Traffic Control</v>
      </c>
      <c r="F171" s="269" t="str">
        <f>VLOOKUP($A171,'ERG Service assumptions'!$B:$AR,'ERG Service assumptions'!H$3,FALSE)</f>
        <v>Long rural/Isolated</v>
      </c>
      <c r="G171" s="168">
        <f>VLOOKUP(A171,'ERG Service assumptions'!$B$6:$AY$315,'ERG Service assumptions'!$AY$3,FALSE)</f>
        <v>1903.8220557913637</v>
      </c>
      <c r="H171" s="120">
        <f>G171*(1+'Escalators &amp; overheads'!F$5)*(1-'Escalators &amp; overheads'!F$9)</f>
        <v>1965.7864945355893</v>
      </c>
      <c r="I171" s="120">
        <f>H171*(1+'Escalators &amp; overheads'!G$5)*(1-'Escalators &amp; overheads'!G$9)</f>
        <v>2030.7323487104879</v>
      </c>
      <c r="J171" s="120">
        <f>I171*(1+'Escalators &amp; overheads'!H$5)*(1-'Escalators &amp; overheads'!H$9)</f>
        <v>2098.3711218031217</v>
      </c>
      <c r="K171" s="120">
        <f>J171*(1+'Escalators &amp; overheads'!I$5)*(1-'Escalators &amp; overheads'!I$9)</f>
        <v>2163.1221121498547</v>
      </c>
    </row>
    <row r="172" spans="1:11" ht="60">
      <c r="A172" s="269" t="str">
        <f>'ERG Service assumptions'!B174</f>
        <v>EE_184</v>
      </c>
      <c r="B172" s="270" t="str">
        <f>VLOOKUP($A172,'ERG Service assumptions'!$B:$AR,'ERG Service assumptions'!D$3,FALSE)</f>
        <v>Connection application and management services</v>
      </c>
      <c r="C172" s="270" t="str">
        <f>VLOOKUP($A172,'ERG Service assumptions'!$B:$AR,'ERG Service assumptions'!E$3,FALSE)</f>
        <v>Point of attachment relocation</v>
      </c>
      <c r="D172" s="270" t="str">
        <f>VLOOKUP($A172,'ERG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2" s="129" t="str">
        <f>VLOOKUP($A172,'ERG Service assumptions'!$B:$AR,'ERG Service assumptions'!G$3,FALSE)</f>
        <v xml:space="preserve">AFTER HOURS - SINGLE PHASE  </v>
      </c>
      <c r="F172" s="269" t="str">
        <f>VLOOKUP($A172,'ERG Service assumptions'!$B:$AR,'ERG Service assumptions'!H$3,FALSE)</f>
        <v>Urban/Short Rural</v>
      </c>
      <c r="G172" s="168">
        <f>VLOOKUP(A172,'ERG Service assumptions'!$B$6:$AY$315,'ERG Service assumptions'!$AY$3,FALSE)</f>
        <v>681.02240156747496</v>
      </c>
      <c r="H172" s="120">
        <f>G172*(1+'Escalators &amp; overheads'!F$5)*(1-'Escalators &amp; overheads'!F$9)</f>
        <v>703.1879031998385</v>
      </c>
      <c r="I172" s="120">
        <f>H172*(1+'Escalators &amp; overheads'!G$5)*(1-'Escalators &amp; overheads'!G$9)</f>
        <v>726.41989667711516</v>
      </c>
      <c r="J172" s="120">
        <f>I172*(1+'Escalators &amp; overheads'!H$5)*(1-'Escalators &amp; overheads'!H$9)</f>
        <v>750.61518297002226</v>
      </c>
      <c r="K172" s="120">
        <f>J172*(1+'Escalators &amp; overheads'!I$5)*(1-'Escalators &amp; overheads'!I$9)</f>
        <v>773.77747107129903</v>
      </c>
    </row>
    <row r="173" spans="1:11" ht="60">
      <c r="A173" s="269" t="str">
        <f>'ERG Service assumptions'!B175</f>
        <v>EE_185</v>
      </c>
      <c r="B173" s="270" t="str">
        <f>VLOOKUP($A173,'ERG Service assumptions'!$B:$AR,'ERG Service assumptions'!D$3,FALSE)</f>
        <v>Connection application and management services</v>
      </c>
      <c r="C173" s="270" t="str">
        <f>VLOOKUP($A173,'ERG Service assumptions'!$B:$AR,'ERG Service assumptions'!E$3,FALSE)</f>
        <v>Point of attachment relocation</v>
      </c>
      <c r="D173" s="270" t="str">
        <f>VLOOKUP($A173,'ERG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3" s="129" t="str">
        <f>VLOOKUP($A173,'ERG Service assumptions'!$B:$AR,'ERG Service assumptions'!G$3,FALSE)</f>
        <v xml:space="preserve">AFTER HOURS - SINGLE PHASE  </v>
      </c>
      <c r="F173" s="269" t="str">
        <f>VLOOKUP($A173,'ERG Service assumptions'!$B:$AR,'ERG Service assumptions'!H$3,FALSE)</f>
        <v>Long rural/Isolated</v>
      </c>
      <c r="G173" s="168">
        <f>VLOOKUP(A173,'ERG Service assumptions'!$B$6:$AY$315,'ERG Service assumptions'!$AY$3,FALSE)</f>
        <v>1449.4733546875311</v>
      </c>
      <c r="H173" s="120">
        <f>G173*(1+'Escalators &amp; overheads'!F$5)*(1-'Escalators &amp; overheads'!F$9)</f>
        <v>1496.6499291077644</v>
      </c>
      <c r="I173" s="120">
        <f>H173*(1+'Escalators &amp; overheads'!G$5)*(1-'Escalators &amp; overheads'!G$9)</f>
        <v>1546.0964017114275</v>
      </c>
      <c r="J173" s="120">
        <f>I173*(1+'Escalators &amp; overheads'!H$5)*(1-'Escalators &amp; overheads'!H$9)</f>
        <v>1597.5931259159258</v>
      </c>
      <c r="K173" s="120">
        <f>J173*(1+'Escalators &amp; overheads'!I$5)*(1-'Escalators &amp; overheads'!I$9)</f>
        <v>1646.8912391044541</v>
      </c>
    </row>
    <row r="174" spans="1:11" ht="60">
      <c r="A174" s="269" t="str">
        <f>'ERG Service assumptions'!B176</f>
        <v>EE_186</v>
      </c>
      <c r="B174" s="270" t="str">
        <f>VLOOKUP($A174,'ERG Service assumptions'!$B:$AR,'ERG Service assumptions'!D$3,FALSE)</f>
        <v>Connection application and management services</v>
      </c>
      <c r="C174" s="270" t="str">
        <f>VLOOKUP($A174,'ERG Service assumptions'!$B:$AR,'ERG Service assumptions'!E$3,FALSE)</f>
        <v>Point of attachment relocation</v>
      </c>
      <c r="D174" s="270" t="str">
        <f>VLOOKUP($A174,'ERG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4" s="129" t="str">
        <f>VLOOKUP($A174,'ERG Service assumptions'!$B:$AR,'ERG Service assumptions'!G$3,FALSE)</f>
        <v>AFTER HOURS - SINGLE PHASE  - Traffic Control</v>
      </c>
      <c r="F174" s="269" t="str">
        <f>VLOOKUP($A174,'ERG Service assumptions'!$B:$AR,'ERG Service assumptions'!H$3,FALSE)</f>
        <v>Urban/Short Rural</v>
      </c>
      <c r="G174" s="168">
        <f>VLOOKUP(A174,'ERG Service assumptions'!$B$6:$AY$315,'ERG Service assumptions'!$AY$3,FALSE)</f>
        <v>1482.2132271303487</v>
      </c>
      <c r="H174" s="120">
        <f>G174*(1+'Escalators &amp; overheads'!F$5)*(1-'Escalators &amp; overheads'!F$9)</f>
        <v>1530.455398944154</v>
      </c>
      <c r="I174" s="120">
        <f>H174*(1+'Escalators &amp; overheads'!G$5)*(1-'Escalators &amp; overheads'!G$9)</f>
        <v>1581.0187400991126</v>
      </c>
      <c r="J174" s="120">
        <f>I174*(1+'Escalators &amp; overheads'!H$5)*(1-'Escalators &amp; overheads'!H$9)</f>
        <v>1633.6786427616528</v>
      </c>
      <c r="K174" s="120">
        <f>J174*(1+'Escalators &amp; overheads'!I$5)*(1-'Escalators &amp; overheads'!I$9)</f>
        <v>1684.0902734441347</v>
      </c>
    </row>
    <row r="175" spans="1:11" ht="60">
      <c r="A175" s="269" t="str">
        <f>'ERG Service assumptions'!B177</f>
        <v>EE_187</v>
      </c>
      <c r="B175" s="270" t="str">
        <f>VLOOKUP($A175,'ERG Service assumptions'!$B:$AR,'ERG Service assumptions'!D$3,FALSE)</f>
        <v>Connection application and management services</v>
      </c>
      <c r="C175" s="270" t="str">
        <f>VLOOKUP($A175,'ERG Service assumptions'!$B:$AR,'ERG Service assumptions'!E$3,FALSE)</f>
        <v>Point of attachment relocation</v>
      </c>
      <c r="D175" s="270" t="str">
        <f>VLOOKUP($A175,'ERG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5" s="129" t="str">
        <f>VLOOKUP($A175,'ERG Service assumptions'!$B:$AR,'ERG Service assumptions'!G$3,FALSE)</f>
        <v>AFTER HOURS - SINGLE PHASE  - Traffic Control</v>
      </c>
      <c r="F175" s="269" t="str">
        <f>VLOOKUP($A175,'ERG Service assumptions'!$B:$AR,'ERG Service assumptions'!H$3,FALSE)</f>
        <v>Long rural/Isolated</v>
      </c>
      <c r="G175" s="168">
        <f>VLOOKUP(A175,'ERG Service assumptions'!$B$6:$AY$315,'ERG Service assumptions'!$AY$3,FALSE)</f>
        <v>2250.664180250405</v>
      </c>
      <c r="H175" s="120">
        <f>G175*(1+'Escalators &amp; overheads'!F$5)*(1-'Escalators &amp; overheads'!F$9)</f>
        <v>2323.9174248520799</v>
      </c>
      <c r="I175" s="120">
        <f>H175*(1+'Escalators &amp; overheads'!G$5)*(1-'Escalators &amp; overheads'!G$9)</f>
        <v>2400.6952451334246</v>
      </c>
      <c r="J175" s="120">
        <f>I175*(1+'Escalators &amp; overheads'!H$5)*(1-'Escalators &amp; overheads'!H$9)</f>
        <v>2480.6565857075557</v>
      </c>
      <c r="K175" s="120">
        <f>J175*(1+'Escalators &amp; overheads'!I$5)*(1-'Escalators &amp; overheads'!I$9)</f>
        <v>2557.2040414772891</v>
      </c>
    </row>
    <row r="176" spans="1:11" ht="60">
      <c r="A176" s="269" t="str">
        <f>'ERG Service assumptions'!B178</f>
        <v>EE_188</v>
      </c>
      <c r="B176" s="270" t="str">
        <f>VLOOKUP($A176,'ERG Service assumptions'!$B:$AR,'ERG Service assumptions'!D$3,FALSE)</f>
        <v>Connection application and management services</v>
      </c>
      <c r="C176" s="270" t="str">
        <f>VLOOKUP($A176,'ERG Service assumptions'!$B:$AR,'ERG Service assumptions'!E$3,FALSE)</f>
        <v>Point of attachment relocation</v>
      </c>
      <c r="D176" s="270" t="str">
        <f>VLOOKUP($A176,'ERG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6" s="129" t="str">
        <f>VLOOKUP($A176,'ERG Service assumptions'!$B:$AR,'ERG Service assumptions'!G$3,FALSE)</f>
        <v>BUSINESS HOURS - MULTI PHASE</v>
      </c>
      <c r="F176" s="269" t="str">
        <f>VLOOKUP($A176,'ERG Service assumptions'!$B:$AR,'ERG Service assumptions'!H$3,FALSE)</f>
        <v>Urban/Short Rural</v>
      </c>
      <c r="G176" s="168">
        <f>VLOOKUP(A176,'ERG Service assumptions'!$B$6:$AY$315,'ERG Service assumptions'!$AY$3,FALSE)</f>
        <v>654.57790492929394</v>
      </c>
      <c r="H176" s="120">
        <f>G176*(1+'Escalators &amp; overheads'!F$5)*(1-'Escalators &amp; overheads'!F$9)</f>
        <v>675.88270721894651</v>
      </c>
      <c r="I176" s="120">
        <f>H176*(1+'Escalators &amp; overheads'!G$5)*(1-'Escalators &amp; overheads'!G$9)</f>
        <v>698.21258885380212</v>
      </c>
      <c r="J176" s="120">
        <f>I176*(1+'Escalators &amp; overheads'!H$5)*(1-'Escalators &amp; overheads'!H$9)</f>
        <v>721.46835808301216</v>
      </c>
      <c r="K176" s="120">
        <f>J176*(1+'Escalators &amp; overheads'!I$5)*(1-'Escalators &amp; overheads'!I$9)</f>
        <v>743.73124104223052</v>
      </c>
    </row>
    <row r="177" spans="1:11" ht="60">
      <c r="A177" s="269" t="str">
        <f>'ERG Service assumptions'!B179</f>
        <v>EE_189</v>
      </c>
      <c r="B177" s="270" t="str">
        <f>VLOOKUP($A177,'ERG Service assumptions'!$B:$AR,'ERG Service assumptions'!D$3,FALSE)</f>
        <v>Connection application and management services</v>
      </c>
      <c r="C177" s="270" t="str">
        <f>VLOOKUP($A177,'ERG Service assumptions'!$B:$AR,'ERG Service assumptions'!E$3,FALSE)</f>
        <v>Point of attachment relocation</v>
      </c>
      <c r="D177" s="270" t="str">
        <f>VLOOKUP($A177,'ERG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7" s="129" t="str">
        <f>VLOOKUP($A177,'ERG Service assumptions'!$B:$AR,'ERG Service assumptions'!G$3,FALSE)</f>
        <v>BUSINESS HOURS - MULTI PHASE</v>
      </c>
      <c r="F177" s="269" t="str">
        <f>VLOOKUP($A177,'ERG Service assumptions'!$B:$AR,'ERG Service assumptions'!H$3,FALSE)</f>
        <v>Long rural/Isolated</v>
      </c>
      <c r="G177" s="168">
        <f>VLOOKUP(A177,'ERG Service assumptions'!$B$6:$AY$315,'ERG Service assumptions'!$AY$3,FALSE)</f>
        <v>1239.1474777805886</v>
      </c>
      <c r="H177" s="120">
        <f>G177*(1+'Escalators &amp; overheads'!F$5)*(1-'Escalators &amp; overheads'!F$9)</f>
        <v>1279.4784938797168</v>
      </c>
      <c r="I177" s="120">
        <f>H177*(1+'Escalators &amp; overheads'!G$5)*(1-'Escalators &amp; overheads'!G$9)</f>
        <v>1321.7500345146839</v>
      </c>
      <c r="J177" s="120">
        <f>I177*(1+'Escalators &amp; overheads'!H$5)*(1-'Escalators &amp; overheads'!H$9)</f>
        <v>1365.7743249271991</v>
      </c>
      <c r="K177" s="120">
        <f>J177*(1+'Escalators &amp; overheads'!I$5)*(1-'Escalators &amp; overheads'!I$9)</f>
        <v>1407.9190338446501</v>
      </c>
    </row>
    <row r="178" spans="1:11" ht="60">
      <c r="A178" s="269" t="str">
        <f>'ERG Service assumptions'!B180</f>
        <v>EE_190</v>
      </c>
      <c r="B178" s="270" t="str">
        <f>VLOOKUP($A178,'ERG Service assumptions'!$B:$AR,'ERG Service assumptions'!D$3,FALSE)</f>
        <v>Connection application and management services</v>
      </c>
      <c r="C178" s="270" t="str">
        <f>VLOOKUP($A178,'ERG Service assumptions'!$B:$AR,'ERG Service assumptions'!E$3,FALSE)</f>
        <v>Point of attachment relocation</v>
      </c>
      <c r="D178" s="270" t="str">
        <f>VLOOKUP($A178,'ERG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8" s="129" t="str">
        <f>VLOOKUP($A178,'ERG Service assumptions'!$B:$AR,'ERG Service assumptions'!G$3,FALSE)</f>
        <v>BUSINESS HOURS - MULTI PHASE - Traffic Control</v>
      </c>
      <c r="F178" s="269" t="str">
        <f>VLOOKUP($A178,'ERG Service assumptions'!$B:$AR,'ERG Service assumptions'!H$3,FALSE)</f>
        <v>Urban/Short Rural</v>
      </c>
      <c r="G178" s="168">
        <f>VLOOKUP(A178,'ERG Service assumptions'!$B$6:$AY$315,'ERG Service assumptions'!$AY$3,FALSE)</f>
        <v>1455.7687304921678</v>
      </c>
      <c r="H178" s="120">
        <f>G178*(1+'Escalators &amp; overheads'!F$5)*(1-'Escalators &amp; overheads'!F$9)</f>
        <v>1503.1502029632622</v>
      </c>
      <c r="I178" s="120">
        <f>H178*(1+'Escalators &amp; overheads'!G$5)*(1-'Escalators &amp; overheads'!G$9)</f>
        <v>1552.8114322757997</v>
      </c>
      <c r="J178" s="120">
        <f>I178*(1+'Escalators &amp; overheads'!H$5)*(1-'Escalators &amp; overheads'!H$9)</f>
        <v>1604.5318178746427</v>
      </c>
      <c r="K178" s="120">
        <f>J178*(1+'Escalators &amp; overheads'!I$5)*(1-'Escalators &amp; overheads'!I$9)</f>
        <v>1654.0440434150662</v>
      </c>
    </row>
    <row r="179" spans="1:11" ht="60">
      <c r="A179" s="269" t="str">
        <f>'ERG Service assumptions'!B181</f>
        <v>EE_191</v>
      </c>
      <c r="B179" s="270" t="str">
        <f>VLOOKUP($A179,'ERG Service assumptions'!$B:$AR,'ERG Service assumptions'!D$3,FALSE)</f>
        <v>Connection application and management services</v>
      </c>
      <c r="C179" s="270" t="str">
        <f>VLOOKUP($A179,'ERG Service assumptions'!$B:$AR,'ERG Service assumptions'!E$3,FALSE)</f>
        <v>Point of attachment relocation</v>
      </c>
      <c r="D179" s="270" t="str">
        <f>VLOOKUP($A179,'ERG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9" s="129" t="str">
        <f>VLOOKUP($A179,'ERG Service assumptions'!$B:$AR,'ERG Service assumptions'!G$3,FALSE)</f>
        <v>BUSINESS HOURS - MULTI PHASE - Traffic Control</v>
      </c>
      <c r="F179" s="269" t="str">
        <f>VLOOKUP($A179,'ERG Service assumptions'!$B:$AR,'ERG Service assumptions'!H$3,FALSE)</f>
        <v>Long rural/Isolated</v>
      </c>
      <c r="G179" s="168">
        <f>VLOOKUP(A179,'ERG Service assumptions'!$B$6:$AY$315,'ERG Service assumptions'!$AY$3,FALSE)</f>
        <v>2040.3383033434625</v>
      </c>
      <c r="H179" s="120">
        <f>G179*(1+'Escalators &amp; overheads'!F$5)*(1-'Escalators &amp; overheads'!F$9)</f>
        <v>2106.7459896240325</v>
      </c>
      <c r="I179" s="120">
        <f>H179*(1+'Escalators &amp; overheads'!G$5)*(1-'Escalators &amp; overheads'!G$9)</f>
        <v>2176.3488779366817</v>
      </c>
      <c r="J179" s="120">
        <f>I179*(1+'Escalators &amp; overheads'!H$5)*(1-'Escalators &amp; overheads'!H$9)</f>
        <v>2248.8377847188299</v>
      </c>
      <c r="K179" s="120">
        <f>J179*(1+'Escalators &amp; overheads'!I$5)*(1-'Escalators &amp; overheads'!I$9)</f>
        <v>2318.2318362174856</v>
      </c>
    </row>
    <row r="180" spans="1:11" ht="60">
      <c r="A180" s="269" t="str">
        <f>'ERG Service assumptions'!B182</f>
        <v>EE_192</v>
      </c>
      <c r="B180" s="270" t="str">
        <f>VLOOKUP($A180,'ERG Service assumptions'!$B:$AR,'ERG Service assumptions'!D$3,FALSE)</f>
        <v>Connection application and management services</v>
      </c>
      <c r="C180" s="270" t="str">
        <f>VLOOKUP($A180,'ERG Service assumptions'!$B:$AR,'ERG Service assumptions'!E$3,FALSE)</f>
        <v>Point of attachment relocation</v>
      </c>
      <c r="D180" s="270" t="str">
        <f>VLOOKUP($A180,'ERG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0" s="129" t="str">
        <f>VLOOKUP($A180,'ERG Service assumptions'!$B:$AR,'ERG Service assumptions'!G$3,FALSE)</f>
        <v xml:space="preserve">AFTER HOURS - MULTIPHASE  </v>
      </c>
      <c r="F180" s="269" t="str">
        <f>VLOOKUP($A180,'ERG Service assumptions'!$B:$AR,'ERG Service assumptions'!H$3,FALSE)</f>
        <v>Urban/Short Rural</v>
      </c>
      <c r="G180" s="168">
        <f>VLOOKUP(A180,'ERG Service assumptions'!$B$6:$AY$315,'ERG Service assumptions'!$AY$3,FALSE)</f>
        <v>860.48100738593143</v>
      </c>
      <c r="H180" s="120">
        <f>G180*(1+'Escalators &amp; overheads'!F$5)*(1-'Escalators &amp; overheads'!F$9)</f>
        <v>888.48741823222861</v>
      </c>
      <c r="I180" s="120">
        <f>H180*(1+'Escalators &amp; overheads'!G$5)*(1-'Escalators &amp; overheads'!G$9)</f>
        <v>917.8413559366254</v>
      </c>
      <c r="J180" s="120">
        <f>I180*(1+'Escalators &amp; overheads'!H$5)*(1-'Escalators &amp; overheads'!H$9)</f>
        <v>948.41242713104191</v>
      </c>
      <c r="K180" s="120">
        <f>J180*(1+'Escalators &amp; overheads'!I$5)*(1-'Escalators &amp; overheads'!I$9)</f>
        <v>977.67829115089853</v>
      </c>
    </row>
    <row r="181" spans="1:11" ht="60">
      <c r="A181" s="269" t="str">
        <f>'ERG Service assumptions'!B183</f>
        <v>EE_193</v>
      </c>
      <c r="B181" s="270" t="str">
        <f>VLOOKUP($A181,'ERG Service assumptions'!$B:$AR,'ERG Service assumptions'!D$3,FALSE)</f>
        <v>Connection application and management services</v>
      </c>
      <c r="C181" s="270" t="str">
        <f>VLOOKUP($A181,'ERG Service assumptions'!$B:$AR,'ERG Service assumptions'!E$3,FALSE)</f>
        <v>Point of attachment relocation</v>
      </c>
      <c r="D181" s="270" t="str">
        <f>VLOOKUP($A181,'ERG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1" s="129" t="str">
        <f>VLOOKUP($A181,'ERG Service assumptions'!$B:$AR,'ERG Service assumptions'!G$3,FALSE)</f>
        <v xml:space="preserve">AFTER HOURS - MULTIPHASE  </v>
      </c>
      <c r="F181" s="269" t="str">
        <f>VLOOKUP($A181,'ERG Service assumptions'!$B:$AR,'ERG Service assumptions'!H$3,FALSE)</f>
        <v>Long rural/Isolated</v>
      </c>
      <c r="G181" s="168">
        <f>VLOOKUP(A181,'ERG Service assumptions'!$B$6:$AY$315,'ERG Service assumptions'!$AY$3,FALSE)</f>
        <v>1628.9319605059877</v>
      </c>
      <c r="H181" s="120">
        <f>G181*(1+'Escalators &amp; overheads'!F$5)*(1-'Escalators &amp; overheads'!F$9)</f>
        <v>1681.9494441401544</v>
      </c>
      <c r="I181" s="120">
        <f>H181*(1+'Escalators &amp; overheads'!G$5)*(1-'Escalators &amp; overheads'!G$9)</f>
        <v>1737.5178609709376</v>
      </c>
      <c r="J181" s="120">
        <f>I181*(1+'Escalators &amp; overheads'!H$5)*(1-'Escalators &amp; overheads'!H$9)</f>
        <v>1795.3903700769451</v>
      </c>
      <c r="K181" s="120">
        <f>J181*(1+'Escalators &amp; overheads'!I$5)*(1-'Escalators &amp; overheads'!I$9)</f>
        <v>1850.7920591840534</v>
      </c>
    </row>
    <row r="182" spans="1:11" ht="60">
      <c r="A182" s="269" t="str">
        <f>'ERG Service assumptions'!B184</f>
        <v>EE_194</v>
      </c>
      <c r="B182" s="270" t="str">
        <f>VLOOKUP($A182,'ERG Service assumptions'!$B:$AR,'ERG Service assumptions'!D$3,FALSE)</f>
        <v>Connection application and management services</v>
      </c>
      <c r="C182" s="270" t="str">
        <f>VLOOKUP($A182,'ERG Service assumptions'!$B:$AR,'ERG Service assumptions'!E$3,FALSE)</f>
        <v>Point of attachment relocation</v>
      </c>
      <c r="D182" s="270" t="str">
        <f>VLOOKUP($A182,'ERG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2" s="129" t="str">
        <f>VLOOKUP($A182,'ERG Service assumptions'!$B:$AR,'ERG Service assumptions'!G$3,FALSE)</f>
        <v>AFTER HOURS - MULTIPHASE - Traffic Control</v>
      </c>
      <c r="F182" s="269" t="str">
        <f>VLOOKUP($A182,'ERG Service assumptions'!$B:$AR,'ERG Service assumptions'!H$3,FALSE)</f>
        <v>Urban/Short Rural</v>
      </c>
      <c r="G182" s="168">
        <f>VLOOKUP(A182,'ERG Service assumptions'!$B$6:$AY$315,'ERG Service assumptions'!$AY$3,FALSE)</f>
        <v>1661.6718329488053</v>
      </c>
      <c r="H182" s="120">
        <f>G182*(1+'Escalators &amp; overheads'!F$5)*(1-'Escalators &amp; overheads'!F$9)</f>
        <v>1715.7549139765445</v>
      </c>
      <c r="I182" s="120">
        <f>H182*(1+'Escalators &amp; overheads'!G$5)*(1-'Escalators &amp; overheads'!G$9)</f>
        <v>1772.4401993586232</v>
      </c>
      <c r="J182" s="120">
        <f>I182*(1+'Escalators &amp; overheads'!H$5)*(1-'Escalators &amp; overheads'!H$9)</f>
        <v>1831.4758869226728</v>
      </c>
      <c r="K182" s="120">
        <f>J182*(1+'Escalators &amp; overheads'!I$5)*(1-'Escalators &amp; overheads'!I$9)</f>
        <v>1887.9910935237344</v>
      </c>
    </row>
    <row r="183" spans="1:11" ht="60">
      <c r="A183" s="269" t="str">
        <f>'ERG Service assumptions'!B185</f>
        <v>EE_195</v>
      </c>
      <c r="B183" s="270" t="str">
        <f>VLOOKUP($A183,'ERG Service assumptions'!$B:$AR,'ERG Service assumptions'!D$3,FALSE)</f>
        <v>Connection application and management services</v>
      </c>
      <c r="C183" s="270" t="str">
        <f>VLOOKUP($A183,'ERG Service assumptions'!$B:$AR,'ERG Service assumptions'!E$3,FALSE)</f>
        <v>Point of attachment relocation</v>
      </c>
      <c r="D183" s="270" t="str">
        <f>VLOOKUP($A183,'ERG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3" s="129" t="str">
        <f>VLOOKUP($A183,'ERG Service assumptions'!$B:$AR,'ERG Service assumptions'!G$3,FALSE)</f>
        <v>AFTER HOURS - MULTIPHASE - Traffic Control</v>
      </c>
      <c r="F183" s="269" t="str">
        <f>VLOOKUP($A183,'ERG Service assumptions'!$B:$AR,'ERG Service assumptions'!H$3,FALSE)</f>
        <v>Long rural/Isolated</v>
      </c>
      <c r="G183" s="168">
        <f>VLOOKUP(A183,'ERG Service assumptions'!$B$6:$AY$315,'ERG Service assumptions'!$AY$3,FALSE)</f>
        <v>2430.1227860688614</v>
      </c>
      <c r="H183" s="120">
        <f>G183*(1+'Escalators &amp; overheads'!F$5)*(1-'Escalators &amp; overheads'!F$9)</f>
        <v>2509.2169398844699</v>
      </c>
      <c r="I183" s="120">
        <f>H183*(1+'Escalators &amp; overheads'!G$5)*(1-'Escalators &amp; overheads'!G$9)</f>
        <v>2592.1167043929349</v>
      </c>
      <c r="J183" s="120">
        <f>I183*(1+'Escalators &amp; overheads'!H$5)*(1-'Escalators &amp; overheads'!H$9)</f>
        <v>2678.4538298685757</v>
      </c>
      <c r="K183" s="120">
        <f>J183*(1+'Escalators &amp; overheads'!I$5)*(1-'Escalators &amp; overheads'!I$9)</f>
        <v>2761.1048615568889</v>
      </c>
    </row>
    <row r="184" spans="1:11" ht="75">
      <c r="A184" s="269" t="str">
        <f>'ERG Service assumptions'!B186</f>
        <v>EE_196</v>
      </c>
      <c r="B184" s="270" t="str">
        <f>VLOOKUP($A184,'ERG Service assumptions'!$B:$AR,'ERG Service assumptions'!D$3,FALSE)</f>
        <v>Network Ancillary services</v>
      </c>
      <c r="C184" s="270" t="str">
        <f>VLOOKUP($A184,'ERG Service assumptions'!$B:$AR,'ERG Service assumptions'!E$3,FALSE)</f>
        <v>Re-arrange connection assets at customer's request</v>
      </c>
      <c r="D184" s="270" t="str">
        <f>VLOOKUP($A184,'ERG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4" s="129" t="str">
        <f>VLOOKUP($A184,'ERG Service assumptions'!$B:$AR,'ERG Service assumptions'!G$3,FALSE)</f>
        <v>BUSINESS HOURS - SINGLE PHASE</v>
      </c>
      <c r="F184" s="269" t="str">
        <f>VLOOKUP($A184,'ERG Service assumptions'!$B:$AR,'ERG Service assumptions'!H$3,FALSE)</f>
        <v>Urban/Short Rural</v>
      </c>
      <c r="G184" s="168">
        <f>VLOOKUP(A184,'ERG Service assumptions'!$B$6:$AY$315,'ERG Service assumptions'!$AY$3,FALSE)</f>
        <v>785.84352757554268</v>
      </c>
      <c r="H184" s="120">
        <f>G184*(1+'Escalators &amp; overheads'!F$5)*(1-'Escalators &amp; overheads'!F$9)</f>
        <v>811.42068326552646</v>
      </c>
      <c r="I184" s="120">
        <f>H184*(1+'Escalators &amp; overheads'!G$5)*(1-'Escalators &amp; overheads'!G$9)</f>
        <v>838.22848234052685</v>
      </c>
      <c r="J184" s="120">
        <f>I184*(1+'Escalators &amp; overheads'!H$5)*(1-'Escalators &amp; overheads'!H$9)</f>
        <v>866.14784165580841</v>
      </c>
      <c r="K184" s="120">
        <f>J184*(1+'Escalators &amp; overheads'!I$5)*(1-'Escalators &amp; overheads'!I$9)</f>
        <v>892.87520649187536</v>
      </c>
    </row>
    <row r="185" spans="1:11" ht="75">
      <c r="A185" s="269" t="str">
        <f>'ERG Service assumptions'!B187</f>
        <v>EE_197</v>
      </c>
      <c r="B185" s="270" t="str">
        <f>VLOOKUP($A185,'ERG Service assumptions'!$B:$AR,'ERG Service assumptions'!D$3,FALSE)</f>
        <v>Network Ancillary services</v>
      </c>
      <c r="C185" s="270" t="str">
        <f>VLOOKUP($A185,'ERG Service assumptions'!$B:$AR,'ERG Service assumptions'!E$3,FALSE)</f>
        <v>Re-arrange connection assets at customer's request</v>
      </c>
      <c r="D185" s="270" t="str">
        <f>VLOOKUP($A185,'ERG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5" s="129" t="str">
        <f>VLOOKUP($A185,'ERG Service assumptions'!$B:$AR,'ERG Service assumptions'!G$3,FALSE)</f>
        <v>BUSINESS HOURS - SINGLE PHASE</v>
      </c>
      <c r="F185" s="269" t="str">
        <f>VLOOKUP($A185,'ERG Service assumptions'!$B:$AR,'ERG Service assumptions'!H$3,FALSE)</f>
        <v>Long rural/Isolated</v>
      </c>
      <c r="G185" s="168">
        <f>VLOOKUP(A185,'ERG Service assumptions'!$B$6:$AY$315,'ERG Service assumptions'!$AY$3,FALSE)</f>
        <v>1662.6978868524843</v>
      </c>
      <c r="H185" s="120">
        <f>G185*(1+'Escalators &amp; overheads'!F$5)*(1-'Escalators &amp; overheads'!F$9)</f>
        <v>1716.8143632566816</v>
      </c>
      <c r="I185" s="120">
        <f>H185*(1+'Escalators &amp; overheads'!G$5)*(1-'Escalators &amp; overheads'!G$9)</f>
        <v>1773.5346508318494</v>
      </c>
      <c r="J185" s="120">
        <f>I185*(1+'Escalators &amp; overheads'!H$5)*(1-'Escalators &amp; overheads'!H$9)</f>
        <v>1832.6067919220889</v>
      </c>
      <c r="K185" s="120">
        <f>J185*(1+'Escalators &amp; overheads'!I$5)*(1-'Escalators &amp; overheads'!I$9)</f>
        <v>1889.1568956955045</v>
      </c>
    </row>
    <row r="186" spans="1:11" ht="75">
      <c r="A186" s="269" t="str">
        <f>'ERG Service assumptions'!B188</f>
        <v>EE_198</v>
      </c>
      <c r="B186" s="270" t="str">
        <f>VLOOKUP($A186,'ERG Service assumptions'!$B:$AR,'ERG Service assumptions'!D$3,FALSE)</f>
        <v>Network Ancillary services</v>
      </c>
      <c r="C186" s="270" t="str">
        <f>VLOOKUP($A186,'ERG Service assumptions'!$B:$AR,'ERG Service assumptions'!E$3,FALSE)</f>
        <v>Re-arrange connection assets at customer's request</v>
      </c>
      <c r="D186" s="270" t="str">
        <f>VLOOKUP($A186,'ERG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6" s="129" t="str">
        <f>VLOOKUP($A186,'ERG Service assumptions'!$B:$AR,'ERG Service assumptions'!G$3,FALSE)</f>
        <v>BUSINESS HOURS - SINGLE PHASE - Traffic Control</v>
      </c>
      <c r="F186" s="269" t="str">
        <f>VLOOKUP($A186,'ERG Service assumptions'!$B:$AR,'ERG Service assumptions'!H$3,FALSE)</f>
        <v>Urban/Short Rural</v>
      </c>
      <c r="G186" s="168">
        <f>VLOOKUP(A186,'ERG Service assumptions'!$B$6:$AY$315,'ERG Service assumptions'!$AY$3,FALSE)</f>
        <v>1587.0343531384165</v>
      </c>
      <c r="H186" s="120">
        <f>G186*(1+'Escalators &amp; overheads'!F$5)*(1-'Escalators &amp; overheads'!F$9)</f>
        <v>1638.6881790098423</v>
      </c>
      <c r="I186" s="120">
        <f>H186*(1+'Escalators &amp; overheads'!G$5)*(1-'Escalators &amp; overheads'!G$9)</f>
        <v>1692.8273257625244</v>
      </c>
      <c r="J186" s="120">
        <f>I186*(1+'Escalators &amp; overheads'!H$5)*(1-'Escalators &amp; overheads'!H$9)</f>
        <v>1749.2113014474389</v>
      </c>
      <c r="K186" s="120">
        <f>J186*(1+'Escalators &amp; overheads'!I$5)*(1-'Escalators &amp; overheads'!I$9)</f>
        <v>1803.1880088647108</v>
      </c>
    </row>
    <row r="187" spans="1:11" ht="75">
      <c r="A187" s="269" t="str">
        <f>'ERG Service assumptions'!B189</f>
        <v>EE_199</v>
      </c>
      <c r="B187" s="270" t="str">
        <f>VLOOKUP($A187,'ERG Service assumptions'!$B:$AR,'ERG Service assumptions'!D$3,FALSE)</f>
        <v>Network Ancillary services</v>
      </c>
      <c r="C187" s="270" t="str">
        <f>VLOOKUP($A187,'ERG Service assumptions'!$B:$AR,'ERG Service assumptions'!E$3,FALSE)</f>
        <v>Re-arrange connection assets at customer's request</v>
      </c>
      <c r="D187" s="270" t="str">
        <f>VLOOKUP($A187,'ERG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7" s="129" t="str">
        <f>VLOOKUP($A187,'ERG Service assumptions'!$B:$AR,'ERG Service assumptions'!G$3,FALSE)</f>
        <v>BUSINESS HOURS - SINGLE PHASE - Traffic Control</v>
      </c>
      <c r="F187" s="269" t="str">
        <f>VLOOKUP($A187,'ERG Service assumptions'!$B:$AR,'ERG Service assumptions'!H$3,FALSE)</f>
        <v>Long rural/Isolated</v>
      </c>
      <c r="G187" s="168">
        <f>VLOOKUP(A187,'ERG Service assumptions'!$B$6:$AY$315,'ERG Service assumptions'!$AY$3,FALSE)</f>
        <v>2463.888712415358</v>
      </c>
      <c r="H187" s="120">
        <f>G187*(1+'Escalators &amp; overheads'!F$5)*(1-'Escalators &amp; overheads'!F$9)</f>
        <v>2544.0818590009972</v>
      </c>
      <c r="I187" s="120">
        <f>H187*(1+'Escalators &amp; overheads'!G$5)*(1-'Escalators &amp; overheads'!G$9)</f>
        <v>2628.1334942538469</v>
      </c>
      <c r="J187" s="120">
        <f>I187*(1+'Escalators &amp; overheads'!H$5)*(1-'Escalators &amp; overheads'!H$9)</f>
        <v>2715.6702517137196</v>
      </c>
      <c r="K187" s="120">
        <f>J187*(1+'Escalators &amp; overheads'!I$5)*(1-'Escalators &amp; overheads'!I$9)</f>
        <v>2799.4696980683402</v>
      </c>
    </row>
    <row r="188" spans="1:11" ht="75">
      <c r="A188" s="269" t="str">
        <f>'ERG Service assumptions'!B190</f>
        <v>EE_200</v>
      </c>
      <c r="B188" s="270" t="str">
        <f>VLOOKUP($A188,'ERG Service assumptions'!$B:$AR,'ERG Service assumptions'!D$3,FALSE)</f>
        <v>Network Ancillary services</v>
      </c>
      <c r="C188" s="270" t="str">
        <f>VLOOKUP($A188,'ERG Service assumptions'!$B:$AR,'ERG Service assumptions'!E$3,FALSE)</f>
        <v>Re-arrange connection assets at customer's request</v>
      </c>
      <c r="D188" s="270" t="str">
        <f>VLOOKUP($A188,'ERG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8" s="129" t="str">
        <f>VLOOKUP($A188,'ERG Service assumptions'!$B:$AR,'ERG Service assumptions'!G$3,FALSE)</f>
        <v xml:space="preserve">AFTER HOURS - SINGLE PHASE  </v>
      </c>
      <c r="F188" s="269" t="str">
        <f>VLOOKUP($A188,'ERG Service assumptions'!$B:$AR,'ERG Service assumptions'!H$3,FALSE)</f>
        <v>Urban/Short Rural</v>
      </c>
      <c r="G188" s="168">
        <f>VLOOKUP(A188,'ERG Service assumptions'!$B$6:$AY$315,'ERG Service assumptions'!$AY$3,FALSE)</f>
        <v>1033.0373591344469</v>
      </c>
      <c r="H188" s="120">
        <f>G188*(1+'Escalators &amp; overheads'!F$5)*(1-'Escalators &amp; overheads'!F$9)</f>
        <v>1066.6600288402956</v>
      </c>
      <c r="I188" s="120">
        <f>H188*(1+'Escalators &amp; overheads'!G$5)*(1-'Escalators &amp; overheads'!G$9)</f>
        <v>1101.9004513784619</v>
      </c>
      <c r="J188" s="120">
        <f>I188*(1+'Escalators &amp; overheads'!H$5)*(1-'Escalators &amp; overheads'!H$9)</f>
        <v>1138.6020849781758</v>
      </c>
      <c r="K188" s="120">
        <f>J188*(1+'Escalators &amp; overheads'!I$5)*(1-'Escalators &amp; overheads'!I$9)</f>
        <v>1173.7367719966667</v>
      </c>
    </row>
    <row r="189" spans="1:11" ht="75">
      <c r="A189" s="269" t="str">
        <f>'ERG Service assumptions'!B191</f>
        <v>EE_201</v>
      </c>
      <c r="B189" s="270" t="str">
        <f>VLOOKUP($A189,'ERG Service assumptions'!$B:$AR,'ERG Service assumptions'!D$3,FALSE)</f>
        <v>Network Ancillary services</v>
      </c>
      <c r="C189" s="270" t="str">
        <f>VLOOKUP($A189,'ERG Service assumptions'!$B:$AR,'ERG Service assumptions'!E$3,FALSE)</f>
        <v>Re-arrange connection assets at customer's request</v>
      </c>
      <c r="D189" s="270" t="str">
        <f>VLOOKUP($A189,'ERG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9" s="129" t="str">
        <f>VLOOKUP($A189,'ERG Service assumptions'!$B:$AR,'ERG Service assumptions'!G$3,FALSE)</f>
        <v xml:space="preserve">AFTER HOURS - SINGLE PHASE  </v>
      </c>
      <c r="F189" s="269" t="str">
        <f>VLOOKUP($A189,'ERG Service assumptions'!$B:$AR,'ERG Service assumptions'!H$3,FALSE)</f>
        <v>Long rural/Isolated</v>
      </c>
      <c r="G189" s="168">
        <f>VLOOKUP(A189,'ERG Service assumptions'!$B$6:$AY$315,'ERG Service assumptions'!$AY$3,FALSE)</f>
        <v>2185.7137888145307</v>
      </c>
      <c r="H189" s="120">
        <f>G189*(1+'Escalators &amp; overheads'!F$5)*(1-'Escalators &amp; overheads'!F$9)</f>
        <v>2256.853067702184</v>
      </c>
      <c r="I189" s="120">
        <f>H189*(1+'Escalators &amp; overheads'!G$5)*(1-'Escalators &amp; overheads'!G$9)</f>
        <v>2331.41520892993</v>
      </c>
      <c r="J189" s="120">
        <f>I189*(1+'Escalators &amp; overheads'!H$5)*(1-'Escalators &amp; overheads'!H$9)</f>
        <v>2409.0689993970309</v>
      </c>
      <c r="K189" s="120">
        <f>J189*(1+'Escalators &amp; overheads'!I$5)*(1-'Escalators &amp; overheads'!I$9)</f>
        <v>2483.4074240463992</v>
      </c>
    </row>
    <row r="190" spans="1:11" ht="75">
      <c r="A190" s="269" t="str">
        <f>'ERG Service assumptions'!B192</f>
        <v>EE_202</v>
      </c>
      <c r="B190" s="270" t="str">
        <f>VLOOKUP($A190,'ERG Service assumptions'!$B:$AR,'ERG Service assumptions'!D$3,FALSE)</f>
        <v>Network Ancillary services</v>
      </c>
      <c r="C190" s="270" t="str">
        <f>VLOOKUP($A190,'ERG Service assumptions'!$B:$AR,'ERG Service assumptions'!E$3,FALSE)</f>
        <v>Re-arrange connection assets at customer's request</v>
      </c>
      <c r="D190" s="270" t="str">
        <f>VLOOKUP($A190,'ERG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0" s="129" t="str">
        <f>VLOOKUP($A190,'ERG Service assumptions'!$B:$AR,'ERG Service assumptions'!G$3,FALSE)</f>
        <v>AFTER HOURS - SINGLE PHASE  - Traffic Control</v>
      </c>
      <c r="F190" s="269" t="str">
        <f>VLOOKUP($A190,'ERG Service assumptions'!$B:$AR,'ERG Service assumptions'!H$3,FALSE)</f>
        <v>Urban/Short Rural</v>
      </c>
      <c r="G190" s="168">
        <f>VLOOKUP(A190,'ERG Service assumptions'!$B$6:$AY$315,'ERG Service assumptions'!$AY$3,FALSE)</f>
        <v>1834.2281846973206</v>
      </c>
      <c r="H190" s="120">
        <f>G190*(1+'Escalators &amp; overheads'!F$5)*(1-'Escalators &amp; overheads'!F$9)</f>
        <v>1893.9275245846113</v>
      </c>
      <c r="I190" s="120">
        <f>H190*(1+'Escalators &amp; overheads'!G$5)*(1-'Escalators &amp; overheads'!G$9)</f>
        <v>1956.4992948004597</v>
      </c>
      <c r="J190" s="120">
        <f>I190*(1+'Escalators &amp; overheads'!H$5)*(1-'Escalators &amp; overheads'!H$9)</f>
        <v>2021.6655447698065</v>
      </c>
      <c r="K190" s="120">
        <f>J190*(1+'Escalators &amp; overheads'!I$5)*(1-'Escalators &amp; overheads'!I$9)</f>
        <v>2084.0495743695024</v>
      </c>
    </row>
    <row r="191" spans="1:11" ht="75">
      <c r="A191" s="269" t="str">
        <f>'ERG Service assumptions'!B193</f>
        <v>EE_203</v>
      </c>
      <c r="B191" s="270" t="str">
        <f>VLOOKUP($A191,'ERG Service assumptions'!$B:$AR,'ERG Service assumptions'!D$3,FALSE)</f>
        <v>Network Ancillary services</v>
      </c>
      <c r="C191" s="270" t="str">
        <f>VLOOKUP($A191,'ERG Service assumptions'!$B:$AR,'ERG Service assumptions'!E$3,FALSE)</f>
        <v>Re-arrange connection assets at customer's request</v>
      </c>
      <c r="D191" s="270" t="str">
        <f>VLOOKUP($A191,'ERG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1" s="129" t="str">
        <f>VLOOKUP($A191,'ERG Service assumptions'!$B:$AR,'ERG Service assumptions'!G$3,FALSE)</f>
        <v>AFTER HOURS - SINGLE PHASE  - Traffic Control</v>
      </c>
      <c r="F191" s="269" t="str">
        <f>VLOOKUP($A191,'ERG Service assumptions'!$B:$AR,'ERG Service assumptions'!H$3,FALSE)</f>
        <v>Long rural/Isolated</v>
      </c>
      <c r="G191" s="168">
        <f>VLOOKUP(A191,'ERG Service assumptions'!$B$6:$AY$315,'ERG Service assumptions'!$AY$3,FALSE)</f>
        <v>2986.9046143774044</v>
      </c>
      <c r="H191" s="120">
        <f>G191*(1+'Escalators &amp; overheads'!F$5)*(1-'Escalators &amp; overheads'!F$9)</f>
        <v>3084.1205634464995</v>
      </c>
      <c r="I191" s="120">
        <f>H191*(1+'Escalators &amp; overheads'!G$5)*(1-'Escalators &amp; overheads'!G$9)</f>
        <v>3186.0140523519276</v>
      </c>
      <c r="J191" s="120">
        <f>I191*(1+'Escalators &amp; overheads'!H$5)*(1-'Escalators &amp; overheads'!H$9)</f>
        <v>3292.1324591886614</v>
      </c>
      <c r="K191" s="120">
        <f>J191*(1+'Escalators &amp; overheads'!I$5)*(1-'Escalators &amp; overheads'!I$9)</f>
        <v>3393.7202264192347</v>
      </c>
    </row>
    <row r="192" spans="1:11" ht="75">
      <c r="A192" s="269" t="str">
        <f>'ERG Service assumptions'!B194</f>
        <v>EE_204</v>
      </c>
      <c r="B192" s="270" t="str">
        <f>VLOOKUP($A192,'ERG Service assumptions'!$B:$AR,'ERG Service assumptions'!D$3,FALSE)</f>
        <v>Network Ancillary services</v>
      </c>
      <c r="C192" s="270" t="str">
        <f>VLOOKUP($A192,'ERG Service assumptions'!$B:$AR,'ERG Service assumptions'!E$3,FALSE)</f>
        <v>Re-arrange connection assets at customer's request</v>
      </c>
      <c r="D192" s="270" t="str">
        <f>VLOOKUP($A192,'ERG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2" s="129" t="str">
        <f>VLOOKUP($A192,'ERG Service assumptions'!$B:$AR,'ERG Service assumptions'!G$3,FALSE)</f>
        <v>BUSINESS HOURS - MULTI PHASE</v>
      </c>
      <c r="F192" s="269" t="str">
        <f>VLOOKUP($A192,'ERG Service assumptions'!$B:$AR,'ERG Service assumptions'!H$3,FALSE)</f>
        <v>Urban/Short Rural</v>
      </c>
      <c r="G192" s="168">
        <f>VLOOKUP(A192,'ERG Service assumptions'!$B$6:$AY$315,'ERG Service assumptions'!$AY$3,FALSE)</f>
        <v>873.35394267304196</v>
      </c>
      <c r="H192" s="120">
        <f>G192*(1+'Escalators &amp; overheads'!F$5)*(1-'Escalators &amp; overheads'!F$9)</f>
        <v>901.7793339632467</v>
      </c>
      <c r="I192" s="120">
        <f>H192*(1+'Escalators &amp; overheads'!G$5)*(1-'Escalators &amp; overheads'!G$9)</f>
        <v>931.57241133167702</v>
      </c>
      <c r="J192" s="120">
        <f>I192*(1+'Escalators &amp; overheads'!H$5)*(1-'Escalators &amp; overheads'!H$9)</f>
        <v>962.60083070433961</v>
      </c>
      <c r="K192" s="120">
        <f>J192*(1+'Escalators &amp; overheads'!I$5)*(1-'Escalators &amp; overheads'!I$9)</f>
        <v>992.304516791639</v>
      </c>
    </row>
    <row r="193" spans="1:11" ht="75">
      <c r="A193" s="269" t="str">
        <f>'ERG Service assumptions'!B195</f>
        <v>EE_205</v>
      </c>
      <c r="B193" s="270" t="str">
        <f>VLOOKUP($A193,'ERG Service assumptions'!$B:$AR,'ERG Service assumptions'!D$3,FALSE)</f>
        <v>Network Ancillary services</v>
      </c>
      <c r="C193" s="270" t="str">
        <f>VLOOKUP($A193,'ERG Service assumptions'!$B:$AR,'ERG Service assumptions'!E$3,FALSE)</f>
        <v>Re-arrange connection assets at customer's request</v>
      </c>
      <c r="D193" s="270" t="str">
        <f>VLOOKUP($A193,'ERG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3" s="129" t="str">
        <f>VLOOKUP($A193,'ERG Service assumptions'!$B:$AR,'ERG Service assumptions'!G$3,FALSE)</f>
        <v>BUSINESS HOURS - MULTI PHASE</v>
      </c>
      <c r="F193" s="269" t="str">
        <f>VLOOKUP($A193,'ERG Service assumptions'!$B:$AR,'ERG Service assumptions'!H$3,FALSE)</f>
        <v>Long rural/Isolated</v>
      </c>
      <c r="G193" s="168">
        <f>VLOOKUP(A193,'ERG Service assumptions'!$B$6:$AY$315,'ERG Service assumptions'!$AY$3,FALSE)</f>
        <v>1750.2083019499837</v>
      </c>
      <c r="H193" s="120">
        <f>G193*(1+'Escalators &amp; overheads'!F$5)*(1-'Escalators &amp; overheads'!F$9)</f>
        <v>1807.1730139544022</v>
      </c>
      <c r="I193" s="120">
        <f>H193*(1+'Escalators &amp; overheads'!G$5)*(1-'Escalators &amp; overheads'!G$9)</f>
        <v>1866.8785798229999</v>
      </c>
      <c r="J193" s="120">
        <f>I193*(1+'Escalators &amp; overheads'!H$5)*(1-'Escalators &amp; overheads'!H$9)</f>
        <v>1929.0597809706203</v>
      </c>
      <c r="K193" s="120">
        <f>J193*(1+'Escalators &amp; overheads'!I$5)*(1-'Escalators &amp; overheads'!I$9)</f>
        <v>1988.5862059952683</v>
      </c>
    </row>
    <row r="194" spans="1:11" ht="75">
      <c r="A194" s="269" t="str">
        <f>'ERG Service assumptions'!B196</f>
        <v>EE_206</v>
      </c>
      <c r="B194" s="270" t="str">
        <f>VLOOKUP($A194,'ERG Service assumptions'!$B:$AR,'ERG Service assumptions'!D$3,FALSE)</f>
        <v>Network Ancillary services</v>
      </c>
      <c r="C194" s="270" t="str">
        <f>VLOOKUP($A194,'ERG Service assumptions'!$B:$AR,'ERG Service assumptions'!E$3,FALSE)</f>
        <v>Re-arrange connection assets at customer's request</v>
      </c>
      <c r="D194" s="270" t="str">
        <f>VLOOKUP($A194,'ERG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4" s="129" t="str">
        <f>VLOOKUP($A194,'ERG Service assumptions'!$B:$AR,'ERG Service assumptions'!G$3,FALSE)</f>
        <v>BUSINESS HOURS - MULTI PHASE - Traffic Control</v>
      </c>
      <c r="F194" s="269" t="str">
        <f>VLOOKUP($A194,'ERG Service assumptions'!$B:$AR,'ERG Service assumptions'!H$3,FALSE)</f>
        <v>Urban/Short Rural</v>
      </c>
      <c r="G194" s="168">
        <f>VLOOKUP(A194,'ERG Service assumptions'!$B$6:$AY$315,'ERG Service assumptions'!$AY$3,FALSE)</f>
        <v>1674.5447682359159</v>
      </c>
      <c r="H194" s="120">
        <f>G194*(1+'Escalators &amp; overheads'!F$5)*(1-'Escalators &amp; overheads'!F$9)</f>
        <v>1729.0468297075624</v>
      </c>
      <c r="I194" s="120">
        <f>H194*(1+'Escalators &amp; overheads'!G$5)*(1-'Escalators &amp; overheads'!G$9)</f>
        <v>1786.1712547536747</v>
      </c>
      <c r="J194" s="120">
        <f>I194*(1+'Escalators &amp; overheads'!H$5)*(1-'Escalators &amp; overheads'!H$9)</f>
        <v>1845.6642904959704</v>
      </c>
      <c r="K194" s="120">
        <f>J194*(1+'Escalators &amp; overheads'!I$5)*(1-'Escalators &amp; overheads'!I$9)</f>
        <v>1902.6173191644748</v>
      </c>
    </row>
    <row r="195" spans="1:11" ht="75">
      <c r="A195" s="269" t="str">
        <f>'ERG Service assumptions'!B197</f>
        <v>EE_207</v>
      </c>
      <c r="B195" s="270" t="str">
        <f>VLOOKUP($A195,'ERG Service assumptions'!$B:$AR,'ERG Service assumptions'!D$3,FALSE)</f>
        <v>Network Ancillary services</v>
      </c>
      <c r="C195" s="270" t="str">
        <f>VLOOKUP($A195,'ERG Service assumptions'!$B:$AR,'ERG Service assumptions'!E$3,FALSE)</f>
        <v>Re-arrange connection assets at customer's request</v>
      </c>
      <c r="D195" s="270" t="str">
        <f>VLOOKUP($A195,'ERG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5" s="129" t="str">
        <f>VLOOKUP($A195,'ERG Service assumptions'!$B:$AR,'ERG Service assumptions'!G$3,FALSE)</f>
        <v>BUSINESS HOURS - MULTI PHASE - Traffic Control</v>
      </c>
      <c r="F195" s="269" t="str">
        <f>VLOOKUP($A195,'ERG Service assumptions'!$B:$AR,'ERG Service assumptions'!H$3,FALSE)</f>
        <v>Long rural/Isolated</v>
      </c>
      <c r="G195" s="168">
        <f>VLOOKUP(A195,'ERG Service assumptions'!$B$6:$AY$315,'ERG Service assumptions'!$AY$3,FALSE)</f>
        <v>2551.3991275128574</v>
      </c>
      <c r="H195" s="120">
        <f>G195*(1+'Escalators &amp; overheads'!F$5)*(1-'Escalators &amp; overheads'!F$9)</f>
        <v>2634.4405096987175</v>
      </c>
      <c r="I195" s="120">
        <f>H195*(1+'Escalators &amp; overheads'!G$5)*(1-'Escalators &amp; overheads'!G$9)</f>
        <v>2721.4774232449968</v>
      </c>
      <c r="J195" s="120">
        <f>I195*(1+'Escalators &amp; overheads'!H$5)*(1-'Escalators &amp; overheads'!H$9)</f>
        <v>2812.1232407622501</v>
      </c>
      <c r="K195" s="120">
        <f>J195*(1+'Escalators &amp; overheads'!I$5)*(1-'Escalators &amp; overheads'!I$9)</f>
        <v>2898.8990083681033</v>
      </c>
    </row>
    <row r="196" spans="1:11" ht="75">
      <c r="A196" s="269" t="str">
        <f>'ERG Service assumptions'!B198</f>
        <v>EE_208</v>
      </c>
      <c r="B196" s="270" t="str">
        <f>VLOOKUP($A196,'ERG Service assumptions'!$B:$AR,'ERG Service assumptions'!D$3,FALSE)</f>
        <v>Network Ancillary services</v>
      </c>
      <c r="C196" s="270" t="str">
        <f>VLOOKUP($A196,'ERG Service assumptions'!$B:$AR,'ERG Service assumptions'!E$3,FALSE)</f>
        <v>Re-arrange connection assets at customer's request</v>
      </c>
      <c r="D196" s="270" t="str">
        <f>VLOOKUP($A196,'ERG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6" s="129" t="str">
        <f>VLOOKUP($A196,'ERG Service assumptions'!$B:$AR,'ERG Service assumptions'!G$3,FALSE)</f>
        <v xml:space="preserve">AFTER HOURS - MULTIPHASE  </v>
      </c>
      <c r="F196" s="269" t="str">
        <f>VLOOKUP($A196,'ERG Service assumptions'!$B:$AR,'ERG Service assumptions'!H$3,FALSE)</f>
        <v>Urban/Short Rural</v>
      </c>
      <c r="G196" s="168">
        <f>VLOOKUP(A196,'ERG Service assumptions'!$B$6:$AY$315,'ERG Service assumptions'!$AY$3,FALSE)</f>
        <v>1148.0749269667904</v>
      </c>
      <c r="H196" s="120">
        <f>G196*(1+'Escalators &amp; overheads'!F$5)*(1-'Escalators &amp; overheads'!F$9)</f>
        <v>1185.4417692456734</v>
      </c>
      <c r="I196" s="120">
        <f>H196*(1+'Escalators &amp; overheads'!G$5)*(1-'Escalators &amp; overheads'!G$9)</f>
        <v>1224.6065150063525</v>
      </c>
      <c r="J196" s="120">
        <f>I196*(1+'Escalators &amp; overheads'!H$5)*(1-'Escalators &amp; overheads'!H$9)</f>
        <v>1265.395190209598</v>
      </c>
      <c r="K196" s="120">
        <f>J196*(1+'Escalators &amp; overheads'!I$5)*(1-'Escalators &amp; overheads'!I$9)</f>
        <v>1304.4424258938452</v>
      </c>
    </row>
    <row r="197" spans="1:11" ht="75">
      <c r="A197" s="269" t="str">
        <f>'ERG Service assumptions'!B199</f>
        <v>EE_209</v>
      </c>
      <c r="B197" s="270" t="str">
        <f>VLOOKUP($A197,'ERG Service assumptions'!$B:$AR,'ERG Service assumptions'!D$3,FALSE)</f>
        <v>Network Ancillary services</v>
      </c>
      <c r="C197" s="270" t="str">
        <f>VLOOKUP($A197,'ERG Service assumptions'!$B:$AR,'ERG Service assumptions'!E$3,FALSE)</f>
        <v>Re-arrange connection assets at customer's request</v>
      </c>
      <c r="D197" s="270" t="str">
        <f>VLOOKUP($A197,'ERG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7" s="129" t="str">
        <f>VLOOKUP($A197,'ERG Service assumptions'!$B:$AR,'ERG Service assumptions'!G$3,FALSE)</f>
        <v xml:space="preserve">AFTER HOURS - MULTIPHASE  </v>
      </c>
      <c r="F197" s="269" t="str">
        <f>VLOOKUP($A197,'ERG Service assumptions'!$B:$AR,'ERG Service assumptions'!H$3,FALSE)</f>
        <v>Long rural/Isolated</v>
      </c>
      <c r="G197" s="168">
        <f>VLOOKUP(A197,'ERG Service assumptions'!$B$6:$AY$315,'ERG Service assumptions'!$AY$3,FALSE)</f>
        <v>2300.7513566468747</v>
      </c>
      <c r="H197" s="120">
        <f>G197*(1+'Escalators &amp; overheads'!F$5)*(1-'Escalators &amp; overheads'!F$9)</f>
        <v>2375.6348081075621</v>
      </c>
      <c r="I197" s="120">
        <f>H197*(1+'Escalators &amp; overheads'!G$5)*(1-'Escalators &amp; overheads'!G$9)</f>
        <v>2454.1212725578207</v>
      </c>
      <c r="J197" s="120">
        <f>I197*(1+'Escalators &amp; overheads'!H$5)*(1-'Escalators &amp; overheads'!H$9)</f>
        <v>2535.8621046284529</v>
      </c>
      <c r="K197" s="120">
        <f>J197*(1+'Escalators &amp; overheads'!I$5)*(1-'Escalators &amp; overheads'!I$9)</f>
        <v>2614.1130779435775</v>
      </c>
    </row>
    <row r="198" spans="1:11" ht="75">
      <c r="A198" s="269" t="str">
        <f>'ERG Service assumptions'!B200</f>
        <v>EE_210</v>
      </c>
      <c r="B198" s="270" t="str">
        <f>VLOOKUP($A198,'ERG Service assumptions'!$B:$AR,'ERG Service assumptions'!D$3,FALSE)</f>
        <v>Network Ancillary services</v>
      </c>
      <c r="C198" s="270" t="str">
        <f>VLOOKUP($A198,'ERG Service assumptions'!$B:$AR,'ERG Service assumptions'!E$3,FALSE)</f>
        <v>Re-arrange connection assets at customer's request</v>
      </c>
      <c r="D198" s="270" t="str">
        <f>VLOOKUP($A198,'ERG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8" s="129" t="str">
        <f>VLOOKUP($A198,'ERG Service assumptions'!$B:$AR,'ERG Service assumptions'!G$3,FALSE)</f>
        <v>AFTER HOURS - MULTIPHASE - Traffic Control</v>
      </c>
      <c r="F198" s="269" t="str">
        <f>VLOOKUP($A198,'ERG Service assumptions'!$B:$AR,'ERG Service assumptions'!H$3,FALSE)</f>
        <v>Urban/Short Rural</v>
      </c>
      <c r="G198" s="168">
        <f>VLOOKUP(A198,'ERG Service assumptions'!$B$6:$AY$315,'ERG Service assumptions'!$AY$3,FALSE)</f>
        <v>1949.265752529664</v>
      </c>
      <c r="H198" s="120">
        <f>G198*(1+'Escalators &amp; overheads'!F$5)*(1-'Escalators &amp; overheads'!F$9)</f>
        <v>2012.7092649899892</v>
      </c>
      <c r="I198" s="120">
        <f>H198*(1+'Escalators &amp; overheads'!G$5)*(1-'Escalators &amp; overheads'!G$9)</f>
        <v>2079.2053584283503</v>
      </c>
      <c r="J198" s="120">
        <f>I198*(1+'Escalators &amp; overheads'!H$5)*(1-'Escalators &amp; overheads'!H$9)</f>
        <v>2148.4586500012288</v>
      </c>
      <c r="K198" s="120">
        <f>J198*(1+'Escalators &amp; overheads'!I$5)*(1-'Escalators &amp; overheads'!I$9)</f>
        <v>2214.7552282666807</v>
      </c>
    </row>
    <row r="199" spans="1:11" ht="75">
      <c r="A199" s="269" t="str">
        <f>'ERG Service assumptions'!B201</f>
        <v>EE_211</v>
      </c>
      <c r="B199" s="270" t="str">
        <f>VLOOKUP($A199,'ERG Service assumptions'!$B:$AR,'ERG Service assumptions'!D$3,FALSE)</f>
        <v>Network Ancillary services</v>
      </c>
      <c r="C199" s="270" t="str">
        <f>VLOOKUP($A199,'ERG Service assumptions'!$B:$AR,'ERG Service assumptions'!E$3,FALSE)</f>
        <v>Re-arrange connection assets at customer's request</v>
      </c>
      <c r="D199" s="270" t="str">
        <f>VLOOKUP($A199,'ERG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9" s="129" t="str">
        <f>VLOOKUP($A199,'ERG Service assumptions'!$B:$AR,'ERG Service assumptions'!G$3,FALSE)</f>
        <v>AFTER HOURS - MULTIPHASE - Traffic Control</v>
      </c>
      <c r="F199" s="269" t="str">
        <f>VLOOKUP($A199,'ERG Service assumptions'!$B:$AR,'ERG Service assumptions'!H$3,FALSE)</f>
        <v>Long rural/Isolated</v>
      </c>
      <c r="G199" s="168">
        <f>VLOOKUP(A199,'ERG Service assumptions'!$B$6:$AY$315,'ERG Service assumptions'!$AY$3,FALSE)</f>
        <v>3101.9421822097484</v>
      </c>
      <c r="H199" s="120">
        <f>G199*(1+'Escalators &amp; overheads'!F$5)*(1-'Escalators &amp; overheads'!F$9)</f>
        <v>3202.9023038518776</v>
      </c>
      <c r="I199" s="120">
        <f>H199*(1+'Escalators &amp; overheads'!G$5)*(1-'Escalators &amp; overheads'!G$9)</f>
        <v>3308.7201159798187</v>
      </c>
      <c r="J199" s="120">
        <f>I199*(1+'Escalators &amp; overheads'!H$5)*(1-'Escalators &amp; overheads'!H$9)</f>
        <v>3418.9255644200844</v>
      </c>
      <c r="K199" s="120">
        <f>J199*(1+'Escalators &amp; overheads'!I$5)*(1-'Escalators &amp; overheads'!I$9)</f>
        <v>3524.4258803164139</v>
      </c>
    </row>
    <row r="200" spans="1:11" ht="60">
      <c r="A200" s="269" t="str">
        <f>'ERG Service assumptions'!B202</f>
        <v>EE_212</v>
      </c>
      <c r="B200" s="270" t="str">
        <f>VLOOKUP($A200,'ERG Service assumptions'!$B:$AR,'ERG Service assumptions'!D$3,FALSE)</f>
        <v>Connection application and management services</v>
      </c>
      <c r="C200" s="270" t="str">
        <f>VLOOKUP($A200,'ERG Service assumptions'!$B:$AR,'ERG Service assumptions'!E$3,FALSE)</f>
        <v>Request for Temporary Connection for short term supply</v>
      </c>
      <c r="D200" s="270" t="str">
        <f>VLOOKUP($A200,'ERG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0" s="129" t="str">
        <f>VLOOKUP($A200,'ERG Service assumptions'!$B:$AR,'ERG Service assumptions'!G$3,FALSE)</f>
        <v>BUSINESS HOURS - SINGLE PHASE</v>
      </c>
      <c r="F200" s="269" t="str">
        <f>VLOOKUP($A200,'ERG Service assumptions'!$B:$AR,'ERG Service assumptions'!H$3,FALSE)</f>
        <v>Urban/Short Rural</v>
      </c>
      <c r="G200" s="168">
        <f>VLOOKUP(A200,'ERG Service assumptions'!$B$6:$AY$315,'ERG Service assumptions'!$AY$3,FALSE)</f>
        <v>815.5970687086924</v>
      </c>
      <c r="H200" s="120">
        <f>G200*(1+'Escalators &amp; overheads'!F$5)*(1-'Escalators &amp; overheads'!F$9)</f>
        <v>842.14262450275135</v>
      </c>
      <c r="I200" s="120">
        <f>H200*(1+'Escalators &amp; overheads'!G$5)*(1-'Escalators &amp; overheads'!G$9)</f>
        <v>869.96541819751792</v>
      </c>
      <c r="J200" s="120">
        <f>I200*(1+'Escalators &amp; overheads'!H$5)*(1-'Escalators &amp; overheads'!H$9)</f>
        <v>898.94185793230906</v>
      </c>
      <c r="K200" s="120">
        <f>J200*(1+'Escalators &amp; overheads'!I$5)*(1-'Escalators &amp; overheads'!I$9)</f>
        <v>926.68117199379515</v>
      </c>
    </row>
    <row r="201" spans="1:11" ht="60">
      <c r="A201" s="269" t="str">
        <f>'ERG Service assumptions'!B203</f>
        <v>EE_213</v>
      </c>
      <c r="B201" s="270" t="str">
        <f>VLOOKUP($A201,'ERG Service assumptions'!$B:$AR,'ERG Service assumptions'!D$3,FALSE)</f>
        <v>Connection application and management services</v>
      </c>
      <c r="C201" s="270" t="str">
        <f>VLOOKUP($A201,'ERG Service assumptions'!$B:$AR,'ERG Service assumptions'!E$3,FALSE)</f>
        <v>Request for Temporary Connection for short term supply</v>
      </c>
      <c r="D201" s="270" t="str">
        <f>VLOOKUP($A201,'ERG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1" s="129" t="str">
        <f>VLOOKUP($A201,'ERG Service assumptions'!$B:$AR,'ERG Service assumptions'!G$3,FALSE)</f>
        <v>BUSINESS HOURS - SINGLE PHASE</v>
      </c>
      <c r="F201" s="269" t="str">
        <f>VLOOKUP($A201,'ERG Service assumptions'!$B:$AR,'ERG Service assumptions'!H$3,FALSE)</f>
        <v>Long rural/Isolated</v>
      </c>
      <c r="G201" s="168">
        <f>VLOOKUP(A201,'ERG Service assumptions'!$B$6:$AY$315,'ERG Service assumptions'!$AY$3,FALSE)</f>
        <v>1400.1666415599871</v>
      </c>
      <c r="H201" s="120">
        <f>G201*(1+'Escalators &amp; overheads'!F$5)*(1-'Escalators &amp; overheads'!F$9)</f>
        <v>1445.7384111635217</v>
      </c>
      <c r="I201" s="120">
        <f>H201*(1+'Escalators &amp; overheads'!G$5)*(1-'Escalators &amp; overheads'!G$9)</f>
        <v>1493.5028638583999</v>
      </c>
      <c r="J201" s="120">
        <f>I201*(1+'Escalators &amp; overheads'!H$5)*(1-'Escalators &amp; overheads'!H$9)</f>
        <v>1543.2478247764964</v>
      </c>
      <c r="K201" s="120">
        <f>J201*(1+'Escalators &amp; overheads'!I$5)*(1-'Escalators &amp; overheads'!I$9)</f>
        <v>1590.8689647962149</v>
      </c>
    </row>
    <row r="202" spans="1:11" ht="60">
      <c r="A202" s="269" t="str">
        <f>'ERG Service assumptions'!B204</f>
        <v>EE_214</v>
      </c>
      <c r="B202" s="270" t="str">
        <f>VLOOKUP($A202,'ERG Service assumptions'!$B:$AR,'ERG Service assumptions'!D$3,FALSE)</f>
        <v>Connection application and management services</v>
      </c>
      <c r="C202" s="270" t="str">
        <f>VLOOKUP($A202,'ERG Service assumptions'!$B:$AR,'ERG Service assumptions'!E$3,FALSE)</f>
        <v>Request for Temporary Connection for short term supply</v>
      </c>
      <c r="D202" s="270" t="str">
        <f>VLOOKUP($A202,'ERG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2" s="129" t="str">
        <f>VLOOKUP($A202,'ERG Service assumptions'!$B:$AR,'ERG Service assumptions'!G$3,FALSE)</f>
        <v>BUSINESS HOURS - SINGLE PHASE - Traffic Control</v>
      </c>
      <c r="F202" s="269" t="str">
        <f>VLOOKUP($A202,'ERG Service assumptions'!$B:$AR,'ERG Service assumptions'!H$3,FALSE)</f>
        <v>Urban/Short Rural</v>
      </c>
      <c r="G202" s="168">
        <f>VLOOKUP(A202,'ERG Service assumptions'!$B$6:$AY$315,'ERG Service assumptions'!$AY$3,FALSE)</f>
        <v>1616.7878942715661</v>
      </c>
      <c r="H202" s="120">
        <f>G202*(1+'Escalators &amp; overheads'!F$5)*(1-'Escalators &amp; overheads'!F$9)</f>
        <v>1669.410120247067</v>
      </c>
      <c r="I202" s="120">
        <f>H202*(1+'Escalators &amp; overheads'!G$5)*(1-'Escalators &amp; overheads'!G$9)</f>
        <v>1724.5642616195155</v>
      </c>
      <c r="J202" s="120">
        <f>I202*(1+'Escalators &amp; overheads'!H$5)*(1-'Escalators &amp; overheads'!H$9)</f>
        <v>1782.0053177239397</v>
      </c>
      <c r="K202" s="120">
        <f>J202*(1+'Escalators &amp; overheads'!I$5)*(1-'Escalators &amp; overheads'!I$9)</f>
        <v>1836.9939743666307</v>
      </c>
    </row>
    <row r="203" spans="1:11" ht="60">
      <c r="A203" s="269" t="str">
        <f>'ERG Service assumptions'!B205</f>
        <v>EE_215</v>
      </c>
      <c r="B203" s="270" t="str">
        <f>VLOOKUP($A203,'ERG Service assumptions'!$B:$AR,'ERG Service assumptions'!D$3,FALSE)</f>
        <v>Connection application and management services</v>
      </c>
      <c r="C203" s="270" t="str">
        <f>VLOOKUP($A203,'ERG Service assumptions'!$B:$AR,'ERG Service assumptions'!E$3,FALSE)</f>
        <v>Request for Temporary Connection for short term supply</v>
      </c>
      <c r="D203" s="270" t="str">
        <f>VLOOKUP($A203,'ERG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3" s="129" t="str">
        <f>VLOOKUP($A203,'ERG Service assumptions'!$B:$AR,'ERG Service assumptions'!G$3,FALSE)</f>
        <v>BUSINESS HOURS - SINGLE PHASE - Traffic Control</v>
      </c>
      <c r="F203" s="269" t="str">
        <f>VLOOKUP($A203,'ERG Service assumptions'!$B:$AR,'ERG Service assumptions'!H$3,FALSE)</f>
        <v>Long rural/Isolated</v>
      </c>
      <c r="G203" s="168">
        <f>VLOOKUP(A203,'ERG Service assumptions'!$B$6:$AY$315,'ERG Service assumptions'!$AY$3,FALSE)</f>
        <v>2201.3574671228607</v>
      </c>
      <c r="H203" s="120">
        <f>G203*(1+'Escalators &amp; overheads'!F$5)*(1-'Escalators &amp; overheads'!F$9)</f>
        <v>2273.0059069078375</v>
      </c>
      <c r="I203" s="120">
        <f>H203*(1+'Escalators &amp; overheads'!G$5)*(1-'Escalators &amp; overheads'!G$9)</f>
        <v>2348.1017072803979</v>
      </c>
      <c r="J203" s="120">
        <f>I203*(1+'Escalators &amp; overheads'!H$5)*(1-'Escalators &amp; overheads'!H$9)</f>
        <v>2426.3112845681276</v>
      </c>
      <c r="K203" s="120">
        <f>J203*(1+'Escalators &amp; overheads'!I$5)*(1-'Escalators &amp; overheads'!I$9)</f>
        <v>2501.1817671690515</v>
      </c>
    </row>
    <row r="204" spans="1:11" ht="60">
      <c r="A204" s="269" t="str">
        <f>'ERG Service assumptions'!B206</f>
        <v>EE_216</v>
      </c>
      <c r="B204" s="270" t="str">
        <f>VLOOKUP($A204,'ERG Service assumptions'!$B:$AR,'ERG Service assumptions'!D$3,FALSE)</f>
        <v>Connection application and management services</v>
      </c>
      <c r="C204" s="270" t="str">
        <f>VLOOKUP($A204,'ERG Service assumptions'!$B:$AR,'ERG Service assumptions'!E$3,FALSE)</f>
        <v>Request for Temporary Connection for short term supply</v>
      </c>
      <c r="D204" s="270" t="str">
        <f>VLOOKUP($A204,'ERG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4" s="129" t="str">
        <f>VLOOKUP($A204,'ERG Service assumptions'!$B:$AR,'ERG Service assumptions'!G$3,FALSE)</f>
        <v>BUSINESS HOURS - MULTI PHASE</v>
      </c>
      <c r="F204" s="269" t="str">
        <f>VLOOKUP($A204,'ERG Service assumptions'!$B:$AR,'ERG Service assumptions'!H$3,FALSE)</f>
        <v>Urban/Short Rural</v>
      </c>
      <c r="G204" s="168">
        <f>VLOOKUP(A204,'ERG Service assumptions'!$B$6:$AY$315,'ERG Service assumptions'!$AY$3,FALSE)</f>
        <v>1165.6387290986891</v>
      </c>
      <c r="H204" s="120">
        <f>G204*(1+'Escalators &amp; overheads'!F$5)*(1-'Escalators &amp; overheads'!F$9)</f>
        <v>1203.5772272936317</v>
      </c>
      <c r="I204" s="120">
        <f>H204*(1+'Escalators &amp; overheads'!G$5)*(1-'Escalators &amp; overheads'!G$9)</f>
        <v>1243.3411341621179</v>
      </c>
      <c r="J204" s="120">
        <f>I204*(1+'Escalators &amp; overheads'!H$5)*(1-'Escalators &amp; overheads'!H$9)</f>
        <v>1284.7538141264331</v>
      </c>
      <c r="K204" s="120">
        <f>J204*(1+'Escalators &amp; overheads'!I$5)*(1-'Escalators &amp; overheads'!I$9)</f>
        <v>1324.3984131928487</v>
      </c>
    </row>
    <row r="205" spans="1:11" ht="60">
      <c r="A205" s="269" t="str">
        <f>'ERG Service assumptions'!B207</f>
        <v>EE_217</v>
      </c>
      <c r="B205" s="270" t="str">
        <f>VLOOKUP($A205,'ERG Service assumptions'!$B:$AR,'ERG Service assumptions'!D$3,FALSE)</f>
        <v>Connection application and management services</v>
      </c>
      <c r="C205" s="270" t="str">
        <f>VLOOKUP($A205,'ERG Service assumptions'!$B:$AR,'ERG Service assumptions'!E$3,FALSE)</f>
        <v>Request for Temporary Connection for short term supply</v>
      </c>
      <c r="D205" s="270" t="str">
        <f>VLOOKUP($A205,'ERG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5" s="129" t="str">
        <f>VLOOKUP($A205,'ERG Service assumptions'!$B:$AR,'ERG Service assumptions'!G$3,FALSE)</f>
        <v>BUSINESS HOURS - MULTI PHASE</v>
      </c>
      <c r="F205" s="269" t="str">
        <f>VLOOKUP($A205,'ERG Service assumptions'!$B:$AR,'ERG Service assumptions'!H$3,FALSE)</f>
        <v>Long rural/Isolated</v>
      </c>
      <c r="G205" s="168">
        <f>VLOOKUP(A205,'ERG Service assumptions'!$B$6:$AY$315,'ERG Service assumptions'!$AY$3,FALSE)</f>
        <v>1750.2083019499837</v>
      </c>
      <c r="H205" s="120">
        <f>G205*(1+'Escalators &amp; overheads'!F$5)*(1-'Escalators &amp; overheads'!F$9)</f>
        <v>1807.1730139544022</v>
      </c>
      <c r="I205" s="120">
        <f>H205*(1+'Escalators &amp; overheads'!G$5)*(1-'Escalators &amp; overheads'!G$9)</f>
        <v>1866.8785798229999</v>
      </c>
      <c r="J205" s="120">
        <f>I205*(1+'Escalators &amp; overheads'!H$5)*(1-'Escalators &amp; overheads'!H$9)</f>
        <v>1929.0597809706203</v>
      </c>
      <c r="K205" s="120">
        <f>J205*(1+'Escalators &amp; overheads'!I$5)*(1-'Escalators &amp; overheads'!I$9)</f>
        <v>1988.5862059952683</v>
      </c>
    </row>
    <row r="206" spans="1:11" ht="60">
      <c r="A206" s="269" t="str">
        <f>'ERG Service assumptions'!B208</f>
        <v>EE_218</v>
      </c>
      <c r="B206" s="270" t="str">
        <f>VLOOKUP($A206,'ERG Service assumptions'!$B:$AR,'ERG Service assumptions'!D$3,FALSE)</f>
        <v>Connection application and management services</v>
      </c>
      <c r="C206" s="270" t="str">
        <f>VLOOKUP($A206,'ERG Service assumptions'!$B:$AR,'ERG Service assumptions'!E$3,FALSE)</f>
        <v>Request for Temporary Connection for short term supply</v>
      </c>
      <c r="D206" s="270" t="str">
        <f>VLOOKUP($A206,'ERG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6" s="129" t="str">
        <f>VLOOKUP($A206,'ERG Service assumptions'!$B:$AR,'ERG Service assumptions'!G$3,FALSE)</f>
        <v>BUSINESS HOURS - MULTI PHASE - Traffic Control</v>
      </c>
      <c r="F206" s="269" t="str">
        <f>VLOOKUP($A206,'ERG Service assumptions'!$B:$AR,'ERG Service assumptions'!H$3,FALSE)</f>
        <v>Urban/Short Rural</v>
      </c>
      <c r="G206" s="168">
        <f>VLOOKUP(A206,'ERG Service assumptions'!$B$6:$AY$315,'ERG Service assumptions'!$AY$3,FALSE)</f>
        <v>1966.8295546615627</v>
      </c>
      <c r="H206" s="120">
        <f>G206*(1+'Escalators &amp; overheads'!F$5)*(1-'Escalators &amp; overheads'!F$9)</f>
        <v>2030.8447230379472</v>
      </c>
      <c r="I206" s="120">
        <f>H206*(1+'Escalators &amp; overheads'!G$5)*(1-'Escalators &amp; overheads'!G$9)</f>
        <v>2097.9399775841152</v>
      </c>
      <c r="J206" s="120">
        <f>I206*(1+'Escalators &amp; overheads'!H$5)*(1-'Escalators &amp; overheads'!H$9)</f>
        <v>2167.8172739180632</v>
      </c>
      <c r="K206" s="120">
        <f>J206*(1+'Escalators &amp; overheads'!I$5)*(1-'Escalators &amp; overheads'!I$9)</f>
        <v>2234.7112155656837</v>
      </c>
    </row>
    <row r="207" spans="1:11" ht="60">
      <c r="A207" s="269" t="str">
        <f>'ERG Service assumptions'!B209</f>
        <v>EE_219</v>
      </c>
      <c r="B207" s="270" t="str">
        <f>VLOOKUP($A207,'ERG Service assumptions'!$B:$AR,'ERG Service assumptions'!D$3,FALSE)</f>
        <v>Connection application and management services</v>
      </c>
      <c r="C207" s="270" t="str">
        <f>VLOOKUP($A207,'ERG Service assumptions'!$B:$AR,'ERG Service assumptions'!E$3,FALSE)</f>
        <v>Request for Temporary Connection for short term supply</v>
      </c>
      <c r="D207" s="270" t="str">
        <f>VLOOKUP($A207,'ERG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7" s="129" t="str">
        <f>VLOOKUP($A207,'ERG Service assumptions'!$B:$AR,'ERG Service assumptions'!G$3,FALSE)</f>
        <v>BUSINESS HOURS - MULTI PHASE - Traffic Control</v>
      </c>
      <c r="F207" s="269" t="str">
        <f>VLOOKUP($A207,'ERG Service assumptions'!$B:$AR,'ERG Service assumptions'!H$3,FALSE)</f>
        <v>Long rural/Isolated</v>
      </c>
      <c r="G207" s="168">
        <f>VLOOKUP(A207,'ERG Service assumptions'!$B$6:$AY$315,'ERG Service assumptions'!$AY$3,FALSE)</f>
        <v>2551.3991275128574</v>
      </c>
      <c r="H207" s="120">
        <f>G207*(1+'Escalators &amp; overheads'!F$5)*(1-'Escalators &amp; overheads'!F$9)</f>
        <v>2634.4405096987175</v>
      </c>
      <c r="I207" s="120">
        <f>H207*(1+'Escalators &amp; overheads'!G$5)*(1-'Escalators &amp; overheads'!G$9)</f>
        <v>2721.4774232449968</v>
      </c>
      <c r="J207" s="120">
        <f>I207*(1+'Escalators &amp; overheads'!H$5)*(1-'Escalators &amp; overheads'!H$9)</f>
        <v>2812.1232407622501</v>
      </c>
      <c r="K207" s="120">
        <f>J207*(1+'Escalators &amp; overheads'!I$5)*(1-'Escalators &amp; overheads'!I$9)</f>
        <v>2898.8990083681033</v>
      </c>
    </row>
    <row r="208" spans="1:11" ht="60">
      <c r="A208" s="269" t="str">
        <f>'ERG Service assumptions'!B210</f>
        <v>EE_220</v>
      </c>
      <c r="B208" s="270" t="str">
        <f>VLOOKUP($A208,'ERG Service assumptions'!$B:$AR,'ERG Service assumptions'!D$3,FALSE)</f>
        <v>Connection application and management services</v>
      </c>
      <c r="C208" s="270" t="str">
        <f>VLOOKUP($A208,'ERG Service assumptions'!$B:$AR,'ERG Service assumptions'!E$3,FALSE)</f>
        <v>Request for Temporary Connection for short term supply</v>
      </c>
      <c r="D208" s="270" t="str">
        <f>VLOOKUP($A208,'ERG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8" s="129" t="str">
        <f>VLOOKUP($A208,'ERG Service assumptions'!$B:$AR,'ERG Service assumptions'!G$3,FALSE)</f>
        <v xml:space="preserve">AFTER HOURS - SINGLE PHASE  </v>
      </c>
      <c r="F208" s="269" t="str">
        <f>VLOOKUP($A208,'ERG Service assumptions'!$B:$AR,'ERG Service assumptions'!H$3,FALSE)</f>
        <v>Urban/Short Rural</v>
      </c>
      <c r="G208" s="168">
        <f>VLOOKUP(A208,'ERG Service assumptions'!$B$6:$AY$315,'ERG Service assumptions'!$AY$3,FALSE)</f>
        <v>1072.1501321974438</v>
      </c>
      <c r="H208" s="120">
        <f>G208*(1+'Escalators &amp; overheads'!F$5)*(1-'Escalators &amp; overheads'!F$9)</f>
        <v>1107.0458205781242</v>
      </c>
      <c r="I208" s="120">
        <f>H208*(1+'Escalators &amp; overheads'!G$5)*(1-'Escalators &amp; overheads'!G$9)</f>
        <v>1143.6205130119449</v>
      </c>
      <c r="J208" s="120">
        <f>I208*(1+'Escalators &amp; overheads'!H$5)*(1-'Escalators &amp; overheads'!H$9)</f>
        <v>1181.7117407568594</v>
      </c>
      <c r="K208" s="120">
        <f>J208*(1+'Escalators &amp; overheads'!I$5)*(1-'Escalators &amp; overheads'!I$9)</f>
        <v>1218.1766943217076</v>
      </c>
    </row>
    <row r="209" spans="1:11" ht="60">
      <c r="A209" s="269" t="str">
        <f>'ERG Service assumptions'!B211</f>
        <v>EE_221</v>
      </c>
      <c r="B209" s="270" t="str">
        <f>VLOOKUP($A209,'ERG Service assumptions'!$B:$AR,'ERG Service assumptions'!D$3,FALSE)</f>
        <v>Connection application and management services</v>
      </c>
      <c r="C209" s="270" t="str">
        <f>VLOOKUP($A209,'ERG Service assumptions'!$B:$AR,'ERG Service assumptions'!E$3,FALSE)</f>
        <v>Request for Temporary Connection for short term supply</v>
      </c>
      <c r="D209" s="270" t="str">
        <f>VLOOKUP($A209,'ERG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9" s="129" t="str">
        <f>VLOOKUP($A209,'ERG Service assumptions'!$B:$AR,'ERG Service assumptions'!G$3,FALSE)</f>
        <v xml:space="preserve">AFTER HOURS - SINGLE PHASE  </v>
      </c>
      <c r="F209" s="269" t="str">
        <f>VLOOKUP($A209,'ERG Service assumptions'!$B:$AR,'ERG Service assumptions'!H$3,FALSE)</f>
        <v>Long rural/Isolated</v>
      </c>
      <c r="G209" s="168">
        <f>VLOOKUP(A209,'ERG Service assumptions'!$B$6:$AY$315,'ERG Service assumptions'!$AY$3,FALSE)</f>
        <v>1840.6010853174998</v>
      </c>
      <c r="H209" s="120">
        <f>G209*(1+'Escalators &amp; overheads'!F$5)*(1-'Escalators &amp; overheads'!F$9)</f>
        <v>1900.5078464860499</v>
      </c>
      <c r="I209" s="120">
        <f>H209*(1+'Escalators &amp; overheads'!G$5)*(1-'Escalators &amp; overheads'!G$9)</f>
        <v>1963.2970180462569</v>
      </c>
      <c r="J209" s="120">
        <f>I209*(1+'Escalators &amp; overheads'!H$5)*(1-'Escalators &amp; overheads'!H$9)</f>
        <v>2028.6896837027625</v>
      </c>
      <c r="K209" s="120">
        <f>J209*(1+'Escalators &amp; overheads'!I$5)*(1-'Escalators &amp; overheads'!I$9)</f>
        <v>2091.290462354862</v>
      </c>
    </row>
    <row r="210" spans="1:11" ht="60">
      <c r="A210" s="269" t="str">
        <f>'ERG Service assumptions'!B212</f>
        <v>EE_222</v>
      </c>
      <c r="B210" s="270" t="str">
        <f>VLOOKUP($A210,'ERG Service assumptions'!$B:$AR,'ERG Service assumptions'!D$3,FALSE)</f>
        <v>Connection application and management services</v>
      </c>
      <c r="C210" s="270" t="str">
        <f>VLOOKUP($A210,'ERG Service assumptions'!$B:$AR,'ERG Service assumptions'!E$3,FALSE)</f>
        <v>Request for Temporary Connection for short term supply</v>
      </c>
      <c r="D210" s="270" t="str">
        <f>VLOOKUP($A210,'ERG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0" s="129" t="str">
        <f>VLOOKUP($A210,'ERG Service assumptions'!$B:$AR,'ERG Service assumptions'!G$3,FALSE)</f>
        <v>AFTER HOURS - SINGLE PHASE  - Traffic Control</v>
      </c>
      <c r="F210" s="269" t="str">
        <f>VLOOKUP($A210,'ERG Service assumptions'!$B:$AR,'ERG Service assumptions'!H$3,FALSE)</f>
        <v>Urban/Short Rural</v>
      </c>
      <c r="G210" s="168">
        <f>VLOOKUP(A210,'ERG Service assumptions'!$B$6:$AY$315,'ERG Service assumptions'!$AY$3,FALSE)</f>
        <v>1873.3409577603175</v>
      </c>
      <c r="H210" s="120">
        <f>G210*(1+'Escalators &amp; overheads'!F$5)*(1-'Escalators &amp; overheads'!F$9)</f>
        <v>1934.3133163224397</v>
      </c>
      <c r="I210" s="120">
        <f>H210*(1+'Escalators &amp; overheads'!G$5)*(1-'Escalators &amp; overheads'!G$9)</f>
        <v>1998.2193564339423</v>
      </c>
      <c r="J210" s="120">
        <f>I210*(1+'Escalators &amp; overheads'!H$5)*(1-'Escalators &amp; overheads'!H$9)</f>
        <v>2064.7752005484899</v>
      </c>
      <c r="K210" s="120">
        <f>J210*(1+'Escalators &amp; overheads'!I$5)*(1-'Escalators &amp; overheads'!I$9)</f>
        <v>2128.4894966945426</v>
      </c>
    </row>
    <row r="211" spans="1:11" ht="60">
      <c r="A211" s="269" t="str">
        <f>'ERG Service assumptions'!B213</f>
        <v>EE_223</v>
      </c>
      <c r="B211" s="270" t="str">
        <f>VLOOKUP($A211,'ERG Service assumptions'!$B:$AR,'ERG Service assumptions'!D$3,FALSE)</f>
        <v>Connection application and management services</v>
      </c>
      <c r="C211" s="270" t="str">
        <f>VLOOKUP($A211,'ERG Service assumptions'!$B:$AR,'ERG Service assumptions'!E$3,FALSE)</f>
        <v>Request for Temporary Connection for short term supply</v>
      </c>
      <c r="D211" s="270" t="str">
        <f>VLOOKUP($A211,'ERG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1" s="129" t="str">
        <f>VLOOKUP($A211,'ERG Service assumptions'!$B:$AR,'ERG Service assumptions'!G$3,FALSE)</f>
        <v>AFTER HOURS - SINGLE PHASE  - Traffic Control</v>
      </c>
      <c r="F211" s="269" t="str">
        <f>VLOOKUP($A211,'ERG Service assumptions'!$B:$AR,'ERG Service assumptions'!H$3,FALSE)</f>
        <v>Long rural/Isolated</v>
      </c>
      <c r="G211" s="168">
        <f>VLOOKUP(A211,'ERG Service assumptions'!$B$6:$AY$315,'ERG Service assumptions'!$AY$3,FALSE)</f>
        <v>2641.7919108803735</v>
      </c>
      <c r="H211" s="120">
        <f>G211*(1+'Escalators &amp; overheads'!F$5)*(1-'Escalators &amp; overheads'!F$9)</f>
        <v>2727.7753422303654</v>
      </c>
      <c r="I211" s="120">
        <f>H211*(1+'Escalators &amp; overheads'!G$5)*(1-'Escalators &amp; overheads'!G$9)</f>
        <v>2817.8958614682547</v>
      </c>
      <c r="J211" s="120">
        <f>I211*(1+'Escalators &amp; overheads'!H$5)*(1-'Escalators &amp; overheads'!H$9)</f>
        <v>2911.7531434943935</v>
      </c>
      <c r="K211" s="120">
        <f>J211*(1+'Escalators &amp; overheads'!I$5)*(1-'Escalators &amp; overheads'!I$9)</f>
        <v>3001.6032647276984</v>
      </c>
    </row>
    <row r="212" spans="1:11" ht="60">
      <c r="A212" s="269" t="str">
        <f>'ERG Service assumptions'!B214</f>
        <v>EE_224</v>
      </c>
      <c r="B212" s="270" t="str">
        <f>VLOOKUP($A212,'ERG Service assumptions'!$B:$AR,'ERG Service assumptions'!D$3,FALSE)</f>
        <v>Connection application and management services</v>
      </c>
      <c r="C212" s="270" t="str">
        <f>VLOOKUP($A212,'ERG Service assumptions'!$B:$AR,'ERG Service assumptions'!E$3,FALSE)</f>
        <v>Request for Temporary Connection for short term supply</v>
      </c>
      <c r="D212" s="270" t="str">
        <f>VLOOKUP($A212,'ERG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2" s="129" t="str">
        <f>VLOOKUP($A212,'ERG Service assumptions'!$B:$AR,'ERG Service assumptions'!G$3,FALSE)</f>
        <v xml:space="preserve">AFTER HOURS - MULTIPHASE  </v>
      </c>
      <c r="F212" s="269" t="str">
        <f>VLOOKUP($A212,'ERG Service assumptions'!$B:$AR,'ERG Service assumptions'!H$3,FALSE)</f>
        <v>Urban/Short Rural</v>
      </c>
      <c r="G212" s="168">
        <f>VLOOKUP(A212,'ERG Service assumptions'!$B$6:$AY$315,'ERG Service assumptions'!$AY$3,FALSE)</f>
        <v>1532.3004035268186</v>
      </c>
      <c r="H212" s="120">
        <f>G212*(1+'Escalators &amp; overheads'!F$5)*(1-'Escalators &amp; overheads'!F$9)</f>
        <v>1582.1727821996365</v>
      </c>
      <c r="I212" s="120">
        <f>H212*(1+'Escalators &amp; overheads'!G$5)*(1-'Escalators &amp; overheads'!G$9)</f>
        <v>1634.444767523509</v>
      </c>
      <c r="J212" s="120">
        <f>I212*(1+'Escalators &amp; overheads'!H$5)*(1-'Escalators &amp; overheads'!H$9)</f>
        <v>1688.88416168255</v>
      </c>
      <c r="K212" s="120">
        <f>J212*(1+'Escalators &amp; overheads'!I$5)*(1-'Escalators &amp; overheads'!I$9)</f>
        <v>1740.9993099104229</v>
      </c>
    </row>
    <row r="213" spans="1:11" ht="60">
      <c r="A213" s="269" t="str">
        <f>'ERG Service assumptions'!B215</f>
        <v>EE_225</v>
      </c>
      <c r="B213" s="270" t="str">
        <f>VLOOKUP($A213,'ERG Service assumptions'!$B:$AR,'ERG Service assumptions'!D$3,FALSE)</f>
        <v>Connection application and management services</v>
      </c>
      <c r="C213" s="270" t="str">
        <f>VLOOKUP($A213,'ERG Service assumptions'!$B:$AR,'ERG Service assumptions'!E$3,FALSE)</f>
        <v>Request for Temporary Connection for short term supply</v>
      </c>
      <c r="D213" s="270" t="str">
        <f>VLOOKUP($A213,'ERG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3" s="129" t="str">
        <f>VLOOKUP($A213,'ERG Service assumptions'!$B:$AR,'ERG Service assumptions'!G$3,FALSE)</f>
        <v xml:space="preserve">AFTER HOURS - MULTIPHASE  </v>
      </c>
      <c r="F213" s="269" t="str">
        <f>VLOOKUP($A213,'ERG Service assumptions'!$B:$AR,'ERG Service assumptions'!H$3,FALSE)</f>
        <v>Long rural/Isolated</v>
      </c>
      <c r="G213" s="168">
        <f>VLOOKUP(A213,'ERG Service assumptions'!$B$6:$AY$315,'ERG Service assumptions'!$AY$3,FALSE)</f>
        <v>2300.7513566468751</v>
      </c>
      <c r="H213" s="120">
        <f>G213*(1+'Escalators &amp; overheads'!F$5)*(1-'Escalators &amp; overheads'!F$9)</f>
        <v>2375.6348081075625</v>
      </c>
      <c r="I213" s="120">
        <f>H213*(1+'Escalators &amp; overheads'!G$5)*(1-'Escalators &amp; overheads'!G$9)</f>
        <v>2454.1212725578212</v>
      </c>
      <c r="J213" s="120">
        <f>I213*(1+'Escalators &amp; overheads'!H$5)*(1-'Escalators &amp; overheads'!H$9)</f>
        <v>2535.8621046284534</v>
      </c>
      <c r="K213" s="120">
        <f>J213*(1+'Escalators &amp; overheads'!I$5)*(1-'Escalators &amp; overheads'!I$9)</f>
        <v>2614.113077943578</v>
      </c>
    </row>
    <row r="214" spans="1:11" ht="60">
      <c r="A214" s="269" t="str">
        <f>'ERG Service assumptions'!B216</f>
        <v>EE_226</v>
      </c>
      <c r="B214" s="270" t="str">
        <f>VLOOKUP($A214,'ERG Service assumptions'!$B:$AR,'ERG Service assumptions'!D$3,FALSE)</f>
        <v>Connection application and management services</v>
      </c>
      <c r="C214" s="270" t="str">
        <f>VLOOKUP($A214,'ERG Service assumptions'!$B:$AR,'ERG Service assumptions'!E$3,FALSE)</f>
        <v>Request for Temporary Connection for short term supply</v>
      </c>
      <c r="D214" s="270" t="str">
        <f>VLOOKUP($A214,'ERG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4" s="129" t="str">
        <f>VLOOKUP($A214,'ERG Service assumptions'!$B:$AR,'ERG Service assumptions'!G$3,FALSE)</f>
        <v>AFTER HOURS - MULTIPHASE - Traffic Control</v>
      </c>
      <c r="F214" s="269" t="str">
        <f>VLOOKUP($A214,'ERG Service assumptions'!$B:$AR,'ERG Service assumptions'!H$3,FALSE)</f>
        <v>Urban/Short Rural</v>
      </c>
      <c r="G214" s="168">
        <f>VLOOKUP(A214,'ERG Service assumptions'!$B$6:$AY$315,'ERG Service assumptions'!$AY$3,FALSE)</f>
        <v>2333.4912290896923</v>
      </c>
      <c r="H214" s="120">
        <f>G214*(1+'Escalators &amp; overheads'!F$5)*(1-'Escalators &amp; overheads'!F$9)</f>
        <v>2409.440277943952</v>
      </c>
      <c r="I214" s="120">
        <f>H214*(1+'Escalators &amp; overheads'!G$5)*(1-'Escalators &amp; overheads'!G$9)</f>
        <v>2489.0436109455063</v>
      </c>
      <c r="J214" s="120">
        <f>I214*(1+'Escalators &amp; overheads'!H$5)*(1-'Escalators &amp; overheads'!H$9)</f>
        <v>2571.9476214741808</v>
      </c>
      <c r="K214" s="120">
        <f>J214*(1+'Escalators &amp; overheads'!I$5)*(1-'Escalators &amp; overheads'!I$9)</f>
        <v>2651.3121122832586</v>
      </c>
    </row>
    <row r="215" spans="1:11" ht="60">
      <c r="A215" s="269" t="str">
        <f>'ERG Service assumptions'!B217</f>
        <v>EE_227</v>
      </c>
      <c r="B215" s="270" t="str">
        <f>VLOOKUP($A215,'ERG Service assumptions'!$B:$AR,'ERG Service assumptions'!D$3,FALSE)</f>
        <v>Connection application and management services</v>
      </c>
      <c r="C215" s="270" t="str">
        <f>VLOOKUP($A215,'ERG Service assumptions'!$B:$AR,'ERG Service assumptions'!E$3,FALSE)</f>
        <v>Request for Temporary Connection for short term supply</v>
      </c>
      <c r="D215" s="270" t="str">
        <f>VLOOKUP($A215,'ERG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5" s="129" t="str">
        <f>VLOOKUP($A215,'ERG Service assumptions'!$B:$AR,'ERG Service assumptions'!G$3,FALSE)</f>
        <v>AFTER HOURS - MULTIPHASE - Traffic Control</v>
      </c>
      <c r="F215" s="269" t="str">
        <f>VLOOKUP($A215,'ERG Service assumptions'!$B:$AR,'ERG Service assumptions'!H$3,FALSE)</f>
        <v>Long rural/Isolated</v>
      </c>
      <c r="G215" s="168">
        <f>VLOOKUP(A215,'ERG Service assumptions'!$B$6:$AY$315,'ERG Service assumptions'!$AY$3,FALSE)</f>
        <v>3101.9421822097488</v>
      </c>
      <c r="H215" s="120">
        <f>G215*(1+'Escalators &amp; overheads'!F$5)*(1-'Escalators &amp; overheads'!F$9)</f>
        <v>3202.9023038518781</v>
      </c>
      <c r="I215" s="120">
        <f>H215*(1+'Escalators &amp; overheads'!G$5)*(1-'Escalators &amp; overheads'!G$9)</f>
        <v>3308.7201159798192</v>
      </c>
      <c r="J215" s="120">
        <f>I215*(1+'Escalators &amp; overheads'!H$5)*(1-'Escalators &amp; overheads'!H$9)</f>
        <v>3418.9255644200848</v>
      </c>
      <c r="K215" s="120">
        <f>J215*(1+'Escalators &amp; overheads'!I$5)*(1-'Escalators &amp; overheads'!I$9)</f>
        <v>3524.4258803164144</v>
      </c>
    </row>
    <row r="216" spans="1:11" ht="30">
      <c r="A216" s="269" t="str">
        <f>'ERG Service assumptions'!B218</f>
        <v>EE_228</v>
      </c>
      <c r="B216" s="270" t="str">
        <f>VLOOKUP($A216,'ERG Service assumptions'!$B:$AR,'ERG Service assumptions'!D$3,FALSE)</f>
        <v>Network Ancillary services</v>
      </c>
      <c r="C216" s="270" t="str">
        <f>VLOOKUP($A216,'ERG Service assumptions'!$B:$AR,'ERG Service assumptions'!E$3,FALSE)</f>
        <v>Faults/Emergency response</v>
      </c>
      <c r="D216" s="270" t="str">
        <f>VLOOKUP($A216,'ERG Service assumptions'!$B:$AR,'ERG Service assumptions'!F$3,FALSE)</f>
        <v>Attending loss of Supply - customer fault</v>
      </c>
      <c r="E216" s="129" t="str">
        <f>VLOOKUP($A216,'ERG Service assumptions'!$B:$AR,'ERG Service assumptions'!G$3,FALSE)</f>
        <v>BUSINESS HOURS</v>
      </c>
      <c r="F216" s="269" t="str">
        <f>VLOOKUP($A216,'ERG Service assumptions'!$B:$AR,'ERG Service assumptions'!H$3,FALSE)</f>
        <v>Urban/Short Rural</v>
      </c>
      <c r="G216" s="168">
        <f>VLOOKUP(A216,'ERG Service assumptions'!$B$6:$AY$315,'ERG Service assumptions'!$AY$3,FALSE)</f>
        <v>290.53457812369732</v>
      </c>
      <c r="H216" s="120">
        <f>G216*(1+'Escalators &amp; overheads'!F$5)*(1-'Escalators &amp; overheads'!F$9)</f>
        <v>299.99072031643078</v>
      </c>
      <c r="I216" s="120">
        <f>H216*(1+'Escalators &amp; overheads'!G$5)*(1-'Escalators &amp; overheads'!G$9)</f>
        <v>309.90184425061801</v>
      </c>
      <c r="J216" s="120">
        <f>I216*(1+'Escalators &amp; overheads'!H$5)*(1-'Escalators &amp; overheads'!H$9)</f>
        <v>320.22392364112301</v>
      </c>
      <c r="K216" s="120">
        <f>J216*(1+'Escalators &amp; overheads'!I$5)*(1-'Escalators &amp; overheads'!I$9)</f>
        <v>330.1053101952146</v>
      </c>
    </row>
    <row r="217" spans="1:11" ht="30">
      <c r="A217" s="269" t="str">
        <f>'ERG Service assumptions'!B219</f>
        <v>EE_229</v>
      </c>
      <c r="B217" s="270" t="str">
        <f>VLOOKUP($A217,'ERG Service assumptions'!$B:$AR,'ERG Service assumptions'!D$3,FALSE)</f>
        <v>Network Ancillary services</v>
      </c>
      <c r="C217" s="270" t="str">
        <f>VLOOKUP($A217,'ERG Service assumptions'!$B:$AR,'ERG Service assumptions'!E$3,FALSE)</f>
        <v>Faults/Emergency response</v>
      </c>
      <c r="D217" s="270" t="str">
        <f>VLOOKUP($A217,'ERG Service assumptions'!$B:$AR,'ERG Service assumptions'!F$3,FALSE)</f>
        <v>Attending loss of Supply - customer fault</v>
      </c>
      <c r="E217" s="129" t="str">
        <f>VLOOKUP($A217,'ERG Service assumptions'!$B:$AR,'ERG Service assumptions'!G$3,FALSE)</f>
        <v>BUSINESS HOURS</v>
      </c>
      <c r="F217" s="269" t="str">
        <f>VLOOKUP($A217,'ERG Service assumptions'!$B:$AR,'ERG Service assumptions'!H$3,FALSE)</f>
        <v>Long rural/Isolated</v>
      </c>
      <c r="G217" s="168">
        <f>VLOOKUP(A217,'ERG Service assumptions'!$B$6:$AY$315,'ERG Service assumptions'!$AY$3,FALSE)</f>
        <v>875.10415097499185</v>
      </c>
      <c r="H217" s="120">
        <f>G217*(1+'Escalators &amp; overheads'!F$5)*(1-'Escalators &amp; overheads'!F$9)</f>
        <v>903.58650697720111</v>
      </c>
      <c r="I217" s="120">
        <f>H217*(1+'Escalators &amp; overheads'!G$5)*(1-'Escalators &amp; overheads'!G$9)</f>
        <v>933.43928991149994</v>
      </c>
      <c r="J217" s="120">
        <f>I217*(1+'Escalators &amp; overheads'!H$5)*(1-'Escalators &amp; overheads'!H$9)</f>
        <v>964.52989048531015</v>
      </c>
      <c r="K217" s="120">
        <f>J217*(1+'Escalators &amp; overheads'!I$5)*(1-'Escalators &amp; overheads'!I$9)</f>
        <v>994.29310299763415</v>
      </c>
    </row>
    <row r="218" spans="1:11" ht="30">
      <c r="A218" s="269" t="str">
        <f>'ERG Service assumptions'!B220</f>
        <v>EE_230</v>
      </c>
      <c r="B218" s="270" t="str">
        <f>VLOOKUP($A218,'ERG Service assumptions'!$B:$AR,'ERG Service assumptions'!D$3,FALSE)</f>
        <v>Network Ancillary services</v>
      </c>
      <c r="C218" s="270" t="str">
        <f>VLOOKUP($A218,'ERG Service assumptions'!$B:$AR,'ERG Service assumptions'!E$3,FALSE)</f>
        <v>Faults/Emergency response</v>
      </c>
      <c r="D218" s="270" t="str">
        <f>VLOOKUP($A218,'ERG Service assumptions'!$B:$AR,'ERG Service assumptions'!F$3,FALSE)</f>
        <v>Attending loss of Supply - customer fault</v>
      </c>
      <c r="E218" s="129" t="str">
        <f>VLOOKUP($A218,'ERG Service assumptions'!$B:$AR,'ERG Service assumptions'!G$3,FALSE)</f>
        <v>AFTER HOURS</v>
      </c>
      <c r="F218" s="269" t="str">
        <f>VLOOKUP($A218,'ERG Service assumptions'!$B:$AR,'ERG Service assumptions'!H$3,FALSE)</f>
        <v>Urban/Short Rural</v>
      </c>
      <c r="G218" s="168">
        <f>VLOOKUP(A218,'ERG Service assumptions'!$B$6:$AY$315,'ERG Service assumptions'!$AY$3,FALSE)</f>
        <v>381.92472520338117</v>
      </c>
      <c r="H218" s="120">
        <f>G218*(1+'Escalators &amp; overheads'!F$5)*(1-'Escalators &amp; overheads'!F$9)</f>
        <v>394.3553781458553</v>
      </c>
      <c r="I218" s="120">
        <f>H218*(1+'Escalators &amp; overheads'!G$5)*(1-'Escalators &amp; overheads'!G$9)</f>
        <v>407.38413124459828</v>
      </c>
      <c r="J218" s="120">
        <f>I218*(1+'Escalators &amp; overheads'!H$5)*(1-'Escalators &amp; overheads'!H$9)</f>
        <v>420.95310936832323</v>
      </c>
      <c r="K218" s="120">
        <f>J218*(1+'Escalators &amp; overheads'!I$5)*(1-'Escalators &amp; overheads'!I$9)</f>
        <v>433.94277093863388</v>
      </c>
    </row>
    <row r="219" spans="1:11" ht="30">
      <c r="A219" s="269" t="str">
        <f>'ERG Service assumptions'!B221</f>
        <v>EE_231</v>
      </c>
      <c r="B219" s="270" t="str">
        <f>VLOOKUP($A219,'ERG Service assumptions'!$B:$AR,'ERG Service assumptions'!D$3,FALSE)</f>
        <v>Network Ancillary services</v>
      </c>
      <c r="C219" s="270" t="str">
        <f>VLOOKUP($A219,'ERG Service assumptions'!$B:$AR,'ERG Service assumptions'!E$3,FALSE)</f>
        <v>Faults/Emergency response</v>
      </c>
      <c r="D219" s="270" t="str">
        <f>VLOOKUP($A219,'ERG Service assumptions'!$B:$AR,'ERG Service assumptions'!F$3,FALSE)</f>
        <v>Attending loss of Supply - customer fault</v>
      </c>
      <c r="E219" s="129" t="str">
        <f>VLOOKUP($A219,'ERG Service assumptions'!$B:$AR,'ERG Service assumptions'!G$3,FALSE)</f>
        <v>AFTER HOURS</v>
      </c>
      <c r="F219" s="269" t="str">
        <f>VLOOKUP($A219,'ERG Service assumptions'!$B:$AR,'ERG Service assumptions'!H$3,FALSE)</f>
        <v>Long rural/Isolated</v>
      </c>
      <c r="G219" s="168">
        <f>VLOOKUP(A219,'ERG Service assumptions'!$B$6:$AY$315,'ERG Service assumptions'!$AY$3,FALSE)</f>
        <v>1150.3756783234373</v>
      </c>
      <c r="H219" s="120">
        <f>G219*(1+'Escalators &amp; overheads'!F$5)*(1-'Escalators &amp; overheads'!F$9)</f>
        <v>1187.817404053781</v>
      </c>
      <c r="I219" s="120">
        <f>H219*(1+'Escalators &amp; overheads'!G$5)*(1-'Escalators &amp; overheads'!G$9)</f>
        <v>1227.0606362789104</v>
      </c>
      <c r="J219" s="120">
        <f>I219*(1+'Escalators &amp; overheads'!H$5)*(1-'Escalators &amp; overheads'!H$9)</f>
        <v>1267.9310523142265</v>
      </c>
      <c r="K219" s="120">
        <f>J219*(1+'Escalators &amp; overheads'!I$5)*(1-'Escalators &amp; overheads'!I$9)</f>
        <v>1307.0565389717888</v>
      </c>
    </row>
    <row r="220" spans="1:11" ht="45">
      <c r="A220" s="269" t="str">
        <f>'ERG Service assumptions'!B222</f>
        <v>EE_232</v>
      </c>
      <c r="B220" s="270" t="str">
        <f>VLOOKUP($A220,'ERG Service assumptions'!$B:$AR,'ERG Service assumptions'!D$3,FALSE)</f>
        <v>Network Ancillary services</v>
      </c>
      <c r="C220" s="270" t="str">
        <f>VLOOKUP($A220,'ERG Service assumptions'!$B:$AR,'ERG Service assumptions'!E$3,FALSE)</f>
        <v>Call out fee</v>
      </c>
      <c r="D220" s="270" t="str">
        <f>VLOOKUP($A220,'ERG Service assumptions'!$B:$AR,'ERG Service assumptions'!F$3,FALSE)</f>
        <v xml:space="preserve"> Crews attend site at the customers request and is unable to perform job due to customers fault/fault of a third party.  TECHNICAL. Wasted travel time and wasted time at customer's premises.</v>
      </c>
      <c r="E220" s="129" t="str">
        <f>VLOOKUP($A220,'ERG Service assumptions'!$B:$AR,'ERG Service assumptions'!G$3,FALSE)</f>
        <v>BUSINESS HOURS - 1 crew</v>
      </c>
      <c r="F220" s="269" t="str">
        <f>VLOOKUP($A220,'ERG Service assumptions'!$B:$AR,'ERG Service assumptions'!H$3,FALSE)</f>
        <v>Urban/Short Rural</v>
      </c>
      <c r="G220" s="168">
        <f>VLOOKUP(A220,'ERG Service assumptions'!$B$6:$AY$315,'ERG Service assumptions'!$AY$3,FALSE)</f>
        <v>87.510415097499191</v>
      </c>
      <c r="H220" s="120">
        <f>G220*(1+'Escalators &amp; overheads'!F$5)*(1-'Escalators &amp; overheads'!F$9)</f>
        <v>90.358650697720108</v>
      </c>
      <c r="I220" s="120">
        <f>H220*(1+'Escalators &amp; overheads'!G$5)*(1-'Escalators &amp; overheads'!G$9)</f>
        <v>93.343928991149994</v>
      </c>
      <c r="J220" s="120">
        <f>I220*(1+'Escalators &amp; overheads'!H$5)*(1-'Escalators &amp; overheads'!H$9)</f>
        <v>96.452989048531023</v>
      </c>
      <c r="K220" s="120">
        <f>J220*(1+'Escalators &amp; overheads'!I$5)*(1-'Escalators &amp; overheads'!I$9)</f>
        <v>99.429310299763429</v>
      </c>
    </row>
    <row r="221" spans="1:11" ht="45">
      <c r="A221" s="269" t="str">
        <f>'ERG Service assumptions'!B223</f>
        <v>EE_233</v>
      </c>
      <c r="B221" s="270" t="str">
        <f>VLOOKUP($A221,'ERG Service assumptions'!$B:$AR,'ERG Service assumptions'!D$3,FALSE)</f>
        <v>Network Ancillary services</v>
      </c>
      <c r="C221" s="270" t="str">
        <f>VLOOKUP($A221,'ERG Service assumptions'!$B:$AR,'ERG Service assumptions'!E$3,FALSE)</f>
        <v>Call out fee</v>
      </c>
      <c r="D221" s="270" t="str">
        <f>VLOOKUP($A221,'ERG Service assumptions'!$B:$AR,'ERG Service assumptions'!F$3,FALSE)</f>
        <v xml:space="preserve"> Crews attend site at the customers request and is unable to perform job due to customers fault/fault of a third party.  TECHNICAL. Wasted travel time and wasted time at customer's premises.</v>
      </c>
      <c r="E221" s="129" t="str">
        <f>VLOOKUP($A221,'ERG Service assumptions'!$B:$AR,'ERG Service assumptions'!G$3,FALSE)</f>
        <v>BUSINESS HOURS - 1 crew</v>
      </c>
      <c r="F221" s="269" t="str">
        <f>VLOOKUP($A221,'ERG Service assumptions'!$B:$AR,'ERG Service assumptions'!H$3,FALSE)</f>
        <v>Long rural/Isolated</v>
      </c>
      <c r="G221" s="168">
        <f>VLOOKUP(A221,'ERG Service assumptions'!$B$6:$AY$315,'ERG Service assumptions'!$AY$3,FALSE)</f>
        <v>379.79520152314649</v>
      </c>
      <c r="H221" s="120">
        <f>G221*(1+'Escalators &amp; overheads'!F$5)*(1-'Escalators &amp; overheads'!F$9)</f>
        <v>392.15654402810526</v>
      </c>
      <c r="I221" s="120">
        <f>H221*(1+'Escalators &amp; overheads'!G$5)*(1-'Escalators &amp; overheads'!G$9)</f>
        <v>405.11265182159093</v>
      </c>
      <c r="J221" s="120">
        <f>I221*(1+'Escalators &amp; overheads'!H$5)*(1-'Escalators &amp; overheads'!H$9)</f>
        <v>418.60597247062458</v>
      </c>
      <c r="K221" s="120">
        <f>J221*(1+'Escalators &amp; overheads'!I$5)*(1-'Escalators &amp; overheads'!I$9)</f>
        <v>431.52320670097322</v>
      </c>
    </row>
    <row r="222" spans="1:11" ht="45">
      <c r="A222" s="269" t="str">
        <f>'ERG Service assumptions'!B224</f>
        <v>EE_234</v>
      </c>
      <c r="B222" s="270" t="str">
        <f>VLOOKUP($A222,'ERG Service assumptions'!$B:$AR,'ERG Service assumptions'!D$3,FALSE)</f>
        <v>Network Ancillary services</v>
      </c>
      <c r="C222" s="270" t="str">
        <f>VLOOKUP($A222,'ERG Service assumptions'!$B:$AR,'ERG Service assumptions'!E$3,FALSE)</f>
        <v>Call out fee</v>
      </c>
      <c r="D222" s="270" t="str">
        <f>VLOOKUP($A222,'ERG Service assumptions'!$B:$AR,'ERG Service assumptions'!F$3,FALSE)</f>
        <v xml:space="preserve"> Crews attend site at the customers request and is unable to perform job due to customers fault/fault of a third party.  TECHNICAL. Wasted travel time and wasted time at customer's premises.</v>
      </c>
      <c r="E222" s="129" t="str">
        <f>VLOOKUP($A222,'ERG Service assumptions'!$B:$AR,'ERG Service assumptions'!G$3,FALSE)</f>
        <v>BUSINESS HOURS - 2 crews</v>
      </c>
      <c r="F222" s="269" t="str">
        <f>VLOOKUP($A222,'ERG Service assumptions'!$B:$AR,'ERG Service assumptions'!H$3,FALSE)</f>
        <v>Urban/Short Rural</v>
      </c>
      <c r="G222" s="168">
        <f>VLOOKUP(A222,'ERG Service assumptions'!$B$6:$AY$315,'ERG Service assumptions'!$AY$3,FALSE)</f>
        <v>175.02083019499838</v>
      </c>
      <c r="H222" s="120">
        <f>G222*(1+'Escalators &amp; overheads'!F$5)*(1-'Escalators &amp; overheads'!F$9)</f>
        <v>180.71730139544022</v>
      </c>
      <c r="I222" s="120">
        <f>H222*(1+'Escalators &amp; overheads'!G$5)*(1-'Escalators &amp; overheads'!G$9)</f>
        <v>186.68785798229999</v>
      </c>
      <c r="J222" s="120">
        <f>I222*(1+'Escalators &amp; overheads'!H$5)*(1-'Escalators &amp; overheads'!H$9)</f>
        <v>192.90597809706205</v>
      </c>
      <c r="K222" s="120">
        <f>J222*(1+'Escalators &amp; overheads'!I$5)*(1-'Escalators &amp; overheads'!I$9)</f>
        <v>198.85862059952686</v>
      </c>
    </row>
    <row r="223" spans="1:11" ht="45">
      <c r="A223" s="269" t="str">
        <f>'ERG Service assumptions'!B225</f>
        <v>EE_235</v>
      </c>
      <c r="B223" s="270" t="str">
        <f>VLOOKUP($A223,'ERG Service assumptions'!$B:$AR,'ERG Service assumptions'!D$3,FALSE)</f>
        <v>Network Ancillary services</v>
      </c>
      <c r="C223" s="270" t="str">
        <f>VLOOKUP($A223,'ERG Service assumptions'!$B:$AR,'ERG Service assumptions'!E$3,FALSE)</f>
        <v>Call out fee</v>
      </c>
      <c r="D223" s="270" t="str">
        <f>VLOOKUP($A223,'ERG Service assumptions'!$B:$AR,'ERG Service assumptions'!F$3,FALSE)</f>
        <v xml:space="preserve"> Crews attend site at the customers request and is unable to perform job due to customers fault/fault of a third party.  TECHNICAL. Wasted travel time and wasted time at customer's premises.</v>
      </c>
      <c r="E223" s="129" t="str">
        <f>VLOOKUP($A223,'ERG Service assumptions'!$B:$AR,'ERG Service assumptions'!G$3,FALSE)</f>
        <v>BUSINESS HOURS - 2 crews</v>
      </c>
      <c r="F223" s="269" t="str">
        <f>VLOOKUP($A223,'ERG Service assumptions'!$B:$AR,'ERG Service assumptions'!H$3,FALSE)</f>
        <v>Long rural/Isolated</v>
      </c>
      <c r="G223" s="168">
        <f>VLOOKUP(A223,'ERG Service assumptions'!$B$6:$AY$315,'ERG Service assumptions'!$AY$3,FALSE)</f>
        <v>759.59040304629298</v>
      </c>
      <c r="H223" s="120">
        <f>G223*(1+'Escalators &amp; overheads'!F$5)*(1-'Escalators &amp; overheads'!F$9)</f>
        <v>784.31308805621052</v>
      </c>
      <c r="I223" s="120">
        <f>H223*(1+'Escalators &amp; overheads'!G$5)*(1-'Escalators &amp; overheads'!G$9)</f>
        <v>810.22530364318186</v>
      </c>
      <c r="J223" s="120">
        <f>I223*(1+'Escalators &amp; overheads'!H$5)*(1-'Escalators &amp; overheads'!H$9)</f>
        <v>837.21194494124916</v>
      </c>
      <c r="K223" s="120">
        <f>J223*(1+'Escalators &amp; overheads'!I$5)*(1-'Escalators &amp; overheads'!I$9)</f>
        <v>863.04641340194644</v>
      </c>
    </row>
    <row r="224" spans="1:11" ht="45">
      <c r="A224" s="269" t="str">
        <f>'ERG Service assumptions'!B226</f>
        <v>EE_236</v>
      </c>
      <c r="B224" s="270" t="str">
        <f>VLOOKUP($A224,'ERG Service assumptions'!$B:$AR,'ERG Service assumptions'!D$3,FALSE)</f>
        <v>Network Ancillary services</v>
      </c>
      <c r="C224" s="270" t="str">
        <f>VLOOKUP($A224,'ERG Service assumptions'!$B:$AR,'ERG Service assumptions'!E$3,FALSE)</f>
        <v>Call out fee</v>
      </c>
      <c r="D224" s="270" t="str">
        <f>VLOOKUP($A224,'ERG Service assumptions'!$B:$AR,'ERG Service assumptions'!F$3,FALSE)</f>
        <v xml:space="preserve"> Crews attend site at the customers request and is unable to perform job due to customers fault/fault of a third party.  TECHNICAL. Wasted travel time and wasted time at customer's premises.</v>
      </c>
      <c r="E224" s="129" t="str">
        <f>VLOOKUP($A224,'ERG Service assumptions'!$B:$AR,'ERG Service assumptions'!G$3,FALSE)</f>
        <v>AFTER HOURS - 1 crew</v>
      </c>
      <c r="F224" s="269" t="str">
        <f>VLOOKUP($A224,'ERG Service assumptions'!$B:$AR,'ERG Service assumptions'!H$3,FALSE)</f>
        <v>Urban/Short Rural</v>
      </c>
      <c r="G224" s="168">
        <f>VLOOKUP(A224,'ERG Service assumptions'!$B$6:$AY$315,'ERG Service assumptions'!$AY$3,FALSE)</f>
        <v>115.03756783234375</v>
      </c>
      <c r="H224" s="120">
        <f>G224*(1+'Escalators &amp; overheads'!F$5)*(1-'Escalators &amp; overheads'!F$9)</f>
        <v>118.78174040537813</v>
      </c>
      <c r="I224" s="120">
        <f>H224*(1+'Escalators &amp; overheads'!G$5)*(1-'Escalators &amp; overheads'!G$9)</f>
        <v>122.70606362789107</v>
      </c>
      <c r="J224" s="120">
        <f>I224*(1+'Escalators &amp; overheads'!H$5)*(1-'Escalators &amp; overheads'!H$9)</f>
        <v>126.79310523142267</v>
      </c>
      <c r="K224" s="120">
        <f>J224*(1+'Escalators &amp; overheads'!I$5)*(1-'Escalators &amp; overheads'!I$9)</f>
        <v>130.70565389717891</v>
      </c>
    </row>
    <row r="225" spans="1:11" ht="45">
      <c r="A225" s="269" t="str">
        <f>'ERG Service assumptions'!B227</f>
        <v>EE_237</v>
      </c>
      <c r="B225" s="270" t="str">
        <f>VLOOKUP($A225,'ERG Service assumptions'!$B:$AR,'ERG Service assumptions'!D$3,FALSE)</f>
        <v>Network Ancillary services</v>
      </c>
      <c r="C225" s="270" t="str">
        <f>VLOOKUP($A225,'ERG Service assumptions'!$B:$AR,'ERG Service assumptions'!E$3,FALSE)</f>
        <v>Call out fee</v>
      </c>
      <c r="D225" s="270" t="str">
        <f>VLOOKUP($A225,'ERG Service assumptions'!$B:$AR,'ERG Service assumptions'!F$3,FALSE)</f>
        <v xml:space="preserve"> Crews attend site at the customers request and is unable to perform job due to customers fault/fault of a third party.  TECHNICAL. Wasted travel time and wasted time at customer's premises.</v>
      </c>
      <c r="E225" s="129" t="str">
        <f>VLOOKUP($A225,'ERG Service assumptions'!$B:$AR,'ERG Service assumptions'!G$3,FALSE)</f>
        <v>AFTER HOURS - 1 crew</v>
      </c>
      <c r="F225" s="269" t="str">
        <f>VLOOKUP($A225,'ERG Service assumptions'!$B:$AR,'ERG Service assumptions'!H$3,FALSE)</f>
        <v>Long rural/Isolated</v>
      </c>
      <c r="G225" s="168">
        <f>VLOOKUP(A225,'ERG Service assumptions'!$B$6:$AY$315,'ERG Service assumptions'!$AY$3,FALSE)</f>
        <v>499.26304439237185</v>
      </c>
      <c r="H225" s="120">
        <f>G225*(1+'Escalators &amp; overheads'!F$5)*(1-'Escalators &amp; overheads'!F$9)</f>
        <v>515.5127533593411</v>
      </c>
      <c r="I225" s="120">
        <f>H225*(1+'Escalators &amp; overheads'!G$5)*(1-'Escalators &amp; overheads'!G$9)</f>
        <v>532.54431614504722</v>
      </c>
      <c r="J225" s="120">
        <f>I225*(1+'Escalators &amp; overheads'!H$5)*(1-'Escalators &amp; overheads'!H$9)</f>
        <v>550.28207670437439</v>
      </c>
      <c r="K225" s="120">
        <f>J225*(1+'Escalators &amp; overheads'!I$5)*(1-'Escalators &amp; overheads'!I$9)</f>
        <v>567.26253791375643</v>
      </c>
    </row>
    <row r="226" spans="1:11" ht="45">
      <c r="A226" s="269" t="str">
        <f>'ERG Service assumptions'!B228</f>
        <v>EE_238</v>
      </c>
      <c r="B226" s="270" t="str">
        <f>VLOOKUP($A226,'ERG Service assumptions'!$B:$AR,'ERG Service assumptions'!D$3,FALSE)</f>
        <v>Network Ancillary services</v>
      </c>
      <c r="C226" s="270" t="str">
        <f>VLOOKUP($A226,'ERG Service assumptions'!$B:$AR,'ERG Service assumptions'!E$3,FALSE)</f>
        <v>Call out fee</v>
      </c>
      <c r="D226" s="270" t="str">
        <f>VLOOKUP($A226,'ERG Service assumptions'!$B:$AR,'ERG Service assumptions'!F$3,FALSE)</f>
        <v xml:space="preserve"> Crews attend site at the customers request and is unable to perform job due to customers fault/fault of a third party.  TECHNICAL. Wasted travel time and wasted time at customer's premises.</v>
      </c>
      <c r="E226" s="129" t="str">
        <f>VLOOKUP($A226,'ERG Service assumptions'!$B:$AR,'ERG Service assumptions'!G$3,FALSE)</f>
        <v>AFTER HOURS - 2 crews</v>
      </c>
      <c r="F226" s="269" t="str">
        <f>VLOOKUP($A226,'ERG Service assumptions'!$B:$AR,'ERG Service assumptions'!H$3,FALSE)</f>
        <v>Urban/Short Rural</v>
      </c>
      <c r="G226" s="168">
        <f>VLOOKUP(A226,'ERG Service assumptions'!$B$6:$AY$315,'ERG Service assumptions'!$AY$3,FALSE)</f>
        <v>230.07513566468754</v>
      </c>
      <c r="H226" s="120">
        <f>G226*(1+'Escalators &amp; overheads'!F$5)*(1-'Escalators &amp; overheads'!F$9)</f>
        <v>237.56348081075629</v>
      </c>
      <c r="I226" s="120">
        <f>H226*(1+'Escalators &amp; overheads'!G$5)*(1-'Escalators &amp; overheads'!G$9)</f>
        <v>245.41212725578217</v>
      </c>
      <c r="J226" s="120">
        <f>I226*(1+'Escalators &amp; overheads'!H$5)*(1-'Escalators &amp; overheads'!H$9)</f>
        <v>253.58621046284537</v>
      </c>
      <c r="K226" s="120">
        <f>J226*(1+'Escalators &amp; overheads'!I$5)*(1-'Escalators &amp; overheads'!I$9)</f>
        <v>261.41130779435781</v>
      </c>
    </row>
    <row r="227" spans="1:11" ht="45">
      <c r="A227" s="269" t="str">
        <f>'ERG Service assumptions'!B229</f>
        <v>EE_239</v>
      </c>
      <c r="B227" s="270" t="str">
        <f>VLOOKUP($A227,'ERG Service assumptions'!$B:$AR,'ERG Service assumptions'!D$3,FALSE)</f>
        <v>Network Ancillary services</v>
      </c>
      <c r="C227" s="270" t="str">
        <f>VLOOKUP($A227,'ERG Service assumptions'!$B:$AR,'ERG Service assumptions'!E$3,FALSE)</f>
        <v>Call out fee</v>
      </c>
      <c r="D227" s="270" t="str">
        <f>VLOOKUP($A227,'ERG Service assumptions'!$B:$AR,'ERG Service assumptions'!F$3,FALSE)</f>
        <v xml:space="preserve"> Crews attend site at the customers request and is unable to perform job due to customers fault/fault of a third party.  TECHNICAL. Wasted travel time and wasted time at customer's premises.</v>
      </c>
      <c r="E227" s="129" t="str">
        <f>VLOOKUP($A227,'ERG Service assumptions'!$B:$AR,'ERG Service assumptions'!G$3,FALSE)</f>
        <v>AFTER HOURS - 2 crews</v>
      </c>
      <c r="F227" s="269" t="str">
        <f>VLOOKUP($A227,'ERG Service assumptions'!$B:$AR,'ERG Service assumptions'!H$3,FALSE)</f>
        <v>Long rural/Isolated</v>
      </c>
      <c r="G227" s="168">
        <f>VLOOKUP(A227,'ERG Service assumptions'!$B$6:$AY$315,'ERG Service assumptions'!$AY$3,FALSE)</f>
        <v>998.52608878474371</v>
      </c>
      <c r="H227" s="120">
        <f>G227*(1+'Escalators &amp; overheads'!F$5)*(1-'Escalators &amp; overheads'!F$9)</f>
        <v>1031.0255067186822</v>
      </c>
      <c r="I227" s="120">
        <f>H227*(1+'Escalators &amp; overheads'!G$5)*(1-'Escalators &amp; overheads'!G$9)</f>
        <v>1065.0886322900944</v>
      </c>
      <c r="J227" s="120">
        <f>I227*(1+'Escalators &amp; overheads'!H$5)*(1-'Escalators &amp; overheads'!H$9)</f>
        <v>1100.5641534087488</v>
      </c>
      <c r="K227" s="120">
        <f>J227*(1+'Escalators &amp; overheads'!I$5)*(1-'Escalators &amp; overheads'!I$9)</f>
        <v>1134.5250758275129</v>
      </c>
    </row>
    <row r="228" spans="1:11" ht="30">
      <c r="A228" s="269" t="str">
        <f>'ERG Service assumptions'!B230</f>
        <v>EE_240</v>
      </c>
      <c r="B228" s="270" t="str">
        <f>VLOOKUP($A228,'ERG Service assumptions'!$B:$AR,'ERG Service assumptions'!D$3,FALSE)</f>
        <v>Network Ancillary services</v>
      </c>
      <c r="C228" s="270" t="str">
        <f>VLOOKUP($A228,'ERG Service assumptions'!$B:$AR,'ERG Service assumptions'!E$3,FALSE)</f>
        <v>Call out fee</v>
      </c>
      <c r="D228" s="270" t="str">
        <f>VLOOKUP($A228,'ERG Service assumptions'!$B:$AR,'ERG Service assumptions'!F$3,FALSE)</f>
        <v xml:space="preserve"> Crews attend site at the customers request and is unable to perform job due to customers fault/fault of a third party.  NON TECHNICAL. Wasted travel time.</v>
      </c>
      <c r="E228" s="129" t="str">
        <f>VLOOKUP($A228,'ERG Service assumptions'!$B:$AR,'ERG Service assumptions'!G$3,FALSE)</f>
        <v>BUSINESS HOURS</v>
      </c>
      <c r="F228" s="269" t="str">
        <f>VLOOKUP($A228,'ERG Service assumptions'!$B:$AR,'ERG Service assumptions'!H$3,FALSE)</f>
        <v>Urban/Short Rural</v>
      </c>
      <c r="G228" s="168">
        <f>VLOOKUP(A228,'ERG Service assumptions'!$B$6:$AY$315,'ERG Service assumptions'!$AY$3,FALSE)</f>
        <v>7.9330009868254612</v>
      </c>
      <c r="H228" s="120">
        <f>G228*(1+'Escalators &amp; overheads'!F$5)*(1-'Escalators &amp; overheads'!F$9)</f>
        <v>8.1911994629964386</v>
      </c>
      <c r="I228" s="120">
        <f>H228*(1+'Escalators &amp; overheads'!G$5)*(1-'Escalators &amp; overheads'!G$9)</f>
        <v>8.461821144099682</v>
      </c>
      <c r="J228" s="120">
        <f>I228*(1+'Escalators &amp; overheads'!H$5)*(1-'Escalators &amp; overheads'!H$9)</f>
        <v>8.7436638993400013</v>
      </c>
      <c r="K228" s="120">
        <f>J228*(1+'Escalators &amp; overheads'!I$5)*(1-'Escalators &amp; overheads'!I$9)</f>
        <v>9.0134736059541218</v>
      </c>
    </row>
    <row r="229" spans="1:11" ht="30">
      <c r="A229" s="269" t="str">
        <f>'ERG Service assumptions'!B231</f>
        <v>EE_241</v>
      </c>
      <c r="B229" s="270" t="str">
        <f>VLOOKUP($A229,'ERG Service assumptions'!$B:$AR,'ERG Service assumptions'!D$3,FALSE)</f>
        <v>Network Ancillary services</v>
      </c>
      <c r="C229" s="270" t="str">
        <f>VLOOKUP($A229,'ERG Service assumptions'!$B:$AR,'ERG Service assumptions'!E$3,FALSE)</f>
        <v>Call out fee</v>
      </c>
      <c r="D229" s="270" t="str">
        <f>VLOOKUP($A229,'ERG Service assumptions'!$B:$AR,'ERG Service assumptions'!F$3,FALSE)</f>
        <v xml:space="preserve"> Crews attend site at the customers request and is unable to perform job due to customers fault/fault of a third party.  NON TECHNICAL. Wasted travel time.</v>
      </c>
      <c r="E229" s="129" t="str">
        <f>VLOOKUP($A229,'ERG Service assumptions'!$B:$AR,'ERG Service assumptions'!G$3,FALSE)</f>
        <v>BUSINESS HOURS</v>
      </c>
      <c r="F229" s="269" t="str">
        <f>VLOOKUP($A229,'ERG Service assumptions'!$B:$AR,'ERG Service assumptions'!H$3,FALSE)</f>
        <v>Long rural/Isolated</v>
      </c>
      <c r="G229" s="168">
        <f>VLOOKUP(A229,'ERG Service assumptions'!$B$6:$AY$315,'ERG Service assumptions'!$AY$3,FALSE)</f>
        <v>7.9330009868254612</v>
      </c>
      <c r="H229" s="120">
        <f>G229*(1+'Escalators &amp; overheads'!F$5)*(1-'Escalators &amp; overheads'!F$9)</f>
        <v>8.1911994629964386</v>
      </c>
      <c r="I229" s="120">
        <f>H229*(1+'Escalators &amp; overheads'!G$5)*(1-'Escalators &amp; overheads'!G$9)</f>
        <v>8.461821144099682</v>
      </c>
      <c r="J229" s="120">
        <f>I229*(1+'Escalators &amp; overheads'!H$5)*(1-'Escalators &amp; overheads'!H$9)</f>
        <v>8.7436638993400013</v>
      </c>
      <c r="K229" s="120">
        <f>J229*(1+'Escalators &amp; overheads'!I$5)*(1-'Escalators &amp; overheads'!I$9)</f>
        <v>9.0134736059541218</v>
      </c>
    </row>
    <row r="230" spans="1:11" ht="30">
      <c r="A230" s="269" t="str">
        <f>'ERG Service assumptions'!B232</f>
        <v>EE_242</v>
      </c>
      <c r="B230" s="270" t="str">
        <f>VLOOKUP($A230,'ERG Service assumptions'!$B:$AR,'ERG Service assumptions'!D$3,FALSE)</f>
        <v>Network Ancillary services</v>
      </c>
      <c r="C230" s="270" t="str">
        <f>VLOOKUP($A230,'ERG Service assumptions'!$B:$AR,'ERG Service assumptions'!E$3,FALSE)</f>
        <v>Call out fee</v>
      </c>
      <c r="D230" s="270" t="str">
        <f>VLOOKUP($A230,'ERG Service assumptions'!$B:$AR,'ERG Service assumptions'!F$3,FALSE)</f>
        <v xml:space="preserve"> Crews attend site at the customers request and is unable to perform job due to customers fault/fault of a third party.  NON TECHNICAL. Wasted travel time.</v>
      </c>
      <c r="E230" s="129" t="str">
        <f>VLOOKUP($A230,'ERG Service assumptions'!$B:$AR,'ERG Service assumptions'!G$3,FALSE)</f>
        <v>AFTER HOURS</v>
      </c>
      <c r="F230" s="269" t="str">
        <f>VLOOKUP($A230,'ERG Service assumptions'!$B:$AR,'ERG Service assumptions'!H$3,FALSE)</f>
        <v>Urban/Short Rural</v>
      </c>
      <c r="G230" s="168">
        <f>VLOOKUP(A230,'ERG Service assumptions'!$B$6:$AY$315,'ERG Service assumptions'!$AY$3,FALSE)</f>
        <v>10.312901282873101</v>
      </c>
      <c r="H230" s="120">
        <f>G230*(1+'Escalators &amp; overheads'!F$5)*(1-'Escalators &amp; overheads'!F$9)</f>
        <v>10.648559301895371</v>
      </c>
      <c r="I230" s="120">
        <f>H230*(1+'Escalators &amp; overheads'!G$5)*(1-'Escalators &amp; overheads'!G$9)</f>
        <v>11.000367487329587</v>
      </c>
      <c r="J230" s="120">
        <f>I230*(1+'Escalators &amp; overheads'!H$5)*(1-'Escalators &amp; overheads'!H$9)</f>
        <v>11.366763069142005</v>
      </c>
      <c r="K230" s="120">
        <f>J230*(1+'Escalators &amp; overheads'!I$5)*(1-'Escalators &amp; overheads'!I$9)</f>
        <v>11.717515687740363</v>
      </c>
    </row>
    <row r="231" spans="1:11" ht="30">
      <c r="A231" s="269" t="str">
        <f>'ERG Service assumptions'!B233</f>
        <v>EE_243</v>
      </c>
      <c r="B231" s="270" t="str">
        <f>VLOOKUP($A231,'ERG Service assumptions'!$B:$AR,'ERG Service assumptions'!D$3,FALSE)</f>
        <v>Network Ancillary services</v>
      </c>
      <c r="C231" s="270" t="str">
        <f>VLOOKUP($A231,'ERG Service assumptions'!$B:$AR,'ERG Service assumptions'!E$3,FALSE)</f>
        <v>Call out fee</v>
      </c>
      <c r="D231" s="270" t="str">
        <f>VLOOKUP($A231,'ERG Service assumptions'!$B:$AR,'ERG Service assumptions'!F$3,FALSE)</f>
        <v xml:space="preserve"> Crews attend site at the customers request and is unable to perform job due to customers fault/fault of a third party.  NON TECHNICAL. Wasted travel time.</v>
      </c>
      <c r="E231" s="129" t="str">
        <f>VLOOKUP($A231,'ERG Service assumptions'!$B:$AR,'ERG Service assumptions'!G$3,FALSE)</f>
        <v>AFTER HOURS</v>
      </c>
      <c r="F231" s="269" t="str">
        <f>VLOOKUP($A231,'ERG Service assumptions'!$B:$AR,'ERG Service assumptions'!H$3,FALSE)</f>
        <v>Long rural/Isolated</v>
      </c>
      <c r="G231" s="168">
        <f>VLOOKUP(A231,'ERG Service assumptions'!$B$6:$AY$315,'ERG Service assumptions'!$AY$3,FALSE)</f>
        <v>10.312901282873101</v>
      </c>
      <c r="H231" s="120">
        <f>G231*(1+'Escalators &amp; overheads'!F$5)*(1-'Escalators &amp; overheads'!F$9)</f>
        <v>10.648559301895371</v>
      </c>
      <c r="I231" s="120">
        <f>H231*(1+'Escalators &amp; overheads'!G$5)*(1-'Escalators &amp; overheads'!G$9)</f>
        <v>11.000367487329587</v>
      </c>
      <c r="J231" s="120">
        <f>I231*(1+'Escalators &amp; overheads'!H$5)*(1-'Escalators &amp; overheads'!H$9)</f>
        <v>11.366763069142005</v>
      </c>
      <c r="K231" s="120">
        <f>J231*(1+'Escalators &amp; overheads'!I$5)*(1-'Escalators &amp; overheads'!I$9)</f>
        <v>11.717515687740363</v>
      </c>
    </row>
    <row r="232" spans="1:11" ht="30">
      <c r="A232" s="269" t="str">
        <f>'ERG Service assumptions'!B234</f>
        <v>EE_244</v>
      </c>
      <c r="B232" s="270" t="str">
        <f>VLOOKUP($A232,'ERG Service assumptions'!$B:$AR,'ERG Service assumptions'!D$3,FALSE)</f>
        <v>Auxiliary metering services</v>
      </c>
      <c r="C232" s="270" t="str">
        <f>VLOOKUP($A232,'ERG Service assumptions'!$B:$AR,'ERG Service assumptions'!E$3,FALSE)</f>
        <v xml:space="preserve">Install new meter (Type 5 and 6) </v>
      </c>
      <c r="D232" s="270" t="str">
        <f>VLOOKUP($A232,'ERG Service assumptions'!$B:$AR,'ERG Service assumptions'!F$3,FALSE)</f>
        <v xml:space="preserve">Install new meter (Type 5 and 6) – Single phase </v>
      </c>
      <c r="E232" s="129" t="str">
        <f>VLOOKUP($A232,'ERG Service assumptions'!$B:$AR,'ERG Service assumptions'!G$3,FALSE)</f>
        <v>BUSINESS HOURS</v>
      </c>
      <c r="F232" s="269" t="str">
        <f>VLOOKUP($A232,'ERG Service assumptions'!$B:$AR,'ERG Service assumptions'!H$3,FALSE)</f>
        <v>Urban/Short Rural</v>
      </c>
      <c r="G232" s="168">
        <f>VLOOKUP(A232,'ERG Service assumptions'!$B$6:$AY$315,'ERG Service assumptions'!$AY$3,FALSE)</f>
        <v>386.66277299373633</v>
      </c>
      <c r="H232" s="120">
        <f>G232*(1+'Escalators &amp; overheads'!F$5)*(1-'Escalators &amp; overheads'!F$9)</f>
        <v>399.24763702499348</v>
      </c>
      <c r="I232" s="120">
        <f>H232*(1+'Escalators &amp; overheads'!G$5)*(1-'Escalators &amp; overheads'!G$9)</f>
        <v>412.43802107024749</v>
      </c>
      <c r="J232" s="120">
        <f>I232*(1+'Escalators &amp; overheads'!H$5)*(1-'Escalators &amp; overheads'!H$9)</f>
        <v>426.17533201605471</v>
      </c>
      <c r="K232" s="120">
        <f>J232*(1+'Escalators &amp; overheads'!I$5)*(1-'Escalators &amp; overheads'!I$9)</f>
        <v>439.32613957466947</v>
      </c>
    </row>
    <row r="233" spans="1:11" ht="30">
      <c r="A233" s="269" t="str">
        <f>'ERG Service assumptions'!B235</f>
        <v>EE_245</v>
      </c>
      <c r="B233" s="270" t="str">
        <f>VLOOKUP($A233,'ERG Service assumptions'!$B:$AR,'ERG Service assumptions'!D$3,FALSE)</f>
        <v>Auxiliary metering services</v>
      </c>
      <c r="C233" s="270" t="str">
        <f>VLOOKUP($A233,'ERG Service assumptions'!$B:$AR,'ERG Service assumptions'!E$3,FALSE)</f>
        <v xml:space="preserve">Install new meter (Type 5 and 6) </v>
      </c>
      <c r="D233" s="270" t="str">
        <f>VLOOKUP($A233,'ERG Service assumptions'!$B:$AR,'ERG Service assumptions'!F$3,FALSE)</f>
        <v xml:space="preserve">Install new meter (Type 5 and 6) – Single phase </v>
      </c>
      <c r="E233" s="129" t="str">
        <f>VLOOKUP($A233,'ERG Service assumptions'!$B:$AR,'ERG Service assumptions'!G$3,FALSE)</f>
        <v>BUSINESS HOURS</v>
      </c>
      <c r="F233" s="269" t="str">
        <f>VLOOKUP($A233,'ERG Service assumptions'!$B:$AR,'ERG Service assumptions'!H$3,FALSE)</f>
        <v>Long rural/Isolated</v>
      </c>
      <c r="G233" s="168">
        <f>VLOOKUP(A233,'ERG Service assumptions'!$B$6:$AY$315,'ERG Service assumptions'!$AY$3,FALSE)</f>
        <v>678.94755941938365</v>
      </c>
      <c r="H233" s="120">
        <f>G233*(1+'Escalators &amp; overheads'!F$5)*(1-'Escalators &amp; overheads'!F$9)</f>
        <v>701.04553035537867</v>
      </c>
      <c r="I233" s="120">
        <f>H233*(1+'Escalators &amp; overheads'!G$5)*(1-'Escalators &amp; overheads'!G$9)</f>
        <v>724.20674390068848</v>
      </c>
      <c r="J233" s="120">
        <f>I233*(1+'Escalators &amp; overheads'!H$5)*(1-'Escalators &amp; overheads'!H$9)</f>
        <v>748.32831543814837</v>
      </c>
      <c r="K233" s="120">
        <f>J233*(1+'Escalators &amp; overheads'!I$5)*(1-'Escalators &amp; overheads'!I$9)</f>
        <v>771.42003597587927</v>
      </c>
    </row>
    <row r="234" spans="1:11" ht="30">
      <c r="A234" s="269" t="str">
        <f>'ERG Service assumptions'!B236</f>
        <v>EE_246</v>
      </c>
      <c r="B234" s="270" t="str">
        <f>VLOOKUP($A234,'ERG Service assumptions'!$B:$AR,'ERG Service assumptions'!D$3,FALSE)</f>
        <v>Auxiliary metering services</v>
      </c>
      <c r="C234" s="270" t="str">
        <f>VLOOKUP($A234,'ERG Service assumptions'!$B:$AR,'ERG Service assumptions'!E$3,FALSE)</f>
        <v xml:space="preserve">Install new meter (Type 5 and 6) </v>
      </c>
      <c r="D234" s="270" t="str">
        <f>VLOOKUP($A234,'ERG Service assumptions'!$B:$AR,'ERG Service assumptions'!F$3,FALSE)</f>
        <v xml:space="preserve">Install new meter (Type 5 and 6) – Dual element </v>
      </c>
      <c r="E234" s="129" t="str">
        <f>VLOOKUP($A234,'ERG Service assumptions'!$B:$AR,'ERG Service assumptions'!G$3,FALSE)</f>
        <v>BUSINESS HOURS</v>
      </c>
      <c r="F234" s="269" t="str">
        <f>VLOOKUP($A234,'ERG Service assumptions'!$B:$AR,'ERG Service assumptions'!H$3,FALSE)</f>
        <v>Urban/Short Rural</v>
      </c>
      <c r="G234" s="168">
        <f>VLOOKUP(A234,'ERG Service assumptions'!$B$6:$AY$315,'ERG Service assumptions'!$AY$3,FALSE)</f>
        <v>445.59748020690643</v>
      </c>
      <c r="H234" s="120">
        <f>G234*(1+'Escalators &amp; overheads'!F$5)*(1-'Escalators &amp; overheads'!F$9)</f>
        <v>460.10051513229234</v>
      </c>
      <c r="I234" s="120">
        <f>H234*(1+'Escalators &amp; overheads'!G$5)*(1-'Escalators &amp; overheads'!G$9)</f>
        <v>475.3013627546772</v>
      </c>
      <c r="J234" s="120">
        <f>I234*(1+'Escalators &amp; overheads'!H$5)*(1-'Escalators &amp; overheads'!H$9)</f>
        <v>491.13249926382758</v>
      </c>
      <c r="K234" s="120">
        <f>J234*(1+'Escalators &amp; overheads'!I$5)*(1-'Escalators &amp; overheads'!I$9)</f>
        <v>506.28773819576276</v>
      </c>
    </row>
    <row r="235" spans="1:11" ht="30">
      <c r="A235" s="269" t="str">
        <f>'ERG Service assumptions'!B237</f>
        <v>EE_247</v>
      </c>
      <c r="B235" s="270" t="str">
        <f>VLOOKUP($A235,'ERG Service assumptions'!$B:$AR,'ERG Service assumptions'!D$3,FALSE)</f>
        <v>Auxiliary metering services</v>
      </c>
      <c r="C235" s="270" t="str">
        <f>VLOOKUP($A235,'ERG Service assumptions'!$B:$AR,'ERG Service assumptions'!E$3,FALSE)</f>
        <v xml:space="preserve">Install new meter (Type 5 and 6) </v>
      </c>
      <c r="D235" s="270" t="str">
        <f>VLOOKUP($A235,'ERG Service assumptions'!$B:$AR,'ERG Service assumptions'!F$3,FALSE)</f>
        <v xml:space="preserve">Install new meter (Type 5 and 6) – Dual element </v>
      </c>
      <c r="E235" s="129" t="str">
        <f>VLOOKUP($A235,'ERG Service assumptions'!$B:$AR,'ERG Service assumptions'!G$3,FALSE)</f>
        <v>BUSINESS HOURS</v>
      </c>
      <c r="F235" s="269" t="str">
        <f>VLOOKUP($A235,'ERG Service assumptions'!$B:$AR,'ERG Service assumptions'!H$3,FALSE)</f>
        <v>Long rural/Isolated</v>
      </c>
      <c r="G235" s="168">
        <f>VLOOKUP(A235,'ERG Service assumptions'!$B$6:$AY$315,'ERG Service assumptions'!$AY$3,FALSE)</f>
        <v>737.88226663255375</v>
      </c>
      <c r="H235" s="120">
        <f>G235*(1+'Escalators &amp; overheads'!F$5)*(1-'Escalators &amp; overheads'!F$9)</f>
        <v>761.89840846267748</v>
      </c>
      <c r="I235" s="120">
        <f>H235*(1+'Escalators &amp; overheads'!G$5)*(1-'Escalators &amp; overheads'!G$9)</f>
        <v>787.07008558511814</v>
      </c>
      <c r="J235" s="120">
        <f>I235*(1+'Escalators &amp; overheads'!H$5)*(1-'Escalators &amp; overheads'!H$9)</f>
        <v>813.28548268592112</v>
      </c>
      <c r="K235" s="120">
        <f>J235*(1+'Escalators &amp; overheads'!I$5)*(1-'Escalators &amp; overheads'!I$9)</f>
        <v>838.3816345969725</v>
      </c>
    </row>
    <row r="236" spans="1:11" ht="30">
      <c r="A236" s="269" t="str">
        <f>'ERG Service assumptions'!B238</f>
        <v>EE_248</v>
      </c>
      <c r="B236" s="270" t="str">
        <f>VLOOKUP($A236,'ERG Service assumptions'!$B:$AR,'ERG Service assumptions'!D$3,FALSE)</f>
        <v>Auxiliary metering services</v>
      </c>
      <c r="C236" s="270" t="str">
        <f>VLOOKUP($A236,'ERG Service assumptions'!$B:$AR,'ERG Service assumptions'!E$3,FALSE)</f>
        <v xml:space="preserve">Install new meter (Type 5 and 6) </v>
      </c>
      <c r="D236" s="270" t="str">
        <f>VLOOKUP($A236,'ERG Service assumptions'!$B:$AR,'ERG Service assumptions'!F$3,FALSE)</f>
        <v>Install new meter (Type 5 and 6) – Polyphase</v>
      </c>
      <c r="E236" s="129" t="str">
        <f>VLOOKUP($A236,'ERG Service assumptions'!$B:$AR,'ERG Service assumptions'!G$3,FALSE)</f>
        <v>BUSINESS HOURS</v>
      </c>
      <c r="F236" s="269" t="str">
        <f>VLOOKUP($A236,'ERG Service assumptions'!$B:$AR,'ERG Service assumptions'!H$3,FALSE)</f>
        <v>Urban/Short Rural</v>
      </c>
      <c r="G236" s="168">
        <f>VLOOKUP(A236,'ERG Service assumptions'!$B$6:$AY$315,'ERG Service assumptions'!$AY$3,FALSE)</f>
        <v>601.11962424166074</v>
      </c>
      <c r="H236" s="120">
        <f>G236*(1+'Escalators &amp; overheads'!F$5)*(1-'Escalators &amp; overheads'!F$9)</f>
        <v>620.684499026553</v>
      </c>
      <c r="I236" s="120">
        <f>H236*(1+'Escalators &amp; overheads'!G$5)*(1-'Escalators &amp; overheads'!G$9)</f>
        <v>641.19073664414418</v>
      </c>
      <c r="J236" s="120">
        <f>I236*(1+'Escalators &amp; overheads'!H$5)*(1-'Escalators &amp; overheads'!H$9)</f>
        <v>662.54724616767226</v>
      </c>
      <c r="K236" s="120">
        <f>J236*(1+'Escalators &amp; overheads'!I$5)*(1-'Escalators &amp; overheads'!I$9)</f>
        <v>682.99195677920295</v>
      </c>
    </row>
    <row r="237" spans="1:11" ht="30">
      <c r="A237" s="269" t="str">
        <f>'ERG Service assumptions'!B239</f>
        <v>EE_249</v>
      </c>
      <c r="B237" s="270" t="str">
        <f>VLOOKUP($A237,'ERG Service assumptions'!$B:$AR,'ERG Service assumptions'!D$3,FALSE)</f>
        <v>Auxiliary metering services</v>
      </c>
      <c r="C237" s="270" t="str">
        <f>VLOOKUP($A237,'ERG Service assumptions'!$B:$AR,'ERG Service assumptions'!E$3,FALSE)</f>
        <v xml:space="preserve">Install new meter (Type 5 and 6) </v>
      </c>
      <c r="D237" s="270" t="str">
        <f>VLOOKUP($A237,'ERG Service assumptions'!$B:$AR,'ERG Service assumptions'!F$3,FALSE)</f>
        <v>Install new meter (Type 5 and 6) – Polyphase</v>
      </c>
      <c r="E237" s="129" t="str">
        <f>VLOOKUP($A237,'ERG Service assumptions'!$B:$AR,'ERG Service assumptions'!G$3,FALSE)</f>
        <v>BUSINESS HOURS</v>
      </c>
      <c r="F237" s="269" t="str">
        <f>VLOOKUP($A237,'ERG Service assumptions'!$B:$AR,'ERG Service assumptions'!H$3,FALSE)</f>
        <v>Long rural/Isolated</v>
      </c>
      <c r="G237" s="168">
        <f>VLOOKUP(A237,'ERG Service assumptions'!$B$6:$AY$315,'ERG Service assumptions'!$AY$3,FALSE)</f>
        <v>893.40441066730807</v>
      </c>
      <c r="H237" s="120">
        <f>G237*(1+'Escalators &amp; overheads'!F$5)*(1-'Escalators &amp; overheads'!F$9)</f>
        <v>922.48239235693825</v>
      </c>
      <c r="I237" s="120">
        <f>H237*(1+'Escalators &amp; overheads'!G$5)*(1-'Escalators &amp; overheads'!G$9)</f>
        <v>952.95945947458529</v>
      </c>
      <c r="J237" s="120">
        <f>I237*(1+'Escalators &amp; overheads'!H$5)*(1-'Escalators &amp; overheads'!H$9)</f>
        <v>984.70022958976597</v>
      </c>
      <c r="K237" s="120">
        <f>J237*(1+'Escalators &amp; overheads'!I$5)*(1-'Escalators &amp; overheads'!I$9)</f>
        <v>1015.0858531804129</v>
      </c>
    </row>
    <row r="238" spans="1:11" s="165" customFormat="1" ht="30">
      <c r="A238" s="269" t="str">
        <f>'ERG Service assumptions'!B240</f>
        <v>EE_250</v>
      </c>
      <c r="B238" s="270" t="str">
        <f>VLOOKUP($A238,'ERG Service assumptions'!$B:$AR,'ERG Service assumptions'!D$3,FALSE)</f>
        <v>Auxiliary metering services</v>
      </c>
      <c r="C238" s="270" t="str">
        <f>VLOOKUP($A238,'ERG Service assumptions'!$B:$AR,'ERG Service assumptions'!E$3,FALSE)</f>
        <v xml:space="preserve">Install new meter (Type 5 and 6) </v>
      </c>
      <c r="D238" s="270" t="str">
        <f>VLOOKUP($A238,'ERG Service assumptions'!$B:$AR,'ERG Service assumptions'!F$3,FALSE)</f>
        <v xml:space="preserve">Install new meter (CT) </v>
      </c>
      <c r="E238" s="129" t="str">
        <f>VLOOKUP($A238,'ERG Service assumptions'!$B:$AR,'ERG Service assumptions'!G$3,FALSE)</f>
        <v>BUSINESS HOURS</v>
      </c>
      <c r="F238" s="269" t="str">
        <f>VLOOKUP($A238,'ERG Service assumptions'!$B:$AR,'ERG Service assumptions'!H$3,FALSE)</f>
        <v>Urban/Short Rural</v>
      </c>
      <c r="G238" s="168">
        <f>VLOOKUP(A238,'ERG Service assumptions'!$B$6:$AY$315,'ERG Service assumptions'!$AY$3,FALSE)</f>
        <v>2190.0091557952637</v>
      </c>
      <c r="H238" s="120">
        <f>G238*(1+'Escalators &amp; overheads'!F$5)*(1-'Escalators &amp; overheads'!F$9)</f>
        <v>2261.2882376667894</v>
      </c>
      <c r="I238" s="120">
        <f>H238*(1+'Escalators &amp; overheads'!G$5)*(1-'Escalators &amp; overheads'!G$9)</f>
        <v>2335.9969084909912</v>
      </c>
      <c r="J238" s="120">
        <f>I238*(1+'Escalators &amp; overheads'!H$5)*(1-'Escalators &amp; overheads'!H$9)</f>
        <v>2413.8033042668053</v>
      </c>
      <c r="K238" s="120">
        <f>J238*(1+'Escalators &amp; overheads'!I$5)*(1-'Escalators &amp; overheads'!I$9)</f>
        <v>2488.2878188645795</v>
      </c>
    </row>
    <row r="239" spans="1:11" s="165" customFormat="1" ht="30">
      <c r="A239" s="269" t="str">
        <f>'ERG Service assumptions'!B241</f>
        <v>EE_251</v>
      </c>
      <c r="B239" s="270" t="str">
        <f>VLOOKUP($A239,'ERG Service assumptions'!$B:$AR,'ERG Service assumptions'!D$3,FALSE)</f>
        <v>Auxiliary metering services</v>
      </c>
      <c r="C239" s="270" t="str">
        <f>VLOOKUP($A239,'ERG Service assumptions'!$B:$AR,'ERG Service assumptions'!E$3,FALSE)</f>
        <v xml:space="preserve">Install new meter (Type 5 and 6) </v>
      </c>
      <c r="D239" s="270" t="str">
        <f>VLOOKUP($A239,'ERG Service assumptions'!$B:$AR,'ERG Service assumptions'!F$3,FALSE)</f>
        <v xml:space="preserve">Install new meter (CT) </v>
      </c>
      <c r="E239" s="129" t="str">
        <f>VLOOKUP($A239,'ERG Service assumptions'!$B:$AR,'ERG Service assumptions'!G$3,FALSE)</f>
        <v>BUSINESS HOURS</v>
      </c>
      <c r="F239" s="269" t="str">
        <f>VLOOKUP($A239,'ERG Service assumptions'!$B:$AR,'ERG Service assumptions'!H$3,FALSE)</f>
        <v>Long rural/Isolated</v>
      </c>
      <c r="G239" s="168">
        <f>VLOOKUP(A239,'ERG Service assumptions'!$B$6:$AY$315,'ERG Service assumptions'!$AY$3,FALSE)</f>
        <v>2774.5787286465584</v>
      </c>
      <c r="H239" s="120">
        <f>G239*(1+'Escalators &amp; overheads'!F$5)*(1-'Escalators &amp; overheads'!F$9)</f>
        <v>2864.8840243275599</v>
      </c>
      <c r="I239" s="120">
        <f>H239*(1+'Escalators &amp; overheads'!G$5)*(1-'Escalators &amp; overheads'!G$9)</f>
        <v>2959.5343541518732</v>
      </c>
      <c r="J239" s="120">
        <f>I239*(1+'Escalators &amp; overheads'!H$5)*(1-'Escalators &amp; overheads'!H$9)</f>
        <v>3058.1092711109927</v>
      </c>
      <c r="K239" s="120">
        <f>J239*(1+'Escalators &amp; overheads'!I$5)*(1-'Escalators &amp; overheads'!I$9)</f>
        <v>3152.4756116669996</v>
      </c>
    </row>
    <row r="240" spans="1:11" s="165" customFormat="1" ht="30">
      <c r="A240" s="269" t="str">
        <f>'ERG Service assumptions'!B242</f>
        <v>EE_252</v>
      </c>
      <c r="B240" s="270" t="str">
        <f>VLOOKUP($A240,'ERG Service assumptions'!$B:$AR,'ERG Service assumptions'!D$3,FALSE)</f>
        <v>Auxiliary metering services</v>
      </c>
      <c r="C240" s="270" t="str">
        <f>VLOOKUP($A240,'ERG Service assumptions'!$B:$AR,'ERG Service assumptions'!E$3,FALSE)</f>
        <v xml:space="preserve">Install new meter (Type 5 and 6) </v>
      </c>
      <c r="D240" s="270" t="str">
        <f>VLOOKUP($A240,'ERG Service assumptions'!$B:$AR,'ERG Service assumptions'!F$3,FALSE)</f>
        <v xml:space="preserve">Install additional/replacement meter (Type 5 and 6) – Single phase </v>
      </c>
      <c r="E240" s="129" t="str">
        <f>VLOOKUP($A240,'ERG Service assumptions'!$B:$AR,'ERG Service assumptions'!G$3,FALSE)</f>
        <v>BUSINESS HOURS</v>
      </c>
      <c r="F240" s="269" t="str">
        <f>VLOOKUP($A240,'ERG Service assumptions'!$B:$AR,'ERG Service assumptions'!H$3,FALSE)</f>
        <v>Urban/Short Rural</v>
      </c>
      <c r="G240" s="168">
        <f>VLOOKUP(A240,'ERG Service assumptions'!$B$6:$AY$315,'ERG Service assumptions'!$AY$3,FALSE)</f>
        <v>386.66277299373633</v>
      </c>
      <c r="H240" s="120">
        <f>G240*(1+'Escalators &amp; overheads'!F$5)*(1-'Escalators &amp; overheads'!F$9)</f>
        <v>399.24763702499348</v>
      </c>
      <c r="I240" s="120">
        <f>H240*(1+'Escalators &amp; overheads'!G$5)*(1-'Escalators &amp; overheads'!G$9)</f>
        <v>412.43802107024749</v>
      </c>
      <c r="J240" s="120">
        <f>I240*(1+'Escalators &amp; overheads'!H$5)*(1-'Escalators &amp; overheads'!H$9)</f>
        <v>426.17533201605471</v>
      </c>
      <c r="K240" s="120">
        <f>J240*(1+'Escalators &amp; overheads'!I$5)*(1-'Escalators &amp; overheads'!I$9)</f>
        <v>439.32613957466947</v>
      </c>
    </row>
    <row r="241" spans="1:11" s="165" customFormat="1" ht="30">
      <c r="A241" s="269" t="str">
        <f>'ERG Service assumptions'!B243</f>
        <v>EE_253</v>
      </c>
      <c r="B241" s="270" t="str">
        <f>VLOOKUP($A241,'ERG Service assumptions'!$B:$AR,'ERG Service assumptions'!D$3,FALSE)</f>
        <v>Auxiliary metering services</v>
      </c>
      <c r="C241" s="270" t="str">
        <f>VLOOKUP($A241,'ERG Service assumptions'!$B:$AR,'ERG Service assumptions'!E$3,FALSE)</f>
        <v xml:space="preserve">Install new meter (Type 5 and 6) </v>
      </c>
      <c r="D241" s="270" t="str">
        <f>VLOOKUP($A241,'ERG Service assumptions'!$B:$AR,'ERG Service assumptions'!F$3,FALSE)</f>
        <v xml:space="preserve">Install additional/replacement meter (Type 5 and 6) – Single phase </v>
      </c>
      <c r="E241" s="129" t="str">
        <f>VLOOKUP($A241,'ERG Service assumptions'!$B:$AR,'ERG Service assumptions'!G$3,FALSE)</f>
        <v>BUSINESS HOURS</v>
      </c>
      <c r="F241" s="269" t="str">
        <f>VLOOKUP($A241,'ERG Service assumptions'!$B:$AR,'ERG Service assumptions'!H$3,FALSE)</f>
        <v>Long rural/Isolated</v>
      </c>
      <c r="G241" s="168">
        <f>VLOOKUP(A241,'ERG Service assumptions'!$B$6:$AY$315,'ERG Service assumptions'!$AY$3,FALSE)</f>
        <v>678.94755941938365</v>
      </c>
      <c r="H241" s="120">
        <f>G241*(1+'Escalators &amp; overheads'!F$5)*(1-'Escalators &amp; overheads'!F$9)</f>
        <v>701.04553035537867</v>
      </c>
      <c r="I241" s="120">
        <f>H241*(1+'Escalators &amp; overheads'!G$5)*(1-'Escalators &amp; overheads'!G$9)</f>
        <v>724.20674390068848</v>
      </c>
      <c r="J241" s="120">
        <f>I241*(1+'Escalators &amp; overheads'!H$5)*(1-'Escalators &amp; overheads'!H$9)</f>
        <v>748.32831543814837</v>
      </c>
      <c r="K241" s="120">
        <f>J241*(1+'Escalators &amp; overheads'!I$5)*(1-'Escalators &amp; overheads'!I$9)</f>
        <v>771.42003597587927</v>
      </c>
    </row>
    <row r="242" spans="1:11" ht="30">
      <c r="A242" s="269" t="str">
        <f>'ERG Service assumptions'!B244</f>
        <v>EE_254</v>
      </c>
      <c r="B242" s="270" t="str">
        <f>VLOOKUP($A242,'ERG Service assumptions'!$B:$AR,'ERG Service assumptions'!D$3,FALSE)</f>
        <v>Auxiliary metering services</v>
      </c>
      <c r="C242" s="270" t="str">
        <f>VLOOKUP($A242,'ERG Service assumptions'!$B:$AR,'ERG Service assumptions'!E$3,FALSE)</f>
        <v xml:space="preserve">Install new meter (Type 5 and 6) </v>
      </c>
      <c r="D242" s="270" t="str">
        <f>VLOOKUP($A242,'ERG Service assumptions'!$B:$AR,'ERG Service assumptions'!F$3,FALSE)</f>
        <v xml:space="preserve">Install additional/replacement meter (Type 5 and 6) – Dual element </v>
      </c>
      <c r="E242" s="129" t="str">
        <f>VLOOKUP($A242,'ERG Service assumptions'!$B:$AR,'ERG Service assumptions'!G$3,FALSE)</f>
        <v>BUSINESS HOURS</v>
      </c>
      <c r="F242" s="269" t="str">
        <f>VLOOKUP($A242,'ERG Service assumptions'!$B:$AR,'ERG Service assumptions'!H$3,FALSE)</f>
        <v>Urban/Short Rural</v>
      </c>
      <c r="G242" s="168">
        <f>VLOOKUP(A242,'ERG Service assumptions'!$B$6:$AY$315,'ERG Service assumptions'!$AY$3,FALSE)</f>
        <v>445.59748020690643</v>
      </c>
      <c r="H242" s="120">
        <f>G242*(1+'Escalators &amp; overheads'!F$5)*(1-'Escalators &amp; overheads'!F$9)</f>
        <v>460.10051513229234</v>
      </c>
      <c r="I242" s="120">
        <f>H242*(1+'Escalators &amp; overheads'!G$5)*(1-'Escalators &amp; overheads'!G$9)</f>
        <v>475.3013627546772</v>
      </c>
      <c r="J242" s="120">
        <f>I242*(1+'Escalators &amp; overheads'!H$5)*(1-'Escalators &amp; overheads'!H$9)</f>
        <v>491.13249926382758</v>
      </c>
      <c r="K242" s="120">
        <f>J242*(1+'Escalators &amp; overheads'!I$5)*(1-'Escalators &amp; overheads'!I$9)</f>
        <v>506.28773819576276</v>
      </c>
    </row>
    <row r="243" spans="1:11" ht="30">
      <c r="A243" s="269" t="str">
        <f>'ERG Service assumptions'!B245</f>
        <v>EE_255</v>
      </c>
      <c r="B243" s="270" t="str">
        <f>VLOOKUP($A243,'ERG Service assumptions'!$B:$AR,'ERG Service assumptions'!D$3,FALSE)</f>
        <v>Auxiliary metering services</v>
      </c>
      <c r="C243" s="270" t="str">
        <f>VLOOKUP($A243,'ERG Service assumptions'!$B:$AR,'ERG Service assumptions'!E$3,FALSE)</f>
        <v xml:space="preserve">Install new meter (Type 5 and 6) </v>
      </c>
      <c r="D243" s="270" t="str">
        <f>VLOOKUP($A243,'ERG Service assumptions'!$B:$AR,'ERG Service assumptions'!F$3,FALSE)</f>
        <v xml:space="preserve">Install addiitional/replacement meter (Type 5 and 6) – Dual element </v>
      </c>
      <c r="E243" s="129" t="str">
        <f>VLOOKUP($A243,'ERG Service assumptions'!$B:$AR,'ERG Service assumptions'!G$3,FALSE)</f>
        <v>BUSINESS HOURS</v>
      </c>
      <c r="F243" s="269" t="str">
        <f>VLOOKUP($A243,'ERG Service assumptions'!$B:$AR,'ERG Service assumptions'!H$3,FALSE)</f>
        <v>Long rural/Isolated</v>
      </c>
      <c r="G243" s="168">
        <f>VLOOKUP(A243,'ERG Service assumptions'!$B$6:$AY$315,'ERG Service assumptions'!$AY$3,FALSE)</f>
        <v>737.88226663255375</v>
      </c>
      <c r="H243" s="120">
        <f>G243*(1+'Escalators &amp; overheads'!F$5)*(1-'Escalators &amp; overheads'!F$9)</f>
        <v>761.89840846267748</v>
      </c>
      <c r="I243" s="120">
        <f>H243*(1+'Escalators &amp; overheads'!G$5)*(1-'Escalators &amp; overheads'!G$9)</f>
        <v>787.07008558511814</v>
      </c>
      <c r="J243" s="120">
        <f>I243*(1+'Escalators &amp; overheads'!H$5)*(1-'Escalators &amp; overheads'!H$9)</f>
        <v>813.28548268592112</v>
      </c>
      <c r="K243" s="120">
        <f>J243*(1+'Escalators &amp; overheads'!I$5)*(1-'Escalators &amp; overheads'!I$9)</f>
        <v>838.3816345969725</v>
      </c>
    </row>
    <row r="244" spans="1:11" ht="30">
      <c r="A244" s="269" t="str">
        <f>'ERG Service assumptions'!B246</f>
        <v>EE_256</v>
      </c>
      <c r="B244" s="270" t="str">
        <f>VLOOKUP($A244,'ERG Service assumptions'!$B:$AR,'ERG Service assumptions'!D$3,FALSE)</f>
        <v>Auxiliary metering services</v>
      </c>
      <c r="C244" s="270" t="str">
        <f>VLOOKUP($A244,'ERG Service assumptions'!$B:$AR,'ERG Service assumptions'!E$3,FALSE)</f>
        <v xml:space="preserve">Install new meter (Type 5 and 6) </v>
      </c>
      <c r="D244" s="270" t="str">
        <f>VLOOKUP($A244,'ERG Service assumptions'!$B:$AR,'ERG Service assumptions'!F$3,FALSE)</f>
        <v>Install addiitional/replacement meter (Type 5 and 6) – Polyphase</v>
      </c>
      <c r="E244" s="129" t="str">
        <f>VLOOKUP($A244,'ERG Service assumptions'!$B:$AR,'ERG Service assumptions'!G$3,FALSE)</f>
        <v>BUSINESS HOURS</v>
      </c>
      <c r="F244" s="269" t="str">
        <f>VLOOKUP($A244,'ERG Service assumptions'!$B:$AR,'ERG Service assumptions'!H$3,FALSE)</f>
        <v>Urban/Short Rural</v>
      </c>
      <c r="G244" s="168">
        <f>VLOOKUP(A244,'ERG Service assumptions'!$B$6:$AY$315,'ERG Service assumptions'!$AY$3,FALSE)</f>
        <v>601.11962424166074</v>
      </c>
      <c r="H244" s="120">
        <f>G244*(1+'Escalators &amp; overheads'!F$5)*(1-'Escalators &amp; overheads'!F$9)</f>
        <v>620.684499026553</v>
      </c>
      <c r="I244" s="120">
        <f>H244*(1+'Escalators &amp; overheads'!G$5)*(1-'Escalators &amp; overheads'!G$9)</f>
        <v>641.19073664414418</v>
      </c>
      <c r="J244" s="120">
        <f>I244*(1+'Escalators &amp; overheads'!H$5)*(1-'Escalators &amp; overheads'!H$9)</f>
        <v>662.54724616767226</v>
      </c>
      <c r="K244" s="120">
        <f>J244*(1+'Escalators &amp; overheads'!I$5)*(1-'Escalators &amp; overheads'!I$9)</f>
        <v>682.99195677920295</v>
      </c>
    </row>
    <row r="245" spans="1:11" ht="30">
      <c r="A245" s="269" t="str">
        <f>'ERG Service assumptions'!B247</f>
        <v>EE_257</v>
      </c>
      <c r="B245" s="270" t="str">
        <f>VLOOKUP($A245,'ERG Service assumptions'!$B:$AR,'ERG Service assumptions'!D$3,FALSE)</f>
        <v>Auxiliary metering services</v>
      </c>
      <c r="C245" s="270" t="str">
        <f>VLOOKUP($A245,'ERG Service assumptions'!$B:$AR,'ERG Service assumptions'!E$3,FALSE)</f>
        <v xml:space="preserve">Install new meter (Type 5 and 6) </v>
      </c>
      <c r="D245" s="270" t="str">
        <f>VLOOKUP($A245,'ERG Service assumptions'!$B:$AR,'ERG Service assumptions'!F$3,FALSE)</f>
        <v>Install addiitional/replacement meter (Type 5 and 6) – Polyphase</v>
      </c>
      <c r="E245" s="129" t="str">
        <f>VLOOKUP($A245,'ERG Service assumptions'!$B:$AR,'ERG Service assumptions'!G$3,FALSE)</f>
        <v>BUSINESS HOURS</v>
      </c>
      <c r="F245" s="269" t="str">
        <f>VLOOKUP($A245,'ERG Service assumptions'!$B:$AR,'ERG Service assumptions'!H$3,FALSE)</f>
        <v>Long rural/Isolated</v>
      </c>
      <c r="G245" s="168">
        <f>VLOOKUP(A245,'ERG Service assumptions'!$B$6:$AY$315,'ERG Service assumptions'!$AY$3,FALSE)</f>
        <v>893.40441066730807</v>
      </c>
      <c r="H245" s="120">
        <f>G245*(1+'Escalators &amp; overheads'!F$5)*(1-'Escalators &amp; overheads'!F$9)</f>
        <v>922.48239235693825</v>
      </c>
      <c r="I245" s="120">
        <f>H245*(1+'Escalators &amp; overheads'!G$5)*(1-'Escalators &amp; overheads'!G$9)</f>
        <v>952.95945947458529</v>
      </c>
      <c r="J245" s="120">
        <f>I245*(1+'Escalators &amp; overheads'!H$5)*(1-'Escalators &amp; overheads'!H$9)</f>
        <v>984.70022958976597</v>
      </c>
      <c r="K245" s="120">
        <f>J245*(1+'Escalators &amp; overheads'!I$5)*(1-'Escalators &amp; overheads'!I$9)</f>
        <v>1015.0858531804129</v>
      </c>
    </row>
    <row r="246" spans="1:11" ht="30">
      <c r="A246" s="269" t="str">
        <f>'ERG Service assumptions'!B248</f>
        <v>EE_258</v>
      </c>
      <c r="B246" s="270" t="str">
        <f>VLOOKUP($A246,'ERG Service assumptions'!$B:$AR,'ERG Service assumptions'!D$3,FALSE)</f>
        <v>Auxiliary metering services</v>
      </c>
      <c r="C246" s="270" t="str">
        <f>VLOOKUP($A246,'ERG Service assumptions'!$B:$AR,'ERG Service assumptions'!E$3,FALSE)</f>
        <v xml:space="preserve">Install new meter (Type 5 and 6) </v>
      </c>
      <c r="D246" s="270" t="str">
        <f>VLOOKUP($A246,'ERG Service assumptions'!$B:$AR,'ERG Service assumptions'!F$3,FALSE)</f>
        <v xml:space="preserve">Install additonal/replacement meter (CT) </v>
      </c>
      <c r="E246" s="129" t="str">
        <f>VLOOKUP($A246,'ERG Service assumptions'!$B:$AR,'ERG Service assumptions'!G$3,FALSE)</f>
        <v>BUSINESS HOURS</v>
      </c>
      <c r="F246" s="269" t="str">
        <f>VLOOKUP($A246,'ERG Service assumptions'!$B:$AR,'ERG Service assumptions'!H$3,FALSE)</f>
        <v>Urban/Short Rural</v>
      </c>
      <c r="G246" s="168">
        <f>VLOOKUP(A246,'ERG Service assumptions'!$B$6:$AY$315,'ERG Service assumptions'!$AY$3,FALSE)</f>
        <v>2190.0091557952637</v>
      </c>
      <c r="H246" s="120">
        <f>G246*(1+'Escalators &amp; overheads'!F$5)*(1-'Escalators &amp; overheads'!F$9)</f>
        <v>2261.2882376667894</v>
      </c>
      <c r="I246" s="120">
        <f>H246*(1+'Escalators &amp; overheads'!G$5)*(1-'Escalators &amp; overheads'!G$9)</f>
        <v>2335.9969084909912</v>
      </c>
      <c r="J246" s="120">
        <f>I246*(1+'Escalators &amp; overheads'!H$5)*(1-'Escalators &amp; overheads'!H$9)</f>
        <v>2413.8033042668053</v>
      </c>
      <c r="K246" s="120">
        <f>J246*(1+'Escalators &amp; overheads'!I$5)*(1-'Escalators &amp; overheads'!I$9)</f>
        <v>2488.2878188645795</v>
      </c>
    </row>
    <row r="247" spans="1:11" ht="30">
      <c r="A247" s="269" t="str">
        <f>'ERG Service assumptions'!B249</f>
        <v>EE_259</v>
      </c>
      <c r="B247" s="270" t="str">
        <f>VLOOKUP($A247,'ERG Service assumptions'!$B:$AR,'ERG Service assumptions'!D$3,FALSE)</f>
        <v>Auxiliary metering services</v>
      </c>
      <c r="C247" s="270" t="str">
        <f>VLOOKUP($A247,'ERG Service assumptions'!$B:$AR,'ERG Service assumptions'!E$3,FALSE)</f>
        <v xml:space="preserve">Install new meter (Type 5 and 6) </v>
      </c>
      <c r="D247" s="270" t="str">
        <f>VLOOKUP($A247,'ERG Service assumptions'!$B:$AR,'ERG Service assumptions'!F$3,FALSE)</f>
        <v xml:space="preserve">Install additonal/replacement meter (CT) </v>
      </c>
      <c r="E247" s="129" t="str">
        <f>VLOOKUP($A247,'ERG Service assumptions'!$B:$AR,'ERG Service assumptions'!G$3,FALSE)</f>
        <v>BUSINESS HOURS</v>
      </c>
      <c r="F247" s="269" t="str">
        <f>VLOOKUP($A247,'ERG Service assumptions'!$B:$AR,'ERG Service assumptions'!H$3,FALSE)</f>
        <v>Long rural/Isolated</v>
      </c>
      <c r="G247" s="168">
        <f>VLOOKUP(A247,'ERG Service assumptions'!$B$6:$AY$315,'ERG Service assumptions'!$AY$3,FALSE)</f>
        <v>2774.5787286465584</v>
      </c>
      <c r="H247" s="120">
        <f>G247*(1+'Escalators &amp; overheads'!F$5)*(1-'Escalators &amp; overheads'!F$9)</f>
        <v>2864.8840243275599</v>
      </c>
      <c r="I247" s="120">
        <f>H247*(1+'Escalators &amp; overheads'!G$5)*(1-'Escalators &amp; overheads'!G$9)</f>
        <v>2959.5343541518732</v>
      </c>
      <c r="J247" s="120">
        <f>I247*(1+'Escalators &amp; overheads'!H$5)*(1-'Escalators &amp; overheads'!H$9)</f>
        <v>3058.1092711109927</v>
      </c>
      <c r="K247" s="120">
        <f>J247*(1+'Escalators &amp; overheads'!I$5)*(1-'Escalators &amp; overheads'!I$9)</f>
        <v>3152.4756116669996</v>
      </c>
    </row>
    <row r="248" spans="1:11" ht="45">
      <c r="A248" s="269" t="str">
        <f>'ERG Service assumptions'!B250</f>
        <v>EE_260a</v>
      </c>
      <c r="B248" s="270" t="str">
        <f>VLOOKUP($A248,'ERG Service assumptions'!$B:$AR,'ERG Service assumptions'!D$3,FALSE)</f>
        <v>Auxiliary metering services</v>
      </c>
      <c r="C248" s="270" t="str">
        <f>VLOOKUP($A248,'ERG Service assumptions'!$B:$AR,'ERG Service assumptions'!E$3,FALSE)</f>
        <v xml:space="preserve">Removal of a meter (Type 5 &amp; 6)
</v>
      </c>
      <c r="D248" s="270" t="str">
        <f>VLOOKUP($A248,'ERG Service assumptions'!$B:$AR,'ERG Service assumptions'!F$3,FALSE)</f>
        <v>Removal of Meter</v>
      </c>
      <c r="E248" s="129" t="str">
        <f>VLOOKUP($A248,'ERG Service assumptions'!$B:$AR,'ERG Service assumptions'!G$3,FALSE)</f>
        <v>BUSINESS HOURS - NO CT</v>
      </c>
      <c r="F248" s="269" t="str">
        <f>VLOOKUP($A248,'ERG Service assumptions'!$B:$AR,'ERG Service assumptions'!H$3,FALSE)</f>
        <v>Urban/Short Rural</v>
      </c>
      <c r="G248" s="168">
        <f>VLOOKUP(A248,'ERG Service assumptions'!$B$6:$AY$315,'ERG Service assumptions'!$AY$3,FALSE)</f>
        <v>135.95058204417799</v>
      </c>
      <c r="H248" s="120">
        <f>G248*(1+'Escalators &amp; overheads'!F$5)*(1-'Escalators &amp; overheads'!F$9)</f>
        <v>140.37541864468508</v>
      </c>
      <c r="I248" s="120">
        <f>H248*(1+'Escalators &amp; overheads'!G$5)*(1-'Escalators &amp; overheads'!G$9)</f>
        <v>145.01315600547198</v>
      </c>
      <c r="J248" s="120">
        <f>I248*(1+'Escalators &amp; overheads'!H$5)*(1-'Escalators &amp; overheads'!H$9)</f>
        <v>149.84319279526815</v>
      </c>
      <c r="K248" s="120">
        <f>J248*(1+'Escalators &amp; overheads'!I$5)*(1-'Escalators &amp; overheads'!I$9)</f>
        <v>154.46701506836195</v>
      </c>
    </row>
    <row r="249" spans="1:11" ht="45">
      <c r="A249" s="269" t="str">
        <f>'ERG Service assumptions'!B251</f>
        <v>EE_261a</v>
      </c>
      <c r="B249" s="270" t="str">
        <f>VLOOKUP($A249,'ERG Service assumptions'!$B:$AR,'ERG Service assumptions'!D$3,FALSE)</f>
        <v>Auxiliary metering services</v>
      </c>
      <c r="C249" s="270" t="str">
        <f>VLOOKUP($A249,'ERG Service assumptions'!$B:$AR,'ERG Service assumptions'!E$3,FALSE)</f>
        <v xml:space="preserve">Removal of a meter (Type 5 &amp; 6)
</v>
      </c>
      <c r="D249" s="270" t="str">
        <f>VLOOKUP($A249,'ERG Service assumptions'!$B:$AR,'ERG Service assumptions'!F$3,FALSE)</f>
        <v>Removal of Meter</v>
      </c>
      <c r="E249" s="129" t="str">
        <f>VLOOKUP($A249,'ERG Service assumptions'!$B:$AR,'ERG Service assumptions'!G$3,FALSE)</f>
        <v>BUSINESS HOURS - NO CT</v>
      </c>
      <c r="F249" s="269" t="str">
        <f>VLOOKUP($A249,'ERG Service assumptions'!$B:$AR,'ERG Service assumptions'!H$3,FALSE)</f>
        <v>Long rural/Isolated</v>
      </c>
      <c r="G249" s="168">
        <f>VLOOKUP(A249,'ERG Service assumptions'!$B$6:$AY$315,'ERG Service assumptions'!$AY$3,FALSE)</f>
        <v>428.23536846982529</v>
      </c>
      <c r="H249" s="120">
        <f>G249*(1+'Escalators &amp; overheads'!F$5)*(1-'Escalators &amp; overheads'!F$9)</f>
        <v>442.17331197507025</v>
      </c>
      <c r="I249" s="120">
        <f>H249*(1+'Escalators &amp; overheads'!G$5)*(1-'Escalators &amp; overheads'!G$9)</f>
        <v>456.78187883591301</v>
      </c>
      <c r="J249" s="120">
        <f>I249*(1+'Escalators &amp; overheads'!H$5)*(1-'Escalators &amp; overheads'!H$9)</f>
        <v>471.99617621736178</v>
      </c>
      <c r="K249" s="120">
        <f>J249*(1+'Escalators &amp; overheads'!I$5)*(1-'Escalators &amp; overheads'!I$9)</f>
        <v>486.56091146957181</v>
      </c>
    </row>
    <row r="250" spans="1:11" ht="45">
      <c r="A250" s="269" t="str">
        <f>'ERG Service assumptions'!B252</f>
        <v>EE_262a</v>
      </c>
      <c r="B250" s="270" t="str">
        <f>VLOOKUP($A250,'ERG Service assumptions'!$B:$AR,'ERG Service assumptions'!D$3,FALSE)</f>
        <v>Auxiliary metering services</v>
      </c>
      <c r="C250" s="270" t="str">
        <f>VLOOKUP($A250,'ERG Service assumptions'!$B:$AR,'ERG Service assumptions'!E$3,FALSE)</f>
        <v xml:space="preserve">Removal of a meter (Type 5 &amp; 6)
</v>
      </c>
      <c r="D250" s="270" t="str">
        <f>VLOOKUP($A250,'ERG Service assumptions'!$B:$AR,'ERG Service assumptions'!F$3,FALSE)</f>
        <v>Removal of Meter</v>
      </c>
      <c r="E250" s="129" t="str">
        <f>VLOOKUP($A250,'ERG Service assumptions'!$B:$AR,'ERG Service assumptions'!G$3,FALSE)</f>
        <v>BUSINESS HOURS - CT</v>
      </c>
      <c r="F250" s="269" t="str">
        <f>VLOOKUP($A250,'ERG Service assumptions'!$B:$AR,'ERG Service assumptions'!H$3,FALSE)</f>
        <v>Urban/Short Rural</v>
      </c>
      <c r="G250" s="168">
        <f>VLOOKUP(A250,'ERG Service assumptions'!$B$6:$AY$315,'ERG Service assumptions'!$AY$3,FALSE)</f>
        <v>219.96058053777725</v>
      </c>
      <c r="H250" s="120">
        <f>G250*(1+'Escalators &amp; overheads'!F$5)*(1-'Escalators &amp; overheads'!F$9)</f>
        <v>227.11972331449641</v>
      </c>
      <c r="I250" s="120">
        <f>H250*(1+'Escalators &amp; overheads'!G$5)*(1-'Escalators &amp; overheads'!G$9)</f>
        <v>234.62332783697602</v>
      </c>
      <c r="J250" s="120">
        <f>I250*(1+'Escalators &amp; overheads'!H$5)*(1-'Escalators &amp; overheads'!H$9)</f>
        <v>242.43806228185798</v>
      </c>
      <c r="K250" s="120">
        <f>J250*(1+'Escalators &amp; overheads'!I$5)*(1-'Escalators &amp; overheads'!I$9)</f>
        <v>249.91915295613489</v>
      </c>
    </row>
    <row r="251" spans="1:11" ht="45">
      <c r="A251" s="269" t="str">
        <f>'ERG Service assumptions'!B253</f>
        <v>EE_263a</v>
      </c>
      <c r="B251" s="270" t="str">
        <f>VLOOKUP($A251,'ERG Service assumptions'!$B:$AR,'ERG Service assumptions'!D$3,FALSE)</f>
        <v>Auxiliary metering services</v>
      </c>
      <c r="C251" s="270" t="str">
        <f>VLOOKUP($A251,'ERG Service assumptions'!$B:$AR,'ERG Service assumptions'!E$3,FALSE)</f>
        <v xml:space="preserve">Removal of a meter (Type 5 &amp; 6)
</v>
      </c>
      <c r="D251" s="270" t="str">
        <f>VLOOKUP($A251,'ERG Service assumptions'!$B:$AR,'ERG Service assumptions'!F$3,FALSE)</f>
        <v>Removal of Meter</v>
      </c>
      <c r="E251" s="129" t="str">
        <f>VLOOKUP($A251,'ERG Service assumptions'!$B:$AR,'ERG Service assumptions'!G$3,FALSE)</f>
        <v>BUSINESS HOURS - CT</v>
      </c>
      <c r="F251" s="269" t="str">
        <f>VLOOKUP($A251,'ERG Service assumptions'!$B:$AR,'ERG Service assumptions'!H$3,FALSE)</f>
        <v>Long rural/Isolated</v>
      </c>
      <c r="G251" s="168">
        <f>VLOOKUP(A251,'ERG Service assumptions'!$B$6:$AY$315,'ERG Service assumptions'!$AY$3,FALSE)</f>
        <v>512.24536696342454</v>
      </c>
      <c r="H251" s="120">
        <f>G251*(1+'Escalators &amp; overheads'!F$5)*(1-'Escalators &amp; overheads'!F$9)</f>
        <v>528.9176166448816</v>
      </c>
      <c r="I251" s="120">
        <f>H251*(1+'Escalators &amp; overheads'!G$5)*(1-'Escalators &amp; overheads'!G$9)</f>
        <v>546.39205066741704</v>
      </c>
      <c r="J251" s="120">
        <f>I251*(1+'Escalators &amp; overheads'!H$5)*(1-'Escalators &amp; overheads'!H$9)</f>
        <v>564.59104570395164</v>
      </c>
      <c r="K251" s="120">
        <f>J251*(1+'Escalators &amp; overheads'!I$5)*(1-'Escalators &amp; overheads'!I$9)</f>
        <v>582.01304935734481</v>
      </c>
    </row>
    <row r="252" spans="1:11" ht="45">
      <c r="A252" s="269" t="str">
        <f>'ERG Service assumptions'!B254</f>
        <v>EE_260</v>
      </c>
      <c r="B252" s="270" t="str">
        <f>VLOOKUP($A252,'ERG Service assumptions'!$B:$AR,'ERG Service assumptions'!D$3,FALSE)</f>
        <v>Auxiliary metering services</v>
      </c>
      <c r="C252" s="270" t="str">
        <f>VLOOKUP($A252,'ERG Service assumptions'!$B:$AR,'ERG Service assumptions'!E$3,FALSE)</f>
        <v xml:space="preserve">Removal of a meter (Type 5 &amp; 6)
</v>
      </c>
      <c r="D252" s="270" t="str">
        <f>VLOOKUP($A252,'ERG Service assumptions'!$B:$AR,'ERG Service assumptions'!F$3,FALSE)</f>
        <v>Removal of Meter</v>
      </c>
      <c r="E252" s="129" t="str">
        <f>VLOOKUP($A252,'ERG Service assumptions'!$B:$AR,'ERG Service assumptions'!G$3,FALSE)</f>
        <v>AFTER HOURS - NO CT</v>
      </c>
      <c r="F252" s="269" t="str">
        <f>VLOOKUP($A252,'ERG Service assumptions'!$B:$AR,'ERG Service assumptions'!H$3,FALSE)</f>
        <v>Urban/Short Rural</v>
      </c>
      <c r="G252" s="168">
        <f>VLOOKUP(A252,'ERG Service assumptions'!$B$6:$AY$315,'ERG Service assumptions'!$AY$3,FALSE)</f>
        <v>176.14022503705104</v>
      </c>
      <c r="H252" s="120">
        <f>G252*(1+'Escalators &amp; overheads'!F$5)*(1-'Escalators &amp; overheads'!F$9)</f>
        <v>181.87312961786577</v>
      </c>
      <c r="I252" s="120">
        <f>H252*(1+'Escalators &amp; overheads'!G$5)*(1-'Escalators &amp; overheads'!G$9)</f>
        <v>187.88187257511396</v>
      </c>
      <c r="J252" s="120">
        <f>I252*(1+'Escalators &amp; overheads'!H$5)*(1-'Escalators &amp; overheads'!H$9)</f>
        <v>194.13976242228998</v>
      </c>
      <c r="K252" s="120">
        <f>J252*(1+'Escalators &amp; overheads'!I$5)*(1-'Escalators &amp; overheads'!I$9)</f>
        <v>200.13047672058855</v>
      </c>
    </row>
    <row r="253" spans="1:11" s="269" customFormat="1" ht="45">
      <c r="A253" s="269" t="str">
        <f>'ERG Service assumptions'!B255</f>
        <v>EE_261</v>
      </c>
      <c r="B253" s="270" t="str">
        <f>VLOOKUP($A253,'ERG Service assumptions'!$B:$AR,'ERG Service assumptions'!D$3,FALSE)</f>
        <v>Auxiliary metering services</v>
      </c>
      <c r="C253" s="270" t="str">
        <f>VLOOKUP($A253,'ERG Service assumptions'!$B:$AR,'ERG Service assumptions'!E$3,FALSE)</f>
        <v xml:space="preserve">Removal of a meter (Type 5 &amp; 6)
</v>
      </c>
      <c r="D253" s="270" t="str">
        <f>VLOOKUP($A253,'ERG Service assumptions'!$B:$AR,'ERG Service assumptions'!F$3,FALSE)</f>
        <v>Removal of Meter</v>
      </c>
      <c r="E253" s="129" t="str">
        <f>VLOOKUP($A253,'ERG Service assumptions'!$B:$AR,'ERG Service assumptions'!G$3,FALSE)</f>
        <v>AFTER HOURS - NO CT</v>
      </c>
      <c r="F253" s="269" t="str">
        <f>VLOOKUP($A253,'ERG Service assumptions'!$B:$AR,'ERG Service assumptions'!H$3,FALSE)</f>
        <v>Long rural/Isolated</v>
      </c>
      <c r="G253" s="168">
        <f>VLOOKUP(A253,'ERG Service assumptions'!$B$6:$AY$315,'ERG Service assumptions'!$AY$3,FALSE)</f>
        <v>560.36570159707912</v>
      </c>
      <c r="H253" s="120">
        <f>G253*(1+'Escalators &amp; overheads'!F$5)*(1-'Escalators &amp; overheads'!F$9)</f>
        <v>578.60414257182867</v>
      </c>
      <c r="I253" s="120">
        <f>H253*(1+'Escalators &amp; overheads'!G$5)*(1-'Escalators &amp; overheads'!G$9)</f>
        <v>597.72012509227011</v>
      </c>
      <c r="J253" s="120">
        <f>I253*(1+'Escalators &amp; overheads'!H$5)*(1-'Escalators &amp; overheads'!H$9)</f>
        <v>617.62873389524168</v>
      </c>
      <c r="K253" s="120">
        <f>J253*(1+'Escalators &amp; overheads'!I$5)*(1-'Escalators &amp; overheads'!I$9)</f>
        <v>636.68736073716605</v>
      </c>
    </row>
    <row r="254" spans="1:11" s="269" customFormat="1" ht="45">
      <c r="A254" s="269" t="str">
        <f>'ERG Service assumptions'!B256</f>
        <v>EE_262</v>
      </c>
      <c r="B254" s="270" t="str">
        <f>VLOOKUP($A254,'ERG Service assumptions'!$B:$AR,'ERG Service assumptions'!D$3,FALSE)</f>
        <v>Auxiliary metering services</v>
      </c>
      <c r="C254" s="270" t="str">
        <f>VLOOKUP($A254,'ERG Service assumptions'!$B:$AR,'ERG Service assumptions'!E$3,FALSE)</f>
        <v xml:space="preserve">Removal of a meter (Type 5 &amp; 6)
</v>
      </c>
      <c r="D254" s="270" t="str">
        <f>VLOOKUP($A254,'ERG Service assumptions'!$B:$AR,'ERG Service assumptions'!F$3,FALSE)</f>
        <v>Removal of Meter</v>
      </c>
      <c r="E254" s="129" t="str">
        <f>VLOOKUP($A254,'ERG Service assumptions'!$B:$AR,'ERG Service assumptions'!G$3,FALSE)</f>
        <v>AFTER HOURS - CT</v>
      </c>
      <c r="F254" s="269" t="str">
        <f>VLOOKUP($A254,'ERG Service assumptions'!$B:$AR,'ERG Service assumptions'!H$3,FALSE)</f>
        <v>Urban/Short Rural</v>
      </c>
      <c r="G254" s="168">
        <f>VLOOKUP(A254,'ERG Service assumptions'!$B$6:$AY$315,'ERG Service assumptions'!$AY$3,FALSE)</f>
        <v>287.34320727498334</v>
      </c>
      <c r="H254" s="120">
        <f>G254*(1+'Escalators &amp; overheads'!F$5)*(1-'Escalators &amp; overheads'!F$9)</f>
        <v>296.69547867639801</v>
      </c>
      <c r="I254" s="120">
        <f>H254*(1+'Escalators &amp; overheads'!G$5)*(1-'Escalators &amp; overheads'!G$9)</f>
        <v>306.4977340820754</v>
      </c>
      <c r="J254" s="120">
        <f>I254*(1+'Escalators &amp; overheads'!H$5)*(1-'Escalators &amp; overheads'!H$9)</f>
        <v>316.70643081266536</v>
      </c>
      <c r="K254" s="120">
        <f>J254*(1+'Escalators &amp; overheads'!I$5)*(1-'Escalators &amp; overheads'!I$9)</f>
        <v>326.47927548786163</v>
      </c>
    </row>
    <row r="255" spans="1:11" s="269" customFormat="1" ht="45">
      <c r="A255" s="269" t="str">
        <f>'ERG Service assumptions'!B257</f>
        <v>EE_263</v>
      </c>
      <c r="B255" s="270" t="str">
        <f>VLOOKUP($A255,'ERG Service assumptions'!$B:$AR,'ERG Service assumptions'!D$3,FALSE)</f>
        <v>Auxiliary metering services</v>
      </c>
      <c r="C255" s="270" t="str">
        <f>VLOOKUP($A255,'ERG Service assumptions'!$B:$AR,'ERG Service assumptions'!E$3,FALSE)</f>
        <v xml:space="preserve">Removal of a meter (Type 5 &amp; 6)
</v>
      </c>
      <c r="D255" s="270" t="str">
        <f>VLOOKUP($A255,'ERG Service assumptions'!$B:$AR,'ERG Service assumptions'!F$3,FALSE)</f>
        <v>Removal of Meter</v>
      </c>
      <c r="E255" s="129" t="str">
        <f>VLOOKUP($A255,'ERG Service assumptions'!$B:$AR,'ERG Service assumptions'!G$3,FALSE)</f>
        <v>AFTER HOURS - CT</v>
      </c>
      <c r="F255" s="269" t="str">
        <f>VLOOKUP($A255,'ERG Service assumptions'!$B:$AR,'ERG Service assumptions'!H$3,FALSE)</f>
        <v>Long rural/Isolated</v>
      </c>
      <c r="G255" s="168">
        <f>VLOOKUP(A255,'ERG Service assumptions'!$B$6:$AY$315,'ERG Service assumptions'!$AY$3,FALSE)</f>
        <v>671.56868383501137</v>
      </c>
      <c r="H255" s="120">
        <f>G255*(1+'Escalators &amp; overheads'!F$5)*(1-'Escalators &amp; overheads'!F$9)</f>
        <v>693.42649163036083</v>
      </c>
      <c r="I255" s="120">
        <f>H255*(1+'Escalators &amp; overheads'!G$5)*(1-'Escalators &amp; overheads'!G$9)</f>
        <v>716.33598659923143</v>
      </c>
      <c r="J255" s="120">
        <f>I255*(1+'Escalators &amp; overheads'!H$5)*(1-'Escalators &amp; overheads'!H$9)</f>
        <v>740.19540228561686</v>
      </c>
      <c r="K255" s="120">
        <f>J255*(1+'Escalators &amp; overheads'!I$5)*(1-'Escalators &amp; overheads'!I$9)</f>
        <v>763.03615950443896</v>
      </c>
    </row>
    <row r="256" spans="1:11" s="269" customFormat="1">
      <c r="A256" s="269" t="str">
        <f>'ERG Service assumptions'!B258</f>
        <v>EE_264</v>
      </c>
      <c r="B256" s="270" t="str">
        <f>VLOOKUP($A256,'ERG Service assumptions'!$B:$AR,'ERG Service assumptions'!D$3,FALSE)</f>
        <v>Auxiliary metering services</v>
      </c>
      <c r="C256" s="270" t="str">
        <f>VLOOKUP($A256,'ERG Service assumptions'!$B:$AR,'ERG Service assumptions'!E$3,FALSE)</f>
        <v>Meter test</v>
      </c>
      <c r="D256" s="270" t="str">
        <f>VLOOKUP($A256,'ERG Service assumptions'!$B:$AR,'ERG Service assumptions'!F$3,FALSE)</f>
        <v>Customer requested Meter Accuracy Testing of type 5-6 meter (physically test meter)</v>
      </c>
      <c r="E256" s="129" t="str">
        <f>VLOOKUP($A256,'ERG Service assumptions'!$B:$AR,'ERG Service assumptions'!G$3,FALSE)</f>
        <v>BUSINESS HOURS - NO CT</v>
      </c>
      <c r="F256" s="269" t="str">
        <f>VLOOKUP($A256,'ERG Service assumptions'!$B:$AR,'ERG Service assumptions'!H$3,FALSE)</f>
        <v>Urban/Short Rural</v>
      </c>
      <c r="G256" s="168">
        <f>VLOOKUP(A256,'ERG Service assumptions'!$B$6:$AY$315,'ERG Service assumptions'!$AY$3,FALSE)</f>
        <v>424.73495186592527</v>
      </c>
      <c r="H256" s="120">
        <f>G256*(1+'Escalators &amp; overheads'!F$5)*(1-'Escalators &amp; overheads'!F$9)</f>
        <v>438.55896594716137</v>
      </c>
      <c r="I256" s="120">
        <f>H256*(1+'Escalators &amp; overheads'!G$5)*(1-'Escalators &amp; overheads'!G$9)</f>
        <v>453.04812167626693</v>
      </c>
      <c r="J256" s="120">
        <f>I256*(1+'Escalators &amp; overheads'!H$5)*(1-'Escalators &amp; overheads'!H$9)</f>
        <v>468.13805665542048</v>
      </c>
      <c r="K256" s="120">
        <f>J256*(1+'Escalators &amp; overheads'!I$5)*(1-'Escalators &amp; overheads'!I$9)</f>
        <v>482.58373905758123</v>
      </c>
    </row>
    <row r="257" spans="1:11">
      <c r="A257" s="269" t="str">
        <f>'ERG Service assumptions'!B259</f>
        <v>EE_265</v>
      </c>
      <c r="B257" s="270" t="str">
        <f>VLOOKUP($A257,'ERG Service assumptions'!$B:$AR,'ERG Service assumptions'!D$3,FALSE)</f>
        <v>Auxiliary metering services</v>
      </c>
      <c r="C257" s="270" t="str">
        <f>VLOOKUP($A257,'ERG Service assumptions'!$B:$AR,'ERG Service assumptions'!E$3,FALSE)</f>
        <v>Meter test</v>
      </c>
      <c r="D257" s="270" t="str">
        <f>VLOOKUP($A257,'ERG Service assumptions'!$B:$AR,'ERG Service assumptions'!F$3,FALSE)</f>
        <v>Customer requested Meter Accuracy Testing of type 5-6 meter (physically test meter)</v>
      </c>
      <c r="E257" s="129" t="str">
        <f>VLOOKUP($A257,'ERG Service assumptions'!$B:$AR,'ERG Service assumptions'!G$3,FALSE)</f>
        <v>BUSINESS HOURS - NO CT</v>
      </c>
      <c r="F257" s="269" t="str">
        <f>VLOOKUP($A257,'ERG Service assumptions'!$B:$AR,'ERG Service assumptions'!H$3,FALSE)</f>
        <v>Long rural/Isolated</v>
      </c>
      <c r="G257" s="168">
        <f>VLOOKUP(A257,'ERG Service assumptions'!$B$6:$AY$315,'ERG Service assumptions'!$AY$3,FALSE)</f>
        <v>717.01973829157259</v>
      </c>
      <c r="H257" s="120">
        <f>G257*(1+'Escalators &amp; overheads'!F$5)*(1-'Escalators &amp; overheads'!F$9)</f>
        <v>740.35685927754662</v>
      </c>
      <c r="I257" s="120">
        <f>H257*(1+'Escalators &amp; overheads'!G$5)*(1-'Escalators &amp; overheads'!G$9)</f>
        <v>764.81684450670798</v>
      </c>
      <c r="J257" s="120">
        <f>I257*(1+'Escalators &amp; overheads'!H$5)*(1-'Escalators &amp; overheads'!H$9)</f>
        <v>790.29104007751414</v>
      </c>
      <c r="K257" s="120">
        <f>J257*(1+'Escalators &amp; overheads'!I$5)*(1-'Escalators &amp; overheads'!I$9)</f>
        <v>814.67763545879109</v>
      </c>
    </row>
    <row r="258" spans="1:11">
      <c r="A258" s="269" t="str">
        <f>'ERG Service assumptions'!B260</f>
        <v>EE_266</v>
      </c>
      <c r="B258" s="270" t="str">
        <f>VLOOKUP($A258,'ERG Service assumptions'!$B:$AR,'ERG Service assumptions'!D$3,FALSE)</f>
        <v>Auxiliary metering services</v>
      </c>
      <c r="C258" s="270" t="str">
        <f>VLOOKUP($A258,'ERG Service assumptions'!$B:$AR,'ERG Service assumptions'!E$3,FALSE)</f>
        <v>Meter test</v>
      </c>
      <c r="D258" s="270" t="str">
        <f>VLOOKUP($A258,'ERG Service assumptions'!$B:$AR,'ERG Service assumptions'!F$3,FALSE)</f>
        <v>Customer requested Meter Accuracy Testing of type 5-6 meter (physically test meter)</v>
      </c>
      <c r="E258" s="129" t="str">
        <f>VLOOKUP($A258,'ERG Service assumptions'!$B:$AR,'ERG Service assumptions'!G$3,FALSE)</f>
        <v>BUSINESS HOURS - CT</v>
      </c>
      <c r="F258" s="269" t="str">
        <f>VLOOKUP($A258,'ERG Service assumptions'!$B:$AR,'ERG Service assumptions'!H$3,FALSE)</f>
        <v>Urban/Short Rural</v>
      </c>
      <c r="G258" s="168">
        <f>VLOOKUP(A258,'ERG Service assumptions'!$B$6:$AY$315,'ERG Service assumptions'!$AY$3,FALSE)</f>
        <v>882.12272144218764</v>
      </c>
      <c r="H258" s="120">
        <f>G258*(1+'Escalators &amp; overheads'!F$5)*(1-'Escalators &amp; overheads'!F$9)</f>
        <v>910.83351359391179</v>
      </c>
      <c r="I258" s="120">
        <f>H258*(1+'Escalators &amp; overheads'!G$5)*(1-'Escalators &amp; overheads'!G$9)</f>
        <v>940.92572387001087</v>
      </c>
      <c r="J258" s="120">
        <f>I258*(1+'Escalators &amp; overheads'!H$5)*(1-'Escalators &amp; overheads'!H$9)</f>
        <v>972.26567941574251</v>
      </c>
      <c r="K258" s="120">
        <f>J258*(1+'Escalators &amp; overheads'!I$5)*(1-'Escalators &amp; overheads'!I$9)</f>
        <v>1002.2676008910113</v>
      </c>
    </row>
    <row r="259" spans="1:11">
      <c r="A259" s="269" t="str">
        <f>'ERG Service assumptions'!B261</f>
        <v>EE_267</v>
      </c>
      <c r="B259" s="270" t="str">
        <f>VLOOKUP($A259,'ERG Service assumptions'!$B:$AR,'ERG Service assumptions'!D$3,FALSE)</f>
        <v>Auxiliary metering services</v>
      </c>
      <c r="C259" s="270" t="str">
        <f>VLOOKUP($A259,'ERG Service assumptions'!$B:$AR,'ERG Service assumptions'!E$3,FALSE)</f>
        <v>Meter test</v>
      </c>
      <c r="D259" s="270" t="str">
        <f>VLOOKUP($A259,'ERG Service assumptions'!$B:$AR,'ERG Service assumptions'!F$3,FALSE)</f>
        <v>Customer requested Meter Accuracy Testing of type 5-6 meter (physically test meter)</v>
      </c>
      <c r="E259" s="129" t="str">
        <f>VLOOKUP($A259,'ERG Service assumptions'!$B:$AR,'ERG Service assumptions'!G$3,FALSE)</f>
        <v>BUSINESS HOURS - CT</v>
      </c>
      <c r="F259" s="269" t="str">
        <f>VLOOKUP($A259,'ERG Service assumptions'!$B:$AR,'ERG Service assumptions'!H$3,FALSE)</f>
        <v>Long rural/Isolated</v>
      </c>
      <c r="G259" s="168">
        <f>VLOOKUP(A259,'ERG Service assumptions'!$B$6:$AY$315,'ERG Service assumptions'!$AY$3,FALSE)</f>
        <v>1466.6922942934823</v>
      </c>
      <c r="H259" s="120">
        <f>G259*(1+'Escalators &amp; overheads'!F$5)*(1-'Escalators &amp; overheads'!F$9)</f>
        <v>1514.4293002546822</v>
      </c>
      <c r="I259" s="120">
        <f>H259*(1+'Escalators &amp; overheads'!G$5)*(1-'Escalators &amp; overheads'!G$9)</f>
        <v>1564.4631695308929</v>
      </c>
      <c r="J259" s="120">
        <f>I259*(1+'Escalators &amp; overheads'!H$5)*(1-'Escalators &amp; overheads'!H$9)</f>
        <v>1616.5716462599298</v>
      </c>
      <c r="K259" s="120">
        <f>J259*(1+'Escalators &amp; overheads'!I$5)*(1-'Escalators &amp; overheads'!I$9)</f>
        <v>1666.4553936934312</v>
      </c>
    </row>
    <row r="260" spans="1:11" ht="45">
      <c r="A260" s="269" t="str">
        <f>'ERG Service assumptions'!B262</f>
        <v>EE_268</v>
      </c>
      <c r="B260" s="270" t="str">
        <f>VLOOKUP($A260,'ERG Service assumptions'!$B:$AR,'ERG Service assumptions'!D$3,FALSE)</f>
        <v>Auxiliary metering services</v>
      </c>
      <c r="C260" s="270" t="str">
        <f>VLOOKUP($A260,'ERG Service assumptions'!$B:$AR,'ERG Service assumptions'!E$3,FALSE)</f>
        <v>Meter inspection and investigation on request</v>
      </c>
      <c r="D260" s="270" t="str">
        <f>VLOOKUP($A260,'ERG Service assumptions'!$B:$AR,'ERG Service assumptions'!F$3,FALSE)</f>
        <v>Inspection required to check reported or suspected fault and no fault in meter is found. (no physical meter test)</v>
      </c>
      <c r="E260" s="129" t="str">
        <f>VLOOKUP($A260,'ERG Service assumptions'!$B:$AR,'ERG Service assumptions'!G$3,FALSE)</f>
        <v>BUSINESS HOURS - NO CT</v>
      </c>
      <c r="F260" s="269" t="str">
        <f>VLOOKUP($A260,'ERG Service assumptions'!$B:$AR,'ERG Service assumptions'!H$3,FALSE)</f>
        <v>Urban/Short Rural</v>
      </c>
      <c r="G260" s="168">
        <f>VLOOKUP(A260,'ERG Service assumptions'!$B$6:$AY$315,'ERG Service assumptions'!$AY$3,FALSE)</f>
        <v>75.817849354521528</v>
      </c>
      <c r="H260" s="120">
        <f>G260*(1+'Escalators &amp; overheads'!F$5)*(1-'Escalators &amp; overheads'!F$9)</f>
        <v>78.285522458610203</v>
      </c>
      <c r="I260" s="120">
        <f>H260*(1+'Escalators &amp; overheads'!G$5)*(1-'Escalators &amp; overheads'!G$9)</f>
        <v>80.871927513144769</v>
      </c>
      <c r="J260" s="120">
        <f>I260*(1+'Escalators &amp; overheads'!H$5)*(1-'Escalators &amp; overheads'!H$9)</f>
        <v>83.565575426962184</v>
      </c>
      <c r="K260" s="120">
        <f>J260*(1+'Escalators &amp; overheads'!I$5)*(1-'Escalators &amp; overheads'!I$9)</f>
        <v>86.144220220329728</v>
      </c>
    </row>
    <row r="261" spans="1:11" ht="45">
      <c r="A261" s="269" t="str">
        <f>'ERG Service assumptions'!B263</f>
        <v>EE_269</v>
      </c>
      <c r="B261" s="270" t="str">
        <f>VLOOKUP($A261,'ERG Service assumptions'!$B:$AR,'ERG Service assumptions'!D$3,FALSE)</f>
        <v>Auxiliary metering services</v>
      </c>
      <c r="C261" s="270" t="str">
        <f>VLOOKUP($A261,'ERG Service assumptions'!$B:$AR,'ERG Service assumptions'!E$3,FALSE)</f>
        <v>Meter inspection and investigation on request</v>
      </c>
      <c r="D261" s="270" t="str">
        <f>VLOOKUP($A261,'ERG Service assumptions'!$B:$AR,'ERG Service assumptions'!F$3,FALSE)</f>
        <v>Inspection required to check reported or suspected fault and no fault in meter is found. (no physical meter test)</v>
      </c>
      <c r="E261" s="129" t="str">
        <f>VLOOKUP($A261,'ERG Service assumptions'!$B:$AR,'ERG Service assumptions'!G$3,FALSE)</f>
        <v>BUSINESS HOURS - NO CT</v>
      </c>
      <c r="F261" s="269" t="str">
        <f>VLOOKUP($A261,'ERG Service assumptions'!$B:$AR,'ERG Service assumptions'!H$3,FALSE)</f>
        <v>Long rural/Isolated</v>
      </c>
      <c r="G261" s="168">
        <f>VLOOKUP(A261,'ERG Service assumptions'!$B$6:$AY$315,'ERG Service assumptions'!$AY$3,FALSE)</f>
        <v>152.37935012379592</v>
      </c>
      <c r="H261" s="120">
        <f>G261*(1+'Escalators &amp; overheads'!F$5)*(1-'Escalators &amp; overheads'!F$9)</f>
        <v>157.33890024451662</v>
      </c>
      <c r="I261" s="120">
        <f>H261*(1+'Escalators &amp; overheads'!G$5)*(1-'Escalators &amp; overheads'!G$9)</f>
        <v>162.53707883599859</v>
      </c>
      <c r="J261" s="120">
        <f>I261*(1+'Escalators &amp; overheads'!H$5)*(1-'Escalators &amp; overheads'!H$9)</f>
        <v>167.95079502637134</v>
      </c>
      <c r="K261" s="120">
        <f>J261*(1+'Escalators &amp; overheads'!I$5)*(1-'Escalators &amp; overheads'!I$9)</f>
        <v>173.13337697981243</v>
      </c>
    </row>
    <row r="262" spans="1:11" ht="45">
      <c r="A262" s="269" t="str">
        <f>'ERG Service assumptions'!B264</f>
        <v>EE_270</v>
      </c>
      <c r="B262" s="270" t="str">
        <f>VLOOKUP($A262,'ERG Service assumptions'!$B:$AR,'ERG Service assumptions'!D$3,FALSE)</f>
        <v>Auxiliary metering services</v>
      </c>
      <c r="C262" s="270" t="str">
        <f>VLOOKUP($A262,'ERG Service assumptions'!$B:$AR,'ERG Service assumptions'!E$3,FALSE)</f>
        <v>Meter inspection and investigation on request</v>
      </c>
      <c r="D262" s="270" t="str">
        <f>VLOOKUP($A262,'ERG Service assumptions'!$B:$AR,'ERG Service assumptions'!F$3,FALSE)</f>
        <v>Inspection required to check reported or suspected fault and no fault in meter is found. (no physical meter test)</v>
      </c>
      <c r="E262" s="129" t="str">
        <f>VLOOKUP($A262,'ERG Service assumptions'!$B:$AR,'ERG Service assumptions'!G$3,FALSE)</f>
        <v>AFTER HOURS - NO CT</v>
      </c>
      <c r="F262" s="269" t="str">
        <f>VLOOKUP($A262,'ERG Service assumptions'!$B:$AR,'ERG Service assumptions'!H$3,FALSE)</f>
        <v>Urban/Short Rural</v>
      </c>
      <c r="G262" s="168">
        <f>VLOOKUP(A262,'ERG Service assumptions'!$B$6:$AY$315,'ERG Service assumptions'!$AY$3,FALSE)</f>
        <v>135.35846965807798</v>
      </c>
      <c r="H262" s="120">
        <f>G262*(1+'Escalators &amp; overheads'!F$5)*(1-'Escalators &amp; overheads'!F$9)</f>
        <v>139.76403454589186</v>
      </c>
      <c r="I262" s="120">
        <f>H262*(1+'Escalators &amp; overheads'!G$5)*(1-'Escalators &amp; overheads'!G$9)</f>
        <v>144.38157293663016</v>
      </c>
      <c r="J262" s="120">
        <f>I262*(1+'Escalators &amp; overheads'!H$5)*(1-'Escalators &amp; overheads'!H$9)</f>
        <v>149.19057322503329</v>
      </c>
      <c r="K262" s="120">
        <f>J262*(1+'Escalators &amp; overheads'!I$5)*(1-'Escalators &amp; overheads'!I$9)</f>
        <v>153.7942571331576</v>
      </c>
    </row>
    <row r="263" spans="1:11" ht="45">
      <c r="A263" s="269" t="str">
        <f>'ERG Service assumptions'!B265</f>
        <v>EE_271</v>
      </c>
      <c r="B263" s="270" t="str">
        <f>VLOOKUP($A263,'ERG Service assumptions'!$B:$AR,'ERG Service assumptions'!D$3,FALSE)</f>
        <v>Auxiliary metering services</v>
      </c>
      <c r="C263" s="270" t="str">
        <f>VLOOKUP($A263,'ERG Service assumptions'!$B:$AR,'ERG Service assumptions'!E$3,FALSE)</f>
        <v>Meter inspection and investigation on request</v>
      </c>
      <c r="D263" s="270" t="str">
        <f>VLOOKUP($A263,'ERG Service assumptions'!$B:$AR,'ERG Service assumptions'!F$3,FALSE)</f>
        <v>Inspection required to check reported or suspected fault and no fault in meter is found. (no physical meter test)</v>
      </c>
      <c r="E263" s="129" t="str">
        <f>VLOOKUP($A263,'ERG Service assumptions'!$B:$AR,'ERG Service assumptions'!G$3,FALSE)</f>
        <v>AFTER HOURS - NO CT</v>
      </c>
      <c r="F263" s="269" t="str">
        <f>VLOOKUP($A263,'ERG Service assumptions'!$B:$AR,'ERG Service assumptions'!H$3,FALSE)</f>
        <v>Long rural/Isolated</v>
      </c>
      <c r="G263" s="168">
        <f>VLOOKUP(A263,'ERG Service assumptions'!$B$6:$AY$315,'ERG Service assumptions'!$AY$3,FALSE)</f>
        <v>236.00304811515275</v>
      </c>
      <c r="H263" s="120">
        <f>G263*(1+'Escalators &amp; overheads'!F$5)*(1-'Escalators &amp; overheads'!F$9)</f>
        <v>243.6843313390217</v>
      </c>
      <c r="I263" s="120">
        <f>H263*(1+'Escalators &amp; overheads'!G$5)*(1-'Escalators &amp; overheads'!G$9)</f>
        <v>251.7351990664402</v>
      </c>
      <c r="J263" s="120">
        <f>I263*(1+'Escalators &amp; overheads'!H$5)*(1-'Escalators &amp; overheads'!H$9)</f>
        <v>260.11988847166691</v>
      </c>
      <c r="K263" s="120">
        <f>J263*(1+'Escalators &amp; overheads'!I$5)*(1-'Escalators &amp; overheads'!I$9)</f>
        <v>268.14660033994176</v>
      </c>
    </row>
    <row r="264" spans="1:11" ht="45">
      <c r="A264" s="269" t="str">
        <f>'ERG Service assumptions'!B266</f>
        <v>EE_272</v>
      </c>
      <c r="B264" s="270" t="str">
        <f>VLOOKUP($A264,'ERG Service assumptions'!$B:$AR,'ERG Service assumptions'!D$3,FALSE)</f>
        <v>Auxiliary metering services</v>
      </c>
      <c r="C264" s="270" t="str">
        <f>VLOOKUP($A264,'ERG Service assumptions'!$B:$AR,'ERG Service assumptions'!E$3,FALSE)</f>
        <v>Meter inspection and investigation on request</v>
      </c>
      <c r="D264" s="270" t="str">
        <f>VLOOKUP($A264,'ERG Service assumptions'!$B:$AR,'ERG Service assumptions'!F$3,FALSE)</f>
        <v>Inspection required to check reported or suspected fault and no fault in meter is found. (no physical meter test)</v>
      </c>
      <c r="E264" s="129" t="str">
        <f>VLOOKUP($A264,'ERG Service assumptions'!$B:$AR,'ERG Service assumptions'!G$3,FALSE)</f>
        <v>BUSINESS HOURS - CT</v>
      </c>
      <c r="F264" s="269" t="str">
        <f>VLOOKUP($A264,'ERG Service assumptions'!$B:$AR,'ERG Service assumptions'!H$3,FALSE)</f>
        <v>Urban/Short Rural</v>
      </c>
      <c r="G264" s="168">
        <f>VLOOKUP(A264,'ERG Service assumptions'!$B$6:$AY$315,'ERG Service assumptions'!$AY$3,FALSE)</f>
        <v>368.72828620352584</v>
      </c>
      <c r="H264" s="120">
        <f>G264*(1+'Escalators &amp; overheads'!F$5)*(1-'Escalators &amp; overheads'!F$9)</f>
        <v>380.72942950062054</v>
      </c>
      <c r="I264" s="120">
        <f>H264*(1+'Escalators &amp; overheads'!G$5)*(1-'Escalators &amp; overheads'!G$9)</f>
        <v>393.30800712193093</v>
      </c>
      <c r="J264" s="120">
        <f>I264*(1+'Escalators &amp; overheads'!H$5)*(1-'Escalators &amp; overheads'!H$9)</f>
        <v>406.40814366436064</v>
      </c>
      <c r="K264" s="120">
        <f>J264*(1+'Escalators &amp; overheads'!I$5)*(1-'Escalators &amp; overheads'!I$9)</f>
        <v>418.94898046573263</v>
      </c>
    </row>
    <row r="265" spans="1:11" ht="45">
      <c r="A265" s="269" t="str">
        <f>'ERG Service assumptions'!B267</f>
        <v>EE_273</v>
      </c>
      <c r="B265" s="270" t="str">
        <f>VLOOKUP($A265,'ERG Service assumptions'!$B:$AR,'ERG Service assumptions'!D$3,FALSE)</f>
        <v>Auxiliary metering services</v>
      </c>
      <c r="C265" s="270" t="str">
        <f>VLOOKUP($A265,'ERG Service assumptions'!$B:$AR,'ERG Service assumptions'!E$3,FALSE)</f>
        <v>Meter inspection and investigation on request</v>
      </c>
      <c r="D265" s="270" t="str">
        <f>VLOOKUP($A265,'ERG Service assumptions'!$B:$AR,'ERG Service assumptions'!F$3,FALSE)</f>
        <v>Inspection required to check reported or suspected fault and no fault in meter is found. (no physical meter test)</v>
      </c>
      <c r="E265" s="129" t="str">
        <f>VLOOKUP($A265,'ERG Service assumptions'!$B:$AR,'ERG Service assumptions'!G$3,FALSE)</f>
        <v>BUSINESS HOURS - CT</v>
      </c>
      <c r="F265" s="269" t="str">
        <f>VLOOKUP($A265,'ERG Service assumptions'!$B:$AR,'ERG Service assumptions'!H$3,FALSE)</f>
        <v>Long rural/Isolated</v>
      </c>
      <c r="G265" s="168">
        <f>VLOOKUP(A265,'ERG Service assumptions'!$B$6:$AY$315,'ERG Service assumptions'!$AY$3,FALSE)</f>
        <v>953.29785905482049</v>
      </c>
      <c r="H265" s="120">
        <f>G265*(1+'Escalators &amp; overheads'!F$5)*(1-'Escalators &amp; overheads'!F$9)</f>
        <v>984.32521616139093</v>
      </c>
      <c r="I265" s="120">
        <f>H265*(1+'Escalators &amp; overheads'!G$5)*(1-'Escalators &amp; overheads'!G$9)</f>
        <v>1016.845452782813</v>
      </c>
      <c r="J265" s="120">
        <f>I265*(1+'Escalators &amp; overheads'!H$5)*(1-'Escalators &amp; overheads'!H$9)</f>
        <v>1050.7141105085479</v>
      </c>
      <c r="K265" s="120">
        <f>J265*(1+'Escalators &amp; overheads'!I$5)*(1-'Escalators &amp; overheads'!I$9)</f>
        <v>1083.1367732681524</v>
      </c>
    </row>
    <row r="266" spans="1:11" ht="45">
      <c r="A266" s="269" t="str">
        <f>'ERG Service assumptions'!B268</f>
        <v>EE_274</v>
      </c>
      <c r="B266" s="270" t="str">
        <f>VLOOKUP($A266,'ERG Service assumptions'!$B:$AR,'ERG Service assumptions'!D$3,FALSE)</f>
        <v>Auxiliary metering services</v>
      </c>
      <c r="C266" s="270" t="str">
        <f>VLOOKUP($A266,'ERG Service assumptions'!$B:$AR,'ERG Service assumptions'!E$3,FALSE)</f>
        <v>Meter inspection and investigation on request</v>
      </c>
      <c r="D266" s="270" t="str">
        <f>VLOOKUP($A266,'ERG Service assumptions'!$B:$AR,'ERG Service assumptions'!F$3,FALSE)</f>
        <v>Inspection required to check reported or suspected fault and no fault in meter is found. (no physical meter test)</v>
      </c>
      <c r="E266" s="129" t="str">
        <f>VLOOKUP($A266,'ERG Service assumptions'!$B:$AR,'ERG Service assumptions'!G$3,FALSE)</f>
        <v>AFTER HOURS - CT</v>
      </c>
      <c r="F266" s="269" t="str">
        <f>VLOOKUP($A266,'ERG Service assumptions'!$B:$AR,'ERG Service assumptions'!H$3,FALSE)</f>
        <v>Urban/Short Rural</v>
      </c>
      <c r="G266" s="168">
        <f>VLOOKUP(A266,'ERG Service assumptions'!$B$6:$AY$315,'ERG Service assumptions'!$AY$3,FALSE)</f>
        <v>482.14015547108551</v>
      </c>
      <c r="H266" s="120">
        <f>G266*(1+'Escalators &amp; overheads'!F$5)*(1-'Escalators &amp; overheads'!F$9)</f>
        <v>497.83255909617168</v>
      </c>
      <c r="I266" s="120">
        <f>H266*(1+'Escalators &amp; overheads'!G$5)*(1-'Escalators &amp; overheads'!G$9)</f>
        <v>514.28000182530434</v>
      </c>
      <c r="J266" s="120">
        <f>I266*(1+'Escalators &amp; overheads'!H$5)*(1-'Escalators &amp; overheads'!H$9)</f>
        <v>531.40942233787439</v>
      </c>
      <c r="K266" s="120">
        <f>J266*(1+'Escalators &amp; overheads'!I$5)*(1-'Escalators &amp; overheads'!I$9)</f>
        <v>547.80751608708454</v>
      </c>
    </row>
    <row r="267" spans="1:11" ht="45">
      <c r="A267" s="269" t="str">
        <f>'ERG Service assumptions'!B269</f>
        <v>EE_275</v>
      </c>
      <c r="B267" s="270" t="str">
        <f>VLOOKUP($A267,'ERG Service assumptions'!$B:$AR,'ERG Service assumptions'!D$3,FALSE)</f>
        <v>Auxiliary metering services</v>
      </c>
      <c r="C267" s="270" t="str">
        <f>VLOOKUP($A267,'ERG Service assumptions'!$B:$AR,'ERG Service assumptions'!E$3,FALSE)</f>
        <v>Meter inspection and investigation on request</v>
      </c>
      <c r="D267" s="270" t="str">
        <f>VLOOKUP($A267,'ERG Service assumptions'!$B:$AR,'ERG Service assumptions'!F$3,FALSE)</f>
        <v>Inspection required to check reported or suspected fault and no fault in meter is found. (no physical meter test)</v>
      </c>
      <c r="E267" s="129" t="str">
        <f>VLOOKUP($A267,'ERG Service assumptions'!$B:$AR,'ERG Service assumptions'!G$3,FALSE)</f>
        <v>AFTER HOURS - CT</v>
      </c>
      <c r="F267" s="269" t="str">
        <f>VLOOKUP($A267,'ERG Service assumptions'!$B:$AR,'ERG Service assumptions'!H$3,FALSE)</f>
        <v>Long rural/Isolated</v>
      </c>
      <c r="G267" s="168">
        <f>VLOOKUP(A267,'ERG Service assumptions'!$B$6:$AY$315,'ERG Service assumptions'!$AY$3,FALSE)</f>
        <v>1250.5911085911416</v>
      </c>
      <c r="H267" s="120">
        <f>G267*(1+'Escalators &amp; overheads'!F$5)*(1-'Escalators &amp; overheads'!F$9)</f>
        <v>1291.2945850040974</v>
      </c>
      <c r="I267" s="120">
        <f>H267*(1+'Escalators &amp; overheads'!G$5)*(1-'Escalators &amp; overheads'!G$9)</f>
        <v>1333.9565068596164</v>
      </c>
      <c r="J267" s="120">
        <f>I267*(1+'Escalators &amp; overheads'!H$5)*(1-'Escalators &amp; overheads'!H$9)</f>
        <v>1378.3873652837779</v>
      </c>
      <c r="K267" s="120">
        <f>J267*(1+'Escalators &amp; overheads'!I$5)*(1-'Escalators &amp; overheads'!I$9)</f>
        <v>1420.9212841202395</v>
      </c>
    </row>
    <row r="268" spans="1:11" ht="60">
      <c r="A268" s="269" t="str">
        <f>'ERG Service assumptions'!B270</f>
        <v>EE_276</v>
      </c>
      <c r="B268" s="270" t="str">
        <f>VLOOKUP($A268,'ERG Service assumptions'!$B:$AR,'ERG Service assumptions'!D$3,FALSE)</f>
        <v>Auxiliary metering services</v>
      </c>
      <c r="C268" s="270" t="str">
        <f>VLOOKUP($A268,'ERG Service assumptions'!$B:$AR,'ERG Service assumptions'!E$3,FALSE)</f>
        <v>Meter inspection and investigation on request</v>
      </c>
      <c r="D268" s="270" t="str">
        <f>VLOOKUP($A268,'ERG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8" s="129" t="str">
        <f>VLOOKUP($A268,'ERG Service assumptions'!$B:$AR,'ERG Service assumptions'!G$3,FALSE)</f>
        <v>BUSINESS HOURS</v>
      </c>
      <c r="F268" s="269" t="str">
        <f>VLOOKUP($A268,'ERG Service assumptions'!$B:$AR,'ERG Service assumptions'!H$3,FALSE)</f>
        <v>Urban/Short Rural</v>
      </c>
      <c r="G268" s="168">
        <f>VLOOKUP(A268,'ERG Service assumptions'!$B$6:$AY$315,'ERG Service assumptions'!$AY$3,FALSE)</f>
        <v>141.78460971734464</v>
      </c>
      <c r="H268" s="120">
        <f>G268*(1+'Escalators &amp; overheads'!F$5)*(1-'Escalators &amp; overheads'!F$9)</f>
        <v>146.3993286911998</v>
      </c>
      <c r="I268" s="120">
        <f>H268*(1+'Escalators &amp; overheads'!G$5)*(1-'Escalators &amp; overheads'!G$9)</f>
        <v>151.23608460488205</v>
      </c>
      <c r="J268" s="120">
        <f>I268*(1+'Escalators &amp; overheads'!H$5)*(1-'Escalators &amp; overheads'!H$9)</f>
        <v>156.2733920651703</v>
      </c>
      <c r="K268" s="120">
        <f>J268*(1+'Escalators &amp; overheads'!I$5)*(1-'Escalators &amp; overheads'!I$9)</f>
        <v>161.09563575501295</v>
      </c>
    </row>
    <row r="269" spans="1:11" ht="60">
      <c r="A269" s="269" t="str">
        <f>'ERG Service assumptions'!B271</f>
        <v>EE_277</v>
      </c>
      <c r="B269" s="270" t="str">
        <f>VLOOKUP($A269,'ERG Service assumptions'!$B:$AR,'ERG Service assumptions'!D$3,FALSE)</f>
        <v>Auxiliary metering services</v>
      </c>
      <c r="C269" s="270" t="str">
        <f>VLOOKUP($A269,'ERG Service assumptions'!$B:$AR,'ERG Service assumptions'!E$3,FALSE)</f>
        <v>Meter inspection and investigation on request</v>
      </c>
      <c r="D269" s="270" t="str">
        <f>VLOOKUP($A269,'ERG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9" s="129" t="str">
        <f>VLOOKUP($A269,'ERG Service assumptions'!$B:$AR,'ERG Service assumptions'!G$3,FALSE)</f>
        <v>BUSINESS HOURS</v>
      </c>
      <c r="F269" s="269" t="str">
        <f>VLOOKUP($A269,'ERG Service assumptions'!$B:$AR,'ERG Service assumptions'!H$3,FALSE)</f>
        <v>Long rural/Isolated</v>
      </c>
      <c r="G269" s="168">
        <f>VLOOKUP(A269,'ERG Service assumptions'!$B$6:$AY$315,'ERG Service assumptions'!$AY$3,FALSE)</f>
        <v>434.06939614299193</v>
      </c>
      <c r="H269" s="120">
        <f>G269*(1+'Escalators &amp; overheads'!F$5)*(1-'Escalators &amp; overheads'!F$9)</f>
        <v>448.19722202158499</v>
      </c>
      <c r="I269" s="120">
        <f>H269*(1+'Escalators &amp; overheads'!G$5)*(1-'Escalators &amp; overheads'!G$9)</f>
        <v>463.00480743532307</v>
      </c>
      <c r="J269" s="120">
        <f>I269*(1+'Escalators &amp; overheads'!H$5)*(1-'Escalators &amp; overheads'!H$9)</f>
        <v>478.42637548726395</v>
      </c>
      <c r="K269" s="120">
        <f>J269*(1+'Escalators &amp; overheads'!I$5)*(1-'Escalators &amp; overheads'!I$9)</f>
        <v>493.18953215622281</v>
      </c>
    </row>
    <row r="270" spans="1:11" ht="60">
      <c r="A270" s="269" t="str">
        <f>'ERG Service assumptions'!B272</f>
        <v>EE_278</v>
      </c>
      <c r="B270" s="270" t="str">
        <f>VLOOKUP($A270,'ERG Service assumptions'!$B:$AR,'ERG Service assumptions'!D$3,FALSE)</f>
        <v>Auxiliary metering services</v>
      </c>
      <c r="C270" s="270" t="str">
        <f>VLOOKUP($A270,'ERG Service assumptions'!$B:$AR,'ERG Service assumptions'!E$3,FALSE)</f>
        <v>Meter inspection and investigation on request</v>
      </c>
      <c r="D270" s="270" t="str">
        <f>VLOOKUP($A270,'ERG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0" s="129" t="str">
        <f>VLOOKUP($A270,'ERG Service assumptions'!$B:$AR,'ERG Service assumptions'!G$3,FALSE)</f>
        <v>AFTER HOURS</v>
      </c>
      <c r="F270" s="269" t="str">
        <f>VLOOKUP($A270,'ERG Service assumptions'!$B:$AR,'ERG Service assumptions'!H$3,FALSE)</f>
        <v>Urban/Short Rural</v>
      </c>
      <c r="G270" s="168">
        <f>VLOOKUP(A270,'ERG Service assumptions'!$B$6:$AY$315,'ERG Service assumptions'!$AY$3,FALSE)</f>
        <v>183.80939622587397</v>
      </c>
      <c r="H270" s="120">
        <f>G270*(1+'Escalators &amp; overheads'!F$5)*(1-'Escalators &amp; overheads'!F$9)</f>
        <v>189.79191231155767</v>
      </c>
      <c r="I270" s="120">
        <f>H270*(1+'Escalators &amp; overheads'!G$5)*(1-'Escalators &amp; overheads'!G$9)</f>
        <v>196.06227681697339</v>
      </c>
      <c r="J270" s="120">
        <f>I270*(1+'Escalators &amp; overheads'!H$5)*(1-'Escalators &amp; overheads'!H$9)</f>
        <v>202.59263610438487</v>
      </c>
      <c r="K270" s="120">
        <f>J270*(1+'Escalators &amp; overheads'!I$5)*(1-'Escalators &amp; overheads'!I$9)</f>
        <v>208.84418698040054</v>
      </c>
    </row>
    <row r="271" spans="1:11" ht="60">
      <c r="A271" s="269" t="str">
        <f>'ERG Service assumptions'!B273</f>
        <v>EE_279</v>
      </c>
      <c r="B271" s="270" t="str">
        <f>VLOOKUP($A271,'ERG Service assumptions'!$B:$AR,'ERG Service assumptions'!D$3,FALSE)</f>
        <v>Auxiliary metering services</v>
      </c>
      <c r="C271" s="270" t="str">
        <f>VLOOKUP($A271,'ERG Service assumptions'!$B:$AR,'ERG Service assumptions'!E$3,FALSE)</f>
        <v>Meter inspection and investigation on request</v>
      </c>
      <c r="D271" s="270" t="str">
        <f>VLOOKUP($A271,'ERG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1" s="129" t="str">
        <f>VLOOKUP($A271,'ERG Service assumptions'!$B:$AR,'ERG Service assumptions'!G$3,FALSE)</f>
        <v>AFTER HOURS</v>
      </c>
      <c r="F271" s="269" t="str">
        <f>VLOOKUP($A271,'ERG Service assumptions'!$B:$AR,'ERG Service assumptions'!H$3,FALSE)</f>
        <v>Long rural/Isolated</v>
      </c>
      <c r="G271" s="168">
        <f>VLOOKUP(A271,'ERG Service assumptions'!$B$6:$AY$315,'ERG Service assumptions'!$AY$3,FALSE)</f>
        <v>568.03487278590205</v>
      </c>
      <c r="H271" s="120">
        <f>G271*(1+'Escalators &amp; overheads'!F$5)*(1-'Escalators &amp; overheads'!F$9)</f>
        <v>586.5229252655206</v>
      </c>
      <c r="I271" s="120">
        <f>H271*(1+'Escalators &amp; overheads'!G$5)*(1-'Escalators &amp; overheads'!G$9)</f>
        <v>605.9005293341296</v>
      </c>
      <c r="J271" s="120">
        <f>I271*(1+'Escalators &amp; overheads'!H$5)*(1-'Escalators &amp; overheads'!H$9)</f>
        <v>626.08160757733674</v>
      </c>
      <c r="K271" s="120">
        <f>J271*(1+'Escalators &amp; overheads'!I$5)*(1-'Escalators &amp; overheads'!I$9)</f>
        <v>645.40107099697821</v>
      </c>
    </row>
    <row r="272" spans="1:11" ht="60">
      <c r="A272" s="269" t="str">
        <f>'ERG Service assumptions'!B274</f>
        <v>EE_280</v>
      </c>
      <c r="B272" s="270" t="str">
        <f>VLOOKUP($A272,'ERG Service assumptions'!$B:$AR,'ERG Service assumptions'!D$3,FALSE)</f>
        <v>Auxiliary metering services</v>
      </c>
      <c r="C272" s="270" t="str">
        <f>VLOOKUP($A272,'ERG Service assumptions'!$B:$AR,'ERG Service assumptions'!E$3,FALSE)</f>
        <v>Meter inspection and investigation on request</v>
      </c>
      <c r="D272" s="270" t="str">
        <f>VLOOKUP($A272,'ERG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2" s="129" t="str">
        <f>VLOOKUP($A272,'ERG Service assumptions'!$B:$AR,'ERG Service assumptions'!G$3,FALSE)</f>
        <v>BUSINESS HOURS</v>
      </c>
      <c r="F272" s="269" t="str">
        <f>VLOOKUP($A272,'ERG Service assumptions'!$B:$AR,'ERG Service assumptions'!H$3,FALSE)</f>
        <v>Urban/Short Rural</v>
      </c>
      <c r="G272" s="168">
        <f>VLOOKUP(A272,'ERG Service assumptions'!$B$6:$AY$315,'ERG Service assumptions'!$AY$3,FALSE)</f>
        <v>84.027735752995156</v>
      </c>
      <c r="H272" s="120">
        <f>G272*(1+'Escalators &amp; overheads'!F$5)*(1-'Escalators &amp; overheads'!F$9)</f>
        <v>86.762619230704502</v>
      </c>
      <c r="I272" s="120">
        <f>H272*(1+'Escalators &amp; overheads'!G$5)*(1-'Escalators &amp; overheads'!G$9)</f>
        <v>89.629091470723026</v>
      </c>
      <c r="J272" s="120">
        <f>I272*(1+'Escalators &amp; overheads'!H$5)*(1-'Escalators &amp; overheads'!H$9)</f>
        <v>92.614419293139804</v>
      </c>
      <c r="K272" s="120">
        <f>J272*(1+'Escalators &amp; overheads'!I$5)*(1-'Escalators &amp; overheads'!I$9)</f>
        <v>95.472290957169065</v>
      </c>
    </row>
    <row r="273" spans="1:11" ht="60">
      <c r="A273" s="269" t="str">
        <f>'ERG Service assumptions'!B275</f>
        <v>EE_281</v>
      </c>
      <c r="B273" s="270" t="str">
        <f>VLOOKUP($A273,'ERG Service assumptions'!$B:$AR,'ERG Service assumptions'!D$3,FALSE)</f>
        <v>Auxiliary metering services</v>
      </c>
      <c r="C273" s="270" t="str">
        <f>VLOOKUP($A273,'ERG Service assumptions'!$B:$AR,'ERG Service assumptions'!E$3,FALSE)</f>
        <v>Meter inspection and investigation on request</v>
      </c>
      <c r="D273" s="270" t="str">
        <f>VLOOKUP($A273,'ERG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3" s="129" t="str">
        <f>VLOOKUP($A273,'ERG Service assumptions'!$B:$AR,'ERG Service assumptions'!G$3,FALSE)</f>
        <v>BUSINESS HOURS</v>
      </c>
      <c r="F273" s="269" t="str">
        <f>VLOOKUP($A273,'ERG Service assumptions'!$B:$AR,'ERG Service assumptions'!H$3,FALSE)</f>
        <v>Long rural/Isolated</v>
      </c>
      <c r="G273" s="168">
        <f>VLOOKUP(A273,'ERG Service assumptions'!$B$6:$AY$315,'ERG Service assumptions'!$AY$3,FALSE)</f>
        <v>84.027735752995156</v>
      </c>
      <c r="H273" s="120">
        <f>G273*(1+'Escalators &amp; overheads'!F$5)*(1-'Escalators &amp; overheads'!F$9)</f>
        <v>86.762619230704502</v>
      </c>
      <c r="I273" s="120">
        <f>H273*(1+'Escalators &amp; overheads'!G$5)*(1-'Escalators &amp; overheads'!G$9)</f>
        <v>89.629091470723026</v>
      </c>
      <c r="J273" s="120">
        <f>I273*(1+'Escalators &amp; overheads'!H$5)*(1-'Escalators &amp; overheads'!H$9)</f>
        <v>92.614419293139804</v>
      </c>
      <c r="K273" s="120">
        <f>J273*(1+'Escalators &amp; overheads'!I$5)*(1-'Escalators &amp; overheads'!I$9)</f>
        <v>95.472290957169065</v>
      </c>
    </row>
    <row r="274" spans="1:11" ht="60">
      <c r="A274" s="269" t="str">
        <f>'ERG Service assumptions'!B276</f>
        <v>EE_282</v>
      </c>
      <c r="B274" s="270" t="str">
        <f>VLOOKUP($A274,'ERG Service assumptions'!$B:$AR,'ERG Service assumptions'!D$3,FALSE)</f>
        <v>Auxiliary metering services</v>
      </c>
      <c r="C274" s="270" t="str">
        <f>VLOOKUP($A274,'ERG Service assumptions'!$B:$AR,'ERG Service assumptions'!E$3,FALSE)</f>
        <v>Meter inspection and investigation on request</v>
      </c>
      <c r="D274" s="270" t="str">
        <f>VLOOKUP($A274,'ERG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4" s="129" t="str">
        <f>VLOOKUP($A274,'ERG Service assumptions'!$B:$AR,'ERG Service assumptions'!G$3,FALSE)</f>
        <v>AFTER HOURS</v>
      </c>
      <c r="F274" s="269" t="str">
        <f>VLOOKUP($A274,'ERG Service assumptions'!$B:$AR,'ERG Service assumptions'!H$3,FALSE)</f>
        <v>Urban/Short Rural</v>
      </c>
      <c r="G274" s="168">
        <f>VLOOKUP(A274,'ERG Service assumptions'!$B$6:$AY$315,'ERG Service assumptions'!$AY$3,FALSE)</f>
        <v>107.88460145652708</v>
      </c>
      <c r="H274" s="120">
        <f>G274*(1+'Escalators &amp; overheads'!F$5)*(1-'Escalators &amp; overheads'!F$9)</f>
        <v>111.39596364400809</v>
      </c>
      <c r="I274" s="120">
        <f>H274*(1+'Escalators &amp; overheads'!G$5)*(1-'Escalators &amp; overheads'!G$9)</f>
        <v>115.07627482256527</v>
      </c>
      <c r="J274" s="120">
        <f>I274*(1+'Escalators &amp; overheads'!H$5)*(1-'Escalators &amp; overheads'!H$9)</f>
        <v>118.90918665164588</v>
      </c>
      <c r="K274" s="120">
        <f>J274*(1+'Escalators &amp; overheads'!I$5)*(1-'Escalators &amp; overheads'!I$9)</f>
        <v>122.57845540826244</v>
      </c>
    </row>
    <row r="275" spans="1:11" ht="60">
      <c r="A275" s="269" t="str">
        <f>'ERG Service assumptions'!B277</f>
        <v>EE_283</v>
      </c>
      <c r="B275" s="270" t="str">
        <f>VLOOKUP($A275,'ERG Service assumptions'!$B:$AR,'ERG Service assumptions'!D$3,FALSE)</f>
        <v>Auxiliary metering services</v>
      </c>
      <c r="C275" s="270" t="str">
        <f>VLOOKUP($A275,'ERG Service assumptions'!$B:$AR,'ERG Service assumptions'!E$3,FALSE)</f>
        <v>Meter inspection and investigation on request</v>
      </c>
      <c r="D275" s="270" t="str">
        <f>VLOOKUP($A275,'ERG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5" s="129" t="str">
        <f>VLOOKUP($A275,'ERG Service assumptions'!$B:$AR,'ERG Service assumptions'!G$3,FALSE)</f>
        <v>AFTER HOURS</v>
      </c>
      <c r="F275" s="269" t="str">
        <f>VLOOKUP($A275,'ERG Service assumptions'!$B:$AR,'ERG Service assumptions'!H$3,FALSE)</f>
        <v>Long rural/Isolated</v>
      </c>
      <c r="G275" s="168">
        <f>VLOOKUP(A275,'ERG Service assumptions'!$B$6:$AY$315,'ERG Service assumptions'!$AY$3,FALSE)</f>
        <v>107.88460145652708</v>
      </c>
      <c r="H275" s="120">
        <f>G275*(1+'Escalators &amp; overheads'!F$5)*(1-'Escalators &amp; overheads'!F$9)</f>
        <v>111.39596364400809</v>
      </c>
      <c r="I275" s="120">
        <f>H275*(1+'Escalators &amp; overheads'!G$5)*(1-'Escalators &amp; overheads'!G$9)</f>
        <v>115.07627482256527</v>
      </c>
      <c r="J275" s="120">
        <f>I275*(1+'Escalators &amp; overheads'!H$5)*(1-'Escalators &amp; overheads'!H$9)</f>
        <v>118.90918665164588</v>
      </c>
      <c r="K275" s="120">
        <f>J275*(1+'Escalators &amp; overheads'!I$5)*(1-'Escalators &amp; overheads'!I$9)</f>
        <v>122.57845540826244</v>
      </c>
    </row>
    <row r="276" spans="1:11" ht="30">
      <c r="A276" s="269" t="str">
        <f>'ERG Service assumptions'!B278</f>
        <v>EE_284</v>
      </c>
      <c r="B276" s="270" t="str">
        <f>VLOOKUP($A276,'ERG Service assumptions'!$B:$AR,'ERG Service assumptions'!D$3,FALSE)</f>
        <v>Auxiliary metering services</v>
      </c>
      <c r="C276" s="270" t="str">
        <f>VLOOKUP($A276,'ERG Service assumptions'!$B:$AR,'ERG Service assumptions'!E$3,FALSE)</f>
        <v>Meter reconfiguration</v>
      </c>
      <c r="D276" s="270" t="str">
        <f>VLOOKUP($A276,'ERG Service assumptions'!$B:$AR,'ERG Service assumptions'!F$3,FALSE)</f>
        <v>A request to make a change from one tariff to another tariff (Controlled Load)</v>
      </c>
      <c r="E276" s="129" t="str">
        <f>VLOOKUP($A276,'ERG Service assumptions'!$B:$AR,'ERG Service assumptions'!G$3,FALSE)</f>
        <v>BUSINESS HOURS - NO CT</v>
      </c>
      <c r="F276" s="269" t="str">
        <f>VLOOKUP($A276,'ERG Service assumptions'!$B:$AR,'ERG Service assumptions'!H$3,FALSE)</f>
        <v>Urban/Short Rural</v>
      </c>
      <c r="G276" s="168">
        <f>VLOOKUP(A276,'ERG Service assumptions'!$B$6:$AY$315,'ERG Service assumptions'!$AY$3,FALSE)</f>
        <v>98.95456569154716</v>
      </c>
      <c r="H276" s="120">
        <f>G276*(1+'Escalators &amp; overheads'!F$5)*(1-'Escalators &amp; overheads'!F$9)</f>
        <v>102.17527852319179</v>
      </c>
      <c r="I276" s="120">
        <f>H276*(1+'Escalators &amp; overheads'!G$5)*(1-'Escalators &amp; overheads'!G$9)</f>
        <v>105.55095576875887</v>
      </c>
      <c r="J276" s="120">
        <f>I276*(1+'Escalators &amp; overheads'!H$5)*(1-'Escalators &amp; overheads'!H$9)</f>
        <v>109.06660230459467</v>
      </c>
      <c r="K276" s="120">
        <f>J276*(1+'Escalators &amp; overheads'!I$5)*(1-'Escalators &amp; overheads'!I$9)</f>
        <v>112.43215115322128</v>
      </c>
    </row>
    <row r="277" spans="1:11" ht="30">
      <c r="A277" s="269" t="str">
        <f>'ERG Service assumptions'!B279</f>
        <v>EE_285</v>
      </c>
      <c r="B277" s="270" t="str">
        <f>VLOOKUP($A277,'ERG Service assumptions'!$B:$AR,'ERG Service assumptions'!D$3,FALSE)</f>
        <v>Auxiliary metering services</v>
      </c>
      <c r="C277" s="270" t="str">
        <f>VLOOKUP($A277,'ERG Service assumptions'!$B:$AR,'ERG Service assumptions'!E$3,FALSE)</f>
        <v>Meter reconfiguration</v>
      </c>
      <c r="D277" s="270" t="str">
        <f>VLOOKUP($A277,'ERG Service assumptions'!$B:$AR,'ERG Service assumptions'!F$3,FALSE)</f>
        <v>A request to make a change from one tariff to another tariff (Controlled Load)</v>
      </c>
      <c r="E277" s="129" t="str">
        <f>VLOOKUP($A277,'ERG Service assumptions'!$B:$AR,'ERG Service assumptions'!G$3,FALSE)</f>
        <v>BUSINESS HOURS - NO CT</v>
      </c>
      <c r="F277" s="269" t="str">
        <f>VLOOKUP($A277,'ERG Service assumptions'!$B:$AR,'ERG Service assumptions'!H$3,FALSE)</f>
        <v>Long rural/Isolated</v>
      </c>
      <c r="G277" s="168">
        <f>VLOOKUP(A277,'ERG Service assumptions'!$B$6:$AY$315,'ERG Service assumptions'!$AY$3,FALSE)</f>
        <v>186.72113037669754</v>
      </c>
      <c r="H277" s="120">
        <f>G277*(1+'Escalators &amp; overheads'!F$5)*(1-'Escalators &amp; overheads'!F$9)</f>
        <v>192.79841580906432</v>
      </c>
      <c r="I277" s="120">
        <f>H277*(1+'Escalators &amp; overheads'!G$5)*(1-'Escalators &amp; overheads'!G$9)</f>
        <v>199.16810948286542</v>
      </c>
      <c r="J277" s="120">
        <f>I277*(1+'Escalators &amp; overheads'!H$5)*(1-'Escalators &amp; overheads'!H$9)</f>
        <v>205.80191652944879</v>
      </c>
      <c r="K277" s="120">
        <f>J277*(1+'Escalators &amp; overheads'!I$5)*(1-'Escalators &amp; overheads'!I$9)</f>
        <v>212.15249854617358</v>
      </c>
    </row>
    <row r="278" spans="1:11" ht="30">
      <c r="A278" s="269" t="str">
        <f>'ERG Service assumptions'!B280</f>
        <v>EE_286</v>
      </c>
      <c r="B278" s="270" t="str">
        <f>VLOOKUP($A278,'ERG Service assumptions'!$B:$AR,'ERG Service assumptions'!D$3,FALSE)</f>
        <v>Auxiliary metering services</v>
      </c>
      <c r="C278" s="270" t="str">
        <f>VLOOKUP($A278,'ERG Service assumptions'!$B:$AR,'ERG Service assumptions'!E$3,FALSE)</f>
        <v>Meter reconfiguration</v>
      </c>
      <c r="D278" s="270" t="str">
        <f>VLOOKUP($A278,'ERG Service assumptions'!$B:$AR,'ERG Service assumptions'!F$3,FALSE)</f>
        <v>A request to make a change from one tariff to another tariff (Controlled Load)</v>
      </c>
      <c r="E278" s="129" t="str">
        <f>VLOOKUP($A278,'ERG Service assumptions'!$B:$AR,'ERG Service assumptions'!G$3,FALSE)</f>
        <v>AFTER HOURS - NO CT</v>
      </c>
      <c r="F278" s="269" t="str">
        <f>VLOOKUP($A278,'ERG Service assumptions'!$B:$AR,'ERG Service assumptions'!H$3,FALSE)</f>
        <v>Urban/Short Rural</v>
      </c>
      <c r="G278" s="168">
        <f>VLOOKUP(A278,'ERG Service assumptions'!$B$6:$AY$315,'ERG Service assumptions'!$AY$3,FALSE)</f>
        <v>163.7854197649751</v>
      </c>
      <c r="H278" s="120">
        <f>G278*(1+'Escalators &amp; overheads'!F$5)*(1-'Escalators &amp; overheads'!F$9)</f>
        <v>169.11620768149891</v>
      </c>
      <c r="I278" s="120">
        <f>H278*(1+'Escalators &amp; overheads'!G$5)*(1-'Escalators &amp; overheads'!G$9)</f>
        <v>174.70348615412331</v>
      </c>
      <c r="J278" s="120">
        <f>I278*(1+'Escalators &amp; overheads'!H$5)*(1-'Escalators &amp; overheads'!H$9)</f>
        <v>180.52243588719594</v>
      </c>
      <c r="K278" s="120">
        <f>J278*(1+'Escalators &amp; overheads'!I$5)*(1-'Escalators &amp; overheads'!I$9)</f>
        <v>186.09295026477483</v>
      </c>
    </row>
    <row r="279" spans="1:11" ht="30">
      <c r="A279" s="269" t="str">
        <f>'ERG Service assumptions'!B281</f>
        <v>EE_287</v>
      </c>
      <c r="B279" s="270" t="str">
        <f>VLOOKUP($A279,'ERG Service assumptions'!$B:$AR,'ERG Service assumptions'!D$3,FALSE)</f>
        <v>Auxiliary metering services</v>
      </c>
      <c r="C279" s="270" t="str">
        <f>VLOOKUP($A279,'ERG Service assumptions'!$B:$AR,'ERG Service assumptions'!E$3,FALSE)</f>
        <v>Meter reconfiguration</v>
      </c>
      <c r="D279" s="270" t="str">
        <f>VLOOKUP($A279,'ERG Service assumptions'!$B:$AR,'ERG Service assumptions'!F$3,FALSE)</f>
        <v>A request to make a change from one tariff to another tariff (Controlled Load)</v>
      </c>
      <c r="E279" s="129" t="str">
        <f>VLOOKUP($A279,'ERG Service assumptions'!$B:$AR,'ERG Service assumptions'!G$3,FALSE)</f>
        <v>AFTER HOURS - NO CT</v>
      </c>
      <c r="F279" s="269" t="str">
        <f>VLOOKUP($A279,'ERG Service assumptions'!$B:$AR,'ERG Service assumptions'!H$3,FALSE)</f>
        <v>Long rural/Isolated</v>
      </c>
      <c r="G279" s="168">
        <f>VLOOKUP(A279,'ERG Service assumptions'!$B$6:$AY$315,'ERG Service assumptions'!$AY$3,FALSE)</f>
        <v>279.15971123794856</v>
      </c>
      <c r="H279" s="120">
        <f>G279*(1+'Escalators &amp; overheads'!F$5)*(1-'Escalators &amp; overheads'!F$9)</f>
        <v>288.24563120312581</v>
      </c>
      <c r="I279" s="120">
        <f>H279*(1+'Escalators &amp; overheads'!G$5)*(1-'Escalators &amp; overheads'!G$9)</f>
        <v>297.76871968842562</v>
      </c>
      <c r="J279" s="120">
        <f>I279*(1+'Escalators &amp; overheads'!H$5)*(1-'Escalators &amp; overheads'!H$9)</f>
        <v>307.68667410417072</v>
      </c>
      <c r="K279" s="120">
        <f>J279*(1+'Escalators &amp; overheads'!I$5)*(1-'Escalators &amp; overheads'!I$9)</f>
        <v>317.18118947265231</v>
      </c>
    </row>
    <row r="280" spans="1:11" ht="30">
      <c r="A280" s="269" t="str">
        <f>'ERG Service assumptions'!B282</f>
        <v>EE_288</v>
      </c>
      <c r="B280" s="270" t="str">
        <f>VLOOKUP($A280,'ERG Service assumptions'!$B:$AR,'ERG Service assumptions'!D$3,FALSE)</f>
        <v>Auxiliary metering services</v>
      </c>
      <c r="C280" s="270" t="str">
        <f>VLOOKUP($A280,'ERG Service assumptions'!$B:$AR,'ERG Service assumptions'!E$3,FALSE)</f>
        <v>Meter reconfiguration</v>
      </c>
      <c r="D280" s="270" t="str">
        <f>VLOOKUP($A280,'ERG Service assumptions'!$B:$AR,'ERG Service assumptions'!F$3,FALSE)</f>
        <v>A request to make a change from one tariff to another tariff (Controlled Load)</v>
      </c>
      <c r="E280" s="129" t="str">
        <f>VLOOKUP($A280,'ERG Service assumptions'!$B:$AR,'ERG Service assumptions'!G$3,FALSE)</f>
        <v>BUSINESS HOURS - CT</v>
      </c>
      <c r="F280" s="269" t="str">
        <f>VLOOKUP($A280,'ERG Service assumptions'!$B:$AR,'ERG Service assumptions'!H$3,FALSE)</f>
        <v>Urban/Short Rural</v>
      </c>
      <c r="G280" s="168">
        <f>VLOOKUP(A280,'ERG Service assumptions'!$B$6:$AY$315,'ERG Service assumptions'!$AY$3,FALSE)</f>
        <v>298.7199541255265</v>
      </c>
      <c r="H280" s="120">
        <f>G280*(1+'Escalators &amp; overheads'!F$5)*(1-'Escalators &amp; overheads'!F$9)</f>
        <v>308.44250894244453</v>
      </c>
      <c r="I280" s="120">
        <f>H280*(1+'Escalators &amp; overheads'!G$5)*(1-'Escalators &amp; overheads'!G$9)</f>
        <v>318.63286392901102</v>
      </c>
      <c r="J280" s="120">
        <f>I280*(1+'Escalators &amp; overheads'!H$5)*(1-'Escalators &amp; overheads'!H$9)</f>
        <v>329.2457524255359</v>
      </c>
      <c r="K280" s="120">
        <f>J280*(1+'Escalators &amp; overheads'!I$5)*(1-'Escalators &amp; overheads'!I$9)</f>
        <v>339.40553222592195</v>
      </c>
    </row>
    <row r="281" spans="1:11" ht="30">
      <c r="A281" s="269" t="str">
        <f>'ERG Service assumptions'!B283</f>
        <v>EE_289</v>
      </c>
      <c r="B281" s="270" t="str">
        <f>VLOOKUP($A281,'ERG Service assumptions'!$B:$AR,'ERG Service assumptions'!D$3,FALSE)</f>
        <v>Auxiliary metering services</v>
      </c>
      <c r="C281" s="270" t="str">
        <f>VLOOKUP($A281,'ERG Service assumptions'!$B:$AR,'ERG Service assumptions'!E$3,FALSE)</f>
        <v>Meter reconfiguration</v>
      </c>
      <c r="D281" s="270" t="str">
        <f>VLOOKUP($A281,'ERG Service assumptions'!$B:$AR,'ERG Service assumptions'!F$3,FALSE)</f>
        <v>A request to make a change from one tariff to another tariff (Controlled Load)</v>
      </c>
      <c r="E281" s="129" t="str">
        <f>VLOOKUP($A281,'ERG Service assumptions'!$B:$AR,'ERG Service assumptions'!G$3,FALSE)</f>
        <v>BUSINESS HOURS - CT</v>
      </c>
      <c r="F281" s="269" t="str">
        <f>VLOOKUP($A281,'ERG Service assumptions'!$B:$AR,'ERG Service assumptions'!H$3,FALSE)</f>
        <v>Long rural/Isolated</v>
      </c>
      <c r="G281" s="168">
        <f>VLOOKUP(A281,'ERG Service assumptions'!$B$6:$AY$315,'ERG Service assumptions'!$AY$3,FALSE)</f>
        <v>883.28952697682098</v>
      </c>
      <c r="H281" s="120">
        <f>G281*(1+'Escalators &amp; overheads'!F$5)*(1-'Escalators &amp; overheads'!F$9)</f>
        <v>912.03829560321469</v>
      </c>
      <c r="I281" s="120">
        <f>H281*(1+'Escalators &amp; overheads'!G$5)*(1-'Escalators &amp; overheads'!G$9)</f>
        <v>942.1703095898929</v>
      </c>
      <c r="J281" s="120">
        <f>I281*(1+'Escalators &amp; overheads'!H$5)*(1-'Escalators &amp; overheads'!H$9)</f>
        <v>973.55171926972298</v>
      </c>
      <c r="K281" s="120">
        <f>J281*(1+'Escalators &amp; overheads'!I$5)*(1-'Escalators &amp; overheads'!I$9)</f>
        <v>1003.5933250283416</v>
      </c>
    </row>
    <row r="282" spans="1:11" ht="30">
      <c r="A282" s="269" t="str">
        <f>'ERG Service assumptions'!B284</f>
        <v>EE_290</v>
      </c>
      <c r="B282" s="270" t="str">
        <f>VLOOKUP($A282,'ERG Service assumptions'!$B:$AR,'ERG Service assumptions'!D$3,FALSE)</f>
        <v>Auxiliary metering services</v>
      </c>
      <c r="C282" s="270" t="str">
        <f>VLOOKUP($A282,'ERG Service assumptions'!$B:$AR,'ERG Service assumptions'!E$3,FALSE)</f>
        <v>Meter reconfiguration</v>
      </c>
      <c r="D282" s="270" t="str">
        <f>VLOOKUP($A282,'ERG Service assumptions'!$B:$AR,'ERG Service assumptions'!F$3,FALSE)</f>
        <v>A request to make a change from one tariff to another tariff (Controlled Load)</v>
      </c>
      <c r="E282" s="129" t="str">
        <f>VLOOKUP($A282,'ERG Service assumptions'!$B:$AR,'ERG Service assumptions'!G$3,FALSE)</f>
        <v>AFTER HOURS - CT</v>
      </c>
      <c r="F282" s="269" t="str">
        <f>VLOOKUP($A282,'ERG Service assumptions'!$B:$AR,'ERG Service assumptions'!H$3,FALSE)</f>
        <v>Urban/Short Rural</v>
      </c>
      <c r="G282" s="168">
        <f>VLOOKUP(A282,'ERG Service assumptions'!$B$6:$AY$315,'ERG Service assumptions'!$AY$3,FALSE)</f>
        <v>390.11010120521036</v>
      </c>
      <c r="H282" s="120">
        <f>G282*(1+'Escalators &amp; overheads'!F$5)*(1-'Escalators &amp; overheads'!F$9)</f>
        <v>402.80716677186899</v>
      </c>
      <c r="I282" s="120">
        <f>H282*(1+'Escalators &amp; overheads'!G$5)*(1-'Escalators &amp; overheads'!G$9)</f>
        <v>416.11515092299129</v>
      </c>
      <c r="J282" s="120">
        <f>I282*(1+'Escalators &amp; overheads'!H$5)*(1-'Escalators &amp; overheads'!H$9)</f>
        <v>429.97493815273612</v>
      </c>
      <c r="K282" s="120">
        <f>J282*(1+'Escalators &amp; overheads'!I$5)*(1-'Escalators &amp; overheads'!I$9)</f>
        <v>443.24299296934123</v>
      </c>
    </row>
    <row r="283" spans="1:11" ht="30">
      <c r="A283" s="269" t="str">
        <f>'ERG Service assumptions'!B285</f>
        <v>EE_291</v>
      </c>
      <c r="B283" s="270" t="str">
        <f>VLOOKUP($A283,'ERG Service assumptions'!$B:$AR,'ERG Service assumptions'!D$3,FALSE)</f>
        <v>Auxiliary metering services</v>
      </c>
      <c r="C283" s="270" t="str">
        <f>VLOOKUP($A283,'ERG Service assumptions'!$B:$AR,'ERG Service assumptions'!E$3,FALSE)</f>
        <v>Meter reconfiguration</v>
      </c>
      <c r="D283" s="270" t="str">
        <f>VLOOKUP($A283,'ERG Service assumptions'!$B:$AR,'ERG Service assumptions'!F$3,FALSE)</f>
        <v>A request to make a change from one tariff to another tariff (Controlled Load)</v>
      </c>
      <c r="E283" s="129" t="str">
        <f>VLOOKUP($A283,'ERG Service assumptions'!$B:$AR,'ERG Service assumptions'!G$3,FALSE)</f>
        <v>AFTER HOURS - CT</v>
      </c>
      <c r="F283" s="269" t="str">
        <f>VLOOKUP($A283,'ERG Service assumptions'!$B:$AR,'ERG Service assumptions'!H$3,FALSE)</f>
        <v>Long rural/Isolated</v>
      </c>
      <c r="G283" s="168">
        <f>VLOOKUP(A283,'ERG Service assumptions'!$B$6:$AY$315,'ERG Service assumptions'!$AY$3,FALSE)</f>
        <v>1158.5610543252665</v>
      </c>
      <c r="H283" s="120">
        <f>G283*(1+'Escalators &amp; overheads'!F$5)*(1-'Escalators &amp; overheads'!F$9)</f>
        <v>1196.2691926797947</v>
      </c>
      <c r="I283" s="120">
        <f>H283*(1+'Escalators &amp; overheads'!G$5)*(1-'Escalators &amp; overheads'!G$9)</f>
        <v>1235.7916559573034</v>
      </c>
      <c r="J283" s="120">
        <f>I283*(1+'Escalators &amp; overheads'!H$5)*(1-'Escalators &amp; overheads'!H$9)</f>
        <v>1276.9528810986394</v>
      </c>
      <c r="K283" s="120">
        <f>J283*(1+'Escalators &amp; overheads'!I$5)*(1-'Escalators &amp; overheads'!I$9)</f>
        <v>1316.3567610024961</v>
      </c>
    </row>
    <row r="284" spans="1:11" ht="30">
      <c r="A284" s="269" t="str">
        <f>'ERG Service assumptions'!B286</f>
        <v>EE_292</v>
      </c>
      <c r="B284" s="270" t="str">
        <f>VLOOKUP($A284,'ERG Service assumptions'!$B:$AR,'ERG Service assumptions'!D$3,FALSE)</f>
        <v>Auxiliary metering services</v>
      </c>
      <c r="C284" s="270" t="str">
        <f>VLOOKUP($A284,'ERG Service assumptions'!$B:$AR,'ERG Service assumptions'!E$3,FALSE)</f>
        <v>Meter reconfiguration</v>
      </c>
      <c r="D284" s="270" t="str">
        <f>VLOOKUP($A284,'ERG Service assumptions'!$B:$AR,'ERG Service assumptions'!F$3,FALSE)</f>
        <v>A request to make a change from one tariff to another tariff</v>
      </c>
      <c r="E284" s="129" t="str">
        <f>VLOOKUP($A284,'ERG Service assumptions'!$B:$AR,'ERG Service assumptions'!G$3,FALSE)</f>
        <v>BUSINESS HOURS - NO CT</v>
      </c>
      <c r="F284" s="269" t="str">
        <f>VLOOKUP($A284,'ERG Service assumptions'!$B:$AR,'ERG Service assumptions'!H$3,FALSE)</f>
        <v>Urban/Short Rural</v>
      </c>
      <c r="G284" s="168">
        <f>VLOOKUP(A284,'ERG Service assumptions'!$B$6:$AY$315,'ERG Service assumptions'!$AY$3,FALSE)</f>
        <v>98.95456569154716</v>
      </c>
      <c r="H284" s="120">
        <f>G284*(1+'Escalators &amp; overheads'!F$5)*(1-'Escalators &amp; overheads'!F$9)</f>
        <v>102.17527852319179</v>
      </c>
      <c r="I284" s="120">
        <f>H284*(1+'Escalators &amp; overheads'!G$5)*(1-'Escalators &amp; overheads'!G$9)</f>
        <v>105.55095576875887</v>
      </c>
      <c r="J284" s="120">
        <f>I284*(1+'Escalators &amp; overheads'!H$5)*(1-'Escalators &amp; overheads'!H$9)</f>
        <v>109.06660230459467</v>
      </c>
      <c r="K284" s="120">
        <f>J284*(1+'Escalators &amp; overheads'!I$5)*(1-'Escalators &amp; overheads'!I$9)</f>
        <v>112.43215115322128</v>
      </c>
    </row>
    <row r="285" spans="1:11" ht="30">
      <c r="A285" s="269" t="str">
        <f>'ERG Service assumptions'!B287</f>
        <v>EE_293</v>
      </c>
      <c r="B285" s="270" t="str">
        <f>VLOOKUP($A285,'ERG Service assumptions'!$B:$AR,'ERG Service assumptions'!D$3,FALSE)</f>
        <v>Auxiliary metering services</v>
      </c>
      <c r="C285" s="270" t="str">
        <f>VLOOKUP($A285,'ERG Service assumptions'!$B:$AR,'ERG Service assumptions'!E$3,FALSE)</f>
        <v>Meter reconfiguration</v>
      </c>
      <c r="D285" s="270" t="str">
        <f>VLOOKUP($A285,'ERG Service assumptions'!$B:$AR,'ERG Service assumptions'!F$3,FALSE)</f>
        <v>A request to make a change from one tariff to another tariff</v>
      </c>
      <c r="E285" s="129" t="str">
        <f>VLOOKUP($A285,'ERG Service assumptions'!$B:$AR,'ERG Service assumptions'!G$3,FALSE)</f>
        <v>BUSINESS HOURS - NO CT</v>
      </c>
      <c r="F285" s="269" t="str">
        <f>VLOOKUP($A285,'ERG Service assumptions'!$B:$AR,'ERG Service assumptions'!H$3,FALSE)</f>
        <v>Long rural/Isolated</v>
      </c>
      <c r="G285" s="168">
        <f>VLOOKUP(A285,'ERG Service assumptions'!$B$6:$AY$315,'ERG Service assumptions'!$AY$3,FALSE)</f>
        <v>186.72113037669754</v>
      </c>
      <c r="H285" s="120">
        <f>G285*(1+'Escalators &amp; overheads'!F$5)*(1-'Escalators &amp; overheads'!F$9)</f>
        <v>192.79841580906432</v>
      </c>
      <c r="I285" s="120">
        <f>H285*(1+'Escalators &amp; overheads'!G$5)*(1-'Escalators &amp; overheads'!G$9)</f>
        <v>199.16810948286542</v>
      </c>
      <c r="J285" s="120">
        <f>I285*(1+'Escalators &amp; overheads'!H$5)*(1-'Escalators &amp; overheads'!H$9)</f>
        <v>205.80191652944879</v>
      </c>
      <c r="K285" s="120">
        <f>J285*(1+'Escalators &amp; overheads'!I$5)*(1-'Escalators &amp; overheads'!I$9)</f>
        <v>212.15249854617358</v>
      </c>
    </row>
    <row r="286" spans="1:11" ht="30">
      <c r="A286" s="269" t="str">
        <f>'ERG Service assumptions'!B288</f>
        <v>EE_294</v>
      </c>
      <c r="B286" s="270" t="str">
        <f>VLOOKUP($A286,'ERG Service assumptions'!$B:$AR,'ERG Service assumptions'!D$3,FALSE)</f>
        <v>Auxiliary metering services</v>
      </c>
      <c r="C286" s="270" t="str">
        <f>VLOOKUP($A286,'ERG Service assumptions'!$B:$AR,'ERG Service assumptions'!E$3,FALSE)</f>
        <v>Meter reconfiguration</v>
      </c>
      <c r="D286" s="270" t="str">
        <f>VLOOKUP($A286,'ERG Service assumptions'!$B:$AR,'ERG Service assumptions'!F$3,FALSE)</f>
        <v>A request to make a change from one tariff to another tariff</v>
      </c>
      <c r="E286" s="129" t="str">
        <f>VLOOKUP($A286,'ERG Service assumptions'!$B:$AR,'ERG Service assumptions'!G$3,FALSE)</f>
        <v>AFTER HOURS - NO CT</v>
      </c>
      <c r="F286" s="269" t="str">
        <f>VLOOKUP($A286,'ERG Service assumptions'!$B:$AR,'ERG Service assumptions'!H$3,FALSE)</f>
        <v>Urban/Short Rural</v>
      </c>
      <c r="G286" s="168">
        <f>VLOOKUP(A286,'ERG Service assumptions'!$B$6:$AY$315,'ERG Service assumptions'!$AY$3,FALSE)</f>
        <v>163.7854197649751</v>
      </c>
      <c r="H286" s="120">
        <f>G286*(1+'Escalators &amp; overheads'!F$5)*(1-'Escalators &amp; overheads'!F$9)</f>
        <v>169.11620768149891</v>
      </c>
      <c r="I286" s="120">
        <f>H286*(1+'Escalators &amp; overheads'!G$5)*(1-'Escalators &amp; overheads'!G$9)</f>
        <v>174.70348615412331</v>
      </c>
      <c r="J286" s="120">
        <f>I286*(1+'Escalators &amp; overheads'!H$5)*(1-'Escalators &amp; overheads'!H$9)</f>
        <v>180.52243588719594</v>
      </c>
      <c r="K286" s="120">
        <f>J286*(1+'Escalators &amp; overheads'!I$5)*(1-'Escalators &amp; overheads'!I$9)</f>
        <v>186.09295026477483</v>
      </c>
    </row>
    <row r="287" spans="1:11" ht="30">
      <c r="A287" s="269" t="str">
        <f>'ERG Service assumptions'!B289</f>
        <v>EE_295</v>
      </c>
      <c r="B287" s="270" t="str">
        <f>VLOOKUP($A287,'ERG Service assumptions'!$B:$AR,'ERG Service assumptions'!D$3,FALSE)</f>
        <v>Auxiliary metering services</v>
      </c>
      <c r="C287" s="270" t="str">
        <f>VLOOKUP($A287,'ERG Service assumptions'!$B:$AR,'ERG Service assumptions'!E$3,FALSE)</f>
        <v>Meter reconfiguration</v>
      </c>
      <c r="D287" s="270" t="str">
        <f>VLOOKUP($A287,'ERG Service assumptions'!$B:$AR,'ERG Service assumptions'!F$3,FALSE)</f>
        <v>A request to make a change from one tariff to another tariff</v>
      </c>
      <c r="E287" s="129" t="str">
        <f>VLOOKUP($A287,'ERG Service assumptions'!$B:$AR,'ERG Service assumptions'!G$3,FALSE)</f>
        <v>AFTER HOURS - NO CT</v>
      </c>
      <c r="F287" s="269" t="str">
        <f>VLOOKUP($A287,'ERG Service assumptions'!$B:$AR,'ERG Service assumptions'!H$3,FALSE)</f>
        <v>Long rural/Isolated</v>
      </c>
      <c r="G287" s="168">
        <f>VLOOKUP(A287,'ERG Service assumptions'!$B$6:$AY$315,'ERG Service assumptions'!$AY$3,FALSE)</f>
        <v>279.15971123794856</v>
      </c>
      <c r="H287" s="120">
        <f>G287*(1+'Escalators &amp; overheads'!F$5)*(1-'Escalators &amp; overheads'!F$9)</f>
        <v>288.24563120312581</v>
      </c>
      <c r="I287" s="120">
        <f>H287*(1+'Escalators &amp; overheads'!G$5)*(1-'Escalators &amp; overheads'!G$9)</f>
        <v>297.76871968842562</v>
      </c>
      <c r="J287" s="120">
        <f>I287*(1+'Escalators &amp; overheads'!H$5)*(1-'Escalators &amp; overheads'!H$9)</f>
        <v>307.68667410417072</v>
      </c>
      <c r="K287" s="120">
        <f>J287*(1+'Escalators &amp; overheads'!I$5)*(1-'Escalators &amp; overheads'!I$9)</f>
        <v>317.18118947265231</v>
      </c>
    </row>
    <row r="288" spans="1:11" ht="30">
      <c r="A288" s="269" t="str">
        <f>'ERG Service assumptions'!B290</f>
        <v>EE_296</v>
      </c>
      <c r="B288" s="270" t="str">
        <f>VLOOKUP($A288,'ERG Service assumptions'!$B:$AR,'ERG Service assumptions'!D$3,FALSE)</f>
        <v>Auxiliary metering services</v>
      </c>
      <c r="C288" s="270" t="str">
        <f>VLOOKUP($A288,'ERG Service assumptions'!$B:$AR,'ERG Service assumptions'!E$3,FALSE)</f>
        <v>Meter reconfiguration</v>
      </c>
      <c r="D288" s="270" t="str">
        <f>VLOOKUP($A288,'ERG Service assumptions'!$B:$AR,'ERG Service assumptions'!F$3,FALSE)</f>
        <v>A request to make a change from one tariff to another tariff</v>
      </c>
      <c r="E288" s="129" t="str">
        <f>VLOOKUP($A288,'ERG Service assumptions'!$B:$AR,'ERG Service assumptions'!G$3,FALSE)</f>
        <v>BUSINESS HOURS - CT</v>
      </c>
      <c r="F288" s="269" t="str">
        <f>VLOOKUP($A288,'ERG Service assumptions'!$B:$AR,'ERG Service assumptions'!H$3,FALSE)</f>
        <v>Urban/Short Rural</v>
      </c>
      <c r="G288" s="168">
        <f>VLOOKUP(A288,'ERG Service assumptions'!$B$6:$AY$315,'ERG Service assumptions'!$AY$3,FALSE)</f>
        <v>473.74078432052488</v>
      </c>
      <c r="H288" s="120">
        <f>G288*(1+'Escalators &amp; overheads'!F$5)*(1-'Escalators &amp; overheads'!F$9)</f>
        <v>489.15981033788472</v>
      </c>
      <c r="I288" s="120">
        <f>H288*(1+'Escalators &amp; overheads'!G$5)*(1-'Escalators &amp; overheads'!G$9)</f>
        <v>505.32072191131095</v>
      </c>
      <c r="J288" s="120">
        <f>I288*(1+'Escalators &amp; overheads'!H$5)*(1-'Escalators &amp; overheads'!H$9)</f>
        <v>522.15173052259786</v>
      </c>
      <c r="K288" s="120">
        <f>J288*(1+'Escalators &amp; overheads'!I$5)*(1-'Escalators &amp; overheads'!I$9)</f>
        <v>538.26415282544872</v>
      </c>
    </row>
    <row r="289" spans="1:11" ht="30">
      <c r="A289" s="269" t="str">
        <f>'ERG Service assumptions'!B291</f>
        <v>EE_297</v>
      </c>
      <c r="B289" s="270" t="str">
        <f>VLOOKUP($A289,'ERG Service assumptions'!$B:$AR,'ERG Service assumptions'!D$3,FALSE)</f>
        <v>Auxiliary metering services</v>
      </c>
      <c r="C289" s="270" t="str">
        <f>VLOOKUP($A289,'ERG Service assumptions'!$B:$AR,'ERG Service assumptions'!E$3,FALSE)</f>
        <v>Meter reconfiguration</v>
      </c>
      <c r="D289" s="270" t="str">
        <f>VLOOKUP($A289,'ERG Service assumptions'!$B:$AR,'ERG Service assumptions'!F$3,FALSE)</f>
        <v>A request to make a change from one tariff to another tariff</v>
      </c>
      <c r="E289" s="129" t="str">
        <f>VLOOKUP($A289,'ERG Service assumptions'!$B:$AR,'ERG Service assumptions'!G$3,FALSE)</f>
        <v>BUSINESS HOURS - CT</v>
      </c>
      <c r="F289" s="269" t="str">
        <f>VLOOKUP($A289,'ERG Service assumptions'!$B:$AR,'ERG Service assumptions'!H$3,FALSE)</f>
        <v>Long rural/Isolated</v>
      </c>
      <c r="G289" s="168">
        <f>VLOOKUP(A289,'ERG Service assumptions'!$B$6:$AY$315,'ERG Service assumptions'!$AY$3,FALSE)</f>
        <v>1058.3103571718195</v>
      </c>
      <c r="H289" s="120">
        <f>G289*(1+'Escalators &amp; overheads'!F$5)*(1-'Escalators &amp; overheads'!F$9)</f>
        <v>1092.7555969986552</v>
      </c>
      <c r="I289" s="120">
        <f>H289*(1+'Escalators &amp; overheads'!G$5)*(1-'Escalators &amp; overheads'!G$9)</f>
        <v>1128.8581675721932</v>
      </c>
      <c r="J289" s="120">
        <f>I289*(1+'Escalators &amp; overheads'!H$5)*(1-'Escalators &amp; overheads'!H$9)</f>
        <v>1166.4576973667854</v>
      </c>
      <c r="K289" s="120">
        <f>J289*(1+'Escalators &amp; overheads'!I$5)*(1-'Escalators &amp; overheads'!I$9)</f>
        <v>1202.4519456278686</v>
      </c>
    </row>
    <row r="290" spans="1:11" ht="30">
      <c r="A290" s="269" t="str">
        <f>'ERG Service assumptions'!B292</f>
        <v>EE_298</v>
      </c>
      <c r="B290" s="270" t="str">
        <f>VLOOKUP($A290,'ERG Service assumptions'!$B:$AR,'ERG Service assumptions'!D$3,FALSE)</f>
        <v>Auxiliary metering services</v>
      </c>
      <c r="C290" s="270" t="str">
        <f>VLOOKUP($A290,'ERG Service assumptions'!$B:$AR,'ERG Service assumptions'!E$3,FALSE)</f>
        <v>Meter reconfiguration</v>
      </c>
      <c r="D290" s="270" t="str">
        <f>VLOOKUP($A290,'ERG Service assumptions'!$B:$AR,'ERG Service assumptions'!F$3,FALSE)</f>
        <v>A request to make a change from one tariff to another tariff</v>
      </c>
      <c r="E290" s="129" t="str">
        <f>VLOOKUP($A290,'ERG Service assumptions'!$B:$AR,'ERG Service assumptions'!G$3,FALSE)</f>
        <v>AFTER HOURS - CT</v>
      </c>
      <c r="F290" s="269" t="str">
        <f>VLOOKUP($A290,'ERG Service assumptions'!$B:$AR,'ERG Service assumptions'!H$3,FALSE)</f>
        <v>Urban/Short Rural</v>
      </c>
      <c r="G290" s="168">
        <f>VLOOKUP(A290,'ERG Service assumptions'!$B$6:$AY$315,'ERG Service assumptions'!$AY$3,FALSE)</f>
        <v>620.18523686989784</v>
      </c>
      <c r="H290" s="120">
        <f>G290*(1+'Escalators &amp; overheads'!F$5)*(1-'Escalators &amp; overheads'!F$9)</f>
        <v>640.37064758262522</v>
      </c>
      <c r="I290" s="120">
        <f>H290*(1+'Escalators &amp; overheads'!G$5)*(1-'Escalators &amp; overheads'!G$9)</f>
        <v>661.52727817877337</v>
      </c>
      <c r="J290" s="120">
        <f>I290*(1+'Escalators &amp; overheads'!H$5)*(1-'Escalators &amp; overheads'!H$9)</f>
        <v>683.56114861558137</v>
      </c>
      <c r="K290" s="120">
        <f>J290*(1+'Escalators &amp; overheads'!I$5)*(1-'Escalators &amp; overheads'!I$9)</f>
        <v>704.65430076369898</v>
      </c>
    </row>
    <row r="291" spans="1:11" ht="30">
      <c r="A291" s="269" t="str">
        <f>'ERG Service assumptions'!B293</f>
        <v>EE_299</v>
      </c>
      <c r="B291" s="270" t="str">
        <f>VLOOKUP($A291,'ERG Service assumptions'!$B:$AR,'ERG Service assumptions'!D$3,FALSE)</f>
        <v>Auxiliary metering services</v>
      </c>
      <c r="C291" s="270" t="str">
        <f>VLOOKUP($A291,'ERG Service assumptions'!$B:$AR,'ERG Service assumptions'!E$3,FALSE)</f>
        <v>Meter reconfiguration</v>
      </c>
      <c r="D291" s="270" t="str">
        <f>VLOOKUP($A291,'ERG Service assumptions'!$B:$AR,'ERG Service assumptions'!F$3,FALSE)</f>
        <v>A request to make a change from one tariff to another tariff</v>
      </c>
      <c r="E291" s="129" t="str">
        <f>VLOOKUP($A291,'ERG Service assumptions'!$B:$AR,'ERG Service assumptions'!G$3,FALSE)</f>
        <v>AFTER HOURS - CT</v>
      </c>
      <c r="F291" s="269" t="str">
        <f>VLOOKUP($A291,'ERG Service assumptions'!$B:$AR,'ERG Service assumptions'!H$3,FALSE)</f>
        <v>Long rural/Isolated</v>
      </c>
      <c r="G291" s="168">
        <f>VLOOKUP(A291,'ERG Service assumptions'!$B$6:$AY$315,'ERG Service assumptions'!$AY$3,FALSE)</f>
        <v>1388.6361899899541</v>
      </c>
      <c r="H291" s="120">
        <f>G291*(1+'Escalators &amp; overheads'!F$5)*(1-'Escalators &amp; overheads'!F$9)</f>
        <v>1433.8326734905513</v>
      </c>
      <c r="I291" s="120">
        <f>H291*(1+'Escalators &amp; overheads'!G$5)*(1-'Escalators &amp; overheads'!G$9)</f>
        <v>1481.2037832130861</v>
      </c>
      <c r="J291" s="120">
        <f>I291*(1+'Escalators &amp; overheads'!H$5)*(1-'Escalators &amp; overheads'!H$9)</f>
        <v>1530.5390915614855</v>
      </c>
      <c r="K291" s="120">
        <f>J291*(1+'Escalators &amp; overheads'!I$5)*(1-'Escalators &amp; overheads'!I$9)</f>
        <v>1577.7680687968548</v>
      </c>
    </row>
    <row r="292" spans="1:11" ht="30">
      <c r="A292" s="269" t="str">
        <f>'ERG Service assumptions'!B294</f>
        <v>EE_300</v>
      </c>
      <c r="B292" s="270" t="str">
        <f>VLOOKUP($A292,'ERG Service assumptions'!$B:$AR,'ERG Service assumptions'!D$3,FALSE)</f>
        <v>Auxiliary metering services</v>
      </c>
      <c r="C292" s="270" t="str">
        <f>VLOOKUP($A292,'ERG Service assumptions'!$B:$AR,'ERG Service assumptions'!E$3,FALSE)</f>
        <v>Load control time switch</v>
      </c>
      <c r="D292" s="270" t="str">
        <f>VLOOKUP($A292,'ERG Service assumptions'!$B:$AR,'ERG Service assumptions'!F$3,FALSE)</f>
        <v>Change load control equipment (inc. time switch and relay install, modify and removal)</v>
      </c>
      <c r="E292" s="129" t="str">
        <f>VLOOKUP($A292,'ERG Service assumptions'!$B:$AR,'ERG Service assumptions'!G$3,FALSE)</f>
        <v>BUSINESS HOURS - NO CT</v>
      </c>
      <c r="F292" s="269" t="str">
        <f>VLOOKUP($A292,'ERG Service assumptions'!$B:$AR,'ERG Service assumptions'!H$3,FALSE)</f>
        <v>Urban/Short Rural</v>
      </c>
      <c r="G292" s="168">
        <f>VLOOKUP(A292,'ERG Service assumptions'!$B$6:$AY$315,'ERG Service assumptions'!$AY$3,FALSE)</f>
        <v>135.95058204417799</v>
      </c>
      <c r="H292" s="120">
        <f>G292*(1+'Escalators &amp; overheads'!F$5)*(1-'Escalators &amp; overheads'!F$9)</f>
        <v>140.37541864468508</v>
      </c>
      <c r="I292" s="120">
        <f>H292*(1+'Escalators &amp; overheads'!G$5)*(1-'Escalators &amp; overheads'!G$9)</f>
        <v>145.01315600547198</v>
      </c>
      <c r="J292" s="120">
        <f>I292*(1+'Escalators &amp; overheads'!H$5)*(1-'Escalators &amp; overheads'!H$9)</f>
        <v>149.84319279526815</v>
      </c>
      <c r="K292" s="120">
        <f>J292*(1+'Escalators &amp; overheads'!I$5)*(1-'Escalators &amp; overheads'!I$9)</f>
        <v>154.46701506836195</v>
      </c>
    </row>
    <row r="293" spans="1:11" ht="30">
      <c r="A293" s="269" t="str">
        <f>'ERG Service assumptions'!B295</f>
        <v>EE_301</v>
      </c>
      <c r="B293" s="270" t="str">
        <f>VLOOKUP($A293,'ERG Service assumptions'!$B:$AR,'ERG Service assumptions'!D$3,FALSE)</f>
        <v>Auxiliary metering services</v>
      </c>
      <c r="C293" s="270" t="str">
        <f>VLOOKUP($A293,'ERG Service assumptions'!$B:$AR,'ERG Service assumptions'!E$3,FALSE)</f>
        <v>Load control time switch</v>
      </c>
      <c r="D293" s="270" t="str">
        <f>VLOOKUP($A293,'ERG Service assumptions'!$B:$AR,'ERG Service assumptions'!F$3,FALSE)</f>
        <v>Change load control equipment (inc. time switch and relay install, modify and removal)</v>
      </c>
      <c r="E293" s="129" t="str">
        <f>VLOOKUP($A293,'ERG Service assumptions'!$B:$AR,'ERG Service assumptions'!G$3,FALSE)</f>
        <v>BUSINESS HOURS - NO CT</v>
      </c>
      <c r="F293" s="269" t="str">
        <f>VLOOKUP($A293,'ERG Service assumptions'!$B:$AR,'ERG Service assumptions'!H$3,FALSE)</f>
        <v>Long rural/Isolated</v>
      </c>
      <c r="G293" s="168">
        <f>VLOOKUP(A293,'ERG Service assumptions'!$B$6:$AY$315,'ERG Service assumptions'!$AY$3,FALSE)</f>
        <v>428.23536846982529</v>
      </c>
      <c r="H293" s="120">
        <f>G293*(1+'Escalators &amp; overheads'!F$5)*(1-'Escalators &amp; overheads'!F$9)</f>
        <v>442.17331197507025</v>
      </c>
      <c r="I293" s="120">
        <f>H293*(1+'Escalators &amp; overheads'!G$5)*(1-'Escalators &amp; overheads'!G$9)</f>
        <v>456.78187883591301</v>
      </c>
      <c r="J293" s="120">
        <f>I293*(1+'Escalators &amp; overheads'!H$5)*(1-'Escalators &amp; overheads'!H$9)</f>
        <v>471.99617621736178</v>
      </c>
      <c r="K293" s="120">
        <f>J293*(1+'Escalators &amp; overheads'!I$5)*(1-'Escalators &amp; overheads'!I$9)</f>
        <v>486.56091146957181</v>
      </c>
    </row>
    <row r="294" spans="1:11" ht="30">
      <c r="A294" s="269" t="str">
        <f>'ERG Service assumptions'!B296</f>
        <v>EE_302</v>
      </c>
      <c r="B294" s="270" t="str">
        <f>VLOOKUP($A294,'ERG Service assumptions'!$B:$AR,'ERG Service assumptions'!D$3,FALSE)</f>
        <v>Auxiliary metering services</v>
      </c>
      <c r="C294" s="270" t="str">
        <f>VLOOKUP($A294,'ERG Service assumptions'!$B:$AR,'ERG Service assumptions'!E$3,FALSE)</f>
        <v>Load control time switch</v>
      </c>
      <c r="D294" s="270" t="str">
        <f>VLOOKUP($A294,'ERG Service assumptions'!$B:$AR,'ERG Service assumptions'!F$3,FALSE)</f>
        <v>Change load control equipment (inc. time switch and relay install, modify and removal)</v>
      </c>
      <c r="E294" s="129" t="str">
        <f>VLOOKUP($A294,'ERG Service assumptions'!$B:$AR,'ERG Service assumptions'!G$3,FALSE)</f>
        <v>BUSINESS HOURS - CT</v>
      </c>
      <c r="F294" s="269" t="str">
        <f>VLOOKUP($A294,'ERG Service assumptions'!$B:$AR,'ERG Service assumptions'!H$3,FALSE)</f>
        <v>Urban/Short Rural</v>
      </c>
      <c r="G294" s="168">
        <f>VLOOKUP(A294,'ERG Service assumptions'!$B$6:$AY$315,'ERG Service assumptions'!$AY$3,FALSE)</f>
        <v>432.90259060835865</v>
      </c>
      <c r="H294" s="120">
        <f>G294*(1+'Escalators &amp; overheads'!F$5)*(1-'Escalators &amp; overheads'!F$9)</f>
        <v>446.99244001228203</v>
      </c>
      <c r="I294" s="120">
        <f>H294*(1+'Escalators &amp; overheads'!G$5)*(1-'Escalators &amp; overheads'!G$9)</f>
        <v>461.76022171544105</v>
      </c>
      <c r="J294" s="120">
        <f>I294*(1+'Escalators &amp; overheads'!H$5)*(1-'Escalators &amp; overheads'!H$9)</f>
        <v>477.14033563328348</v>
      </c>
      <c r="K294" s="120">
        <f>J294*(1+'Escalators &amp; overheads'!I$5)*(1-'Escalators &amp; overheads'!I$9)</f>
        <v>491.86380801889254</v>
      </c>
    </row>
    <row r="295" spans="1:11" ht="30">
      <c r="A295" s="269" t="str">
        <f>'ERG Service assumptions'!B297</f>
        <v>EE_303</v>
      </c>
      <c r="B295" s="270" t="str">
        <f>VLOOKUP($A295,'ERG Service assumptions'!$B:$AR,'ERG Service assumptions'!D$3,FALSE)</f>
        <v>Auxiliary metering services</v>
      </c>
      <c r="C295" s="270" t="str">
        <f>VLOOKUP($A295,'ERG Service assumptions'!$B:$AR,'ERG Service assumptions'!E$3,FALSE)</f>
        <v>Load control time switch</v>
      </c>
      <c r="D295" s="270" t="str">
        <f>VLOOKUP($A295,'ERG Service assumptions'!$B:$AR,'ERG Service assumptions'!F$3,FALSE)</f>
        <v>Change load control equipment (inc. time switch and relay install, modify and removal)</v>
      </c>
      <c r="E295" s="129" t="str">
        <f>VLOOKUP($A295,'ERG Service assumptions'!$B:$AR,'ERG Service assumptions'!G$3,FALSE)</f>
        <v>BUSINESS HOURS - CT</v>
      </c>
      <c r="F295" s="269" t="str">
        <f>VLOOKUP($A295,'ERG Service assumptions'!$B:$AR,'ERG Service assumptions'!H$3,FALSE)</f>
        <v>Long rural/Isolated</v>
      </c>
      <c r="G295" s="168">
        <f>VLOOKUP(A295,'ERG Service assumptions'!$B$6:$AY$315,'ERG Service assumptions'!$AY$3,FALSE)</f>
        <v>1017.4721634596531</v>
      </c>
      <c r="H295" s="120">
        <f>G295*(1+'Escalators &amp; overheads'!F$5)*(1-'Escalators &amp; overheads'!F$9)</f>
        <v>1050.5882266730521</v>
      </c>
      <c r="I295" s="120">
        <f>H295*(1+'Escalators &amp; overheads'!G$5)*(1-'Escalators &amp; overheads'!G$9)</f>
        <v>1085.2976673763228</v>
      </c>
      <c r="J295" s="120">
        <f>I295*(1+'Escalators &amp; overheads'!H$5)*(1-'Escalators &amp; overheads'!H$9)</f>
        <v>1121.4463024774705</v>
      </c>
      <c r="K295" s="120">
        <f>J295*(1+'Escalators &amp; overheads'!I$5)*(1-'Escalators &amp; overheads'!I$9)</f>
        <v>1156.0516008213119</v>
      </c>
    </row>
    <row r="296" spans="1:11" ht="30">
      <c r="A296" s="269" t="str">
        <f>'ERG Service assumptions'!B298</f>
        <v>EE_304</v>
      </c>
      <c r="B296" s="270" t="str">
        <f>VLOOKUP($A296,'ERG Service assumptions'!$B:$AR,'ERG Service assumptions'!D$3,FALSE)</f>
        <v>Auxiliary metering services</v>
      </c>
      <c r="C296" s="270" t="str">
        <f>VLOOKUP($A296,'ERG Service assumptions'!$B:$AR,'ERG Service assumptions'!E$3,FALSE)</f>
        <v>Metering alteration</v>
      </c>
      <c r="D296" s="270" t="str">
        <f>VLOOKUP($A296,'ERG Service assumptions'!$B:$AR,'ERG Service assumptions'!F$3,FALSE)</f>
        <v>Meter alteration – meter is being relocated or meter wiring altered and requires DNSP to visit site to verify the integrity of the metering equipment</v>
      </c>
      <c r="E296" s="129" t="str">
        <f>VLOOKUP($A296,'ERG Service assumptions'!$B:$AR,'ERG Service assumptions'!G$3,FALSE)</f>
        <v>BUSINESS HOURS - NO CT</v>
      </c>
      <c r="F296" s="269" t="str">
        <f>VLOOKUP($A296,'ERG Service assumptions'!$B:$AR,'ERG Service assumptions'!H$3,FALSE)</f>
        <v>Urban/Short Rural</v>
      </c>
      <c r="G296" s="168">
        <f>VLOOKUP(A296,'ERG Service assumptions'!$B$6:$AY$315,'ERG Service assumptions'!$AY$3,FALSE)</f>
        <v>137.80945847594779</v>
      </c>
      <c r="H296" s="120">
        <f>G296*(1+'Escalators &amp; overheads'!F$5)*(1-'Escalators &amp; overheads'!F$9)</f>
        <v>142.29479665244989</v>
      </c>
      <c r="I296" s="120">
        <f>H296*(1+'Escalators &amp; overheads'!G$5)*(1-'Escalators &amp; overheads'!G$9)</f>
        <v>146.9959466191049</v>
      </c>
      <c r="J296" s="120">
        <f>I296*(1+'Escalators &amp; overheads'!H$5)*(1-'Escalators &amp; overheads'!H$9)</f>
        <v>151.89202535898417</v>
      </c>
      <c r="K296" s="120">
        <f>J296*(1+'Escalators &amp; overheads'!I$5)*(1-'Escalators &amp; overheads'!I$9)</f>
        <v>156.57906997448291</v>
      </c>
    </row>
    <row r="297" spans="1:11" ht="30">
      <c r="A297" s="269" t="str">
        <f>'ERG Service assumptions'!B299</f>
        <v>EE_305</v>
      </c>
      <c r="B297" s="270" t="str">
        <f>VLOOKUP($A297,'ERG Service assumptions'!$B:$AR,'ERG Service assumptions'!D$3,FALSE)</f>
        <v>Auxiliary metering services</v>
      </c>
      <c r="C297" s="270" t="str">
        <f>VLOOKUP($A297,'ERG Service assumptions'!$B:$AR,'ERG Service assumptions'!E$3,FALSE)</f>
        <v>Metering alteration</v>
      </c>
      <c r="D297" s="270" t="str">
        <f>VLOOKUP($A297,'ERG Service assumptions'!$B:$AR,'ERG Service assumptions'!F$3,FALSE)</f>
        <v>Meter alteration – meter is being relocated or meter wiring altered and requires DNSP to visit site to verify the integrity of the metering equipment</v>
      </c>
      <c r="E297" s="129" t="str">
        <f>VLOOKUP($A297,'ERG Service assumptions'!$B:$AR,'ERG Service assumptions'!G$3,FALSE)</f>
        <v>BUSINESS HOURS - NO CT</v>
      </c>
      <c r="F297" s="269" t="str">
        <f>VLOOKUP($A297,'ERG Service assumptions'!$B:$AR,'ERG Service assumptions'!H$3,FALSE)</f>
        <v>Long rural/Isolated</v>
      </c>
      <c r="G297" s="168">
        <f>VLOOKUP(A297,'ERG Service assumptions'!$B$6:$AY$315,'ERG Service assumptions'!$AY$3,FALSE)</f>
        <v>238.50828065501486</v>
      </c>
      <c r="H297" s="120">
        <f>G297*(1+'Escalators &amp; overheads'!F$5)*(1-'Escalators &amp; overheads'!F$9)</f>
        <v>246.27110265914118</v>
      </c>
      <c r="I297" s="120">
        <f>H297*(1+'Escalators &amp; overheads'!G$5)*(1-'Escalators &amp; overheads'!G$9)</f>
        <v>254.40743240057154</v>
      </c>
      <c r="J297" s="120">
        <f>I297*(1+'Escalators &amp; overheads'!H$5)*(1-'Escalators &amp; overheads'!H$9)</f>
        <v>262.8811274220493</v>
      </c>
      <c r="K297" s="120">
        <f>J297*(1+'Escalators &amp; overheads'!I$5)*(1-'Escalators &amp; overheads'!I$9)</f>
        <v>270.99304488373105</v>
      </c>
    </row>
    <row r="298" spans="1:11" ht="30">
      <c r="A298" s="269" t="str">
        <f>'ERG Service assumptions'!B300</f>
        <v>EE_306</v>
      </c>
      <c r="B298" s="270" t="str">
        <f>VLOOKUP($A298,'ERG Service assumptions'!$B:$AR,'ERG Service assumptions'!D$3,FALSE)</f>
        <v>Auxiliary metering services</v>
      </c>
      <c r="C298" s="270" t="str">
        <f>VLOOKUP($A298,'ERG Service assumptions'!$B:$AR,'ERG Service assumptions'!E$3,FALSE)</f>
        <v>Metering alteration</v>
      </c>
      <c r="D298" s="270" t="str">
        <f>VLOOKUP($A298,'ERG Service assumptions'!$B:$AR,'ERG Service assumptions'!F$3,FALSE)</f>
        <v>Meter alteration – meter is being relocated or meter wiring altered and requires DNSP to visit site to verify the integrity of the metering equipment</v>
      </c>
      <c r="E298" s="129" t="str">
        <f>VLOOKUP($A298,'ERG Service assumptions'!$B:$AR,'ERG Service assumptions'!G$3,FALSE)</f>
        <v>AFTER HOURS - NO CT</v>
      </c>
      <c r="F298" s="269" t="str">
        <f>VLOOKUP($A298,'ERG Service assumptions'!$B:$AR,'ERG Service assumptions'!H$3,FALSE)</f>
        <v>Urban/Short Rural</v>
      </c>
      <c r="G298" s="168">
        <f>VLOOKUP(A298,'ERG Service assumptions'!$B$6:$AY$315,'ERG Service assumptions'!$AY$3,FALSE)</f>
        <v>186.43170815018033</v>
      </c>
      <c r="H298" s="120">
        <f>G298*(1+'Escalators &amp; overheads'!F$5)*(1-'Escalators &amp; overheads'!F$9)</f>
        <v>192.4995736444958</v>
      </c>
      <c r="I298" s="120">
        <f>H298*(1+'Escalators &amp; overheads'!G$5)*(1-'Escalators &amp; overheads'!G$9)</f>
        <v>198.85939414046433</v>
      </c>
      <c r="J298" s="120">
        <f>I298*(1+'Escalators &amp; overheads'!H$5)*(1-'Escalators &amp; overheads'!H$9)</f>
        <v>205.48291862715831</v>
      </c>
      <c r="K298" s="120">
        <f>J298*(1+'Escalators &amp; overheads'!I$5)*(1-'Escalators &amp; overheads'!I$9)</f>
        <v>211.82365708957701</v>
      </c>
    </row>
    <row r="299" spans="1:11" ht="30">
      <c r="A299" s="269" t="str">
        <f>'ERG Service assumptions'!B301</f>
        <v>EE_307</v>
      </c>
      <c r="B299" s="270" t="str">
        <f>VLOOKUP($A299,'ERG Service assumptions'!$B:$AR,'ERG Service assumptions'!D$3,FALSE)</f>
        <v>Auxiliary metering services</v>
      </c>
      <c r="C299" s="270" t="str">
        <f>VLOOKUP($A299,'ERG Service assumptions'!$B:$AR,'ERG Service assumptions'!E$3,FALSE)</f>
        <v>Metering alteration</v>
      </c>
      <c r="D299" s="270" t="str">
        <f>VLOOKUP($A299,'ERG Service assumptions'!$B:$AR,'ERG Service assumptions'!F$3,FALSE)</f>
        <v>Meter alteration – meter is being relocated or meter wiring altered and requires DNSP to visit site to verify the integrity of the metering equipment</v>
      </c>
      <c r="E299" s="129" t="str">
        <f>VLOOKUP($A299,'ERG Service assumptions'!$B:$AR,'ERG Service assumptions'!G$3,FALSE)</f>
        <v>AFTER HOURS - NO CT</v>
      </c>
      <c r="F299" s="269" t="str">
        <f>VLOOKUP($A299,'ERG Service assumptions'!$B:$AR,'ERG Service assumptions'!H$3,FALSE)</f>
        <v>Long rural/Isolated</v>
      </c>
      <c r="G299" s="168">
        <f>VLOOKUP(A299,'ERG Service assumptions'!$B$6:$AY$315,'ERG Service assumptions'!$AY$3,FALSE)</f>
        <v>318.80620979270071</v>
      </c>
      <c r="H299" s="120">
        <f>G299*(1+'Escalators &amp; overheads'!F$5)*(1-'Escalators &amp; overheads'!F$9)</f>
        <v>329.18251980438771</v>
      </c>
      <c r="I299" s="120">
        <f>H299*(1+'Escalators &amp; overheads'!G$5)*(1-'Escalators &amp; overheads'!G$9)</f>
        <v>340.05808537957603</v>
      </c>
      <c r="J299" s="120">
        <f>I299*(1+'Escalators &amp; overheads'!H$5)*(1-'Escalators &amp; overheads'!H$9)</f>
        <v>351.38459607898471</v>
      </c>
      <c r="K299" s="120">
        <f>J299*(1+'Escalators &amp; overheads'!I$5)*(1-'Escalators &amp; overheads'!I$9)</f>
        <v>362.22753055911141</v>
      </c>
    </row>
    <row r="300" spans="1:11" ht="30">
      <c r="A300" s="269" t="str">
        <f>'ERG Service assumptions'!B302</f>
        <v>EE_308</v>
      </c>
      <c r="B300" s="270" t="str">
        <f>VLOOKUP($A300,'ERG Service assumptions'!$B:$AR,'ERG Service assumptions'!D$3,FALSE)</f>
        <v>Auxiliary metering services</v>
      </c>
      <c r="C300" s="270" t="str">
        <f>VLOOKUP($A300,'ERG Service assumptions'!$B:$AR,'ERG Service assumptions'!E$3,FALSE)</f>
        <v>Metering alteration</v>
      </c>
      <c r="D300" s="270" t="str">
        <f>VLOOKUP($A300,'ERG Service assumptions'!$B:$AR,'ERG Service assumptions'!F$3,FALSE)</f>
        <v>Meter alteration – meter is being relocated or meter wiring altered and requires DNSP to visit site to verify the integrity of the metering equipment</v>
      </c>
      <c r="E300" s="129" t="str">
        <f>VLOOKUP($A300,'ERG Service assumptions'!$B:$AR,'ERG Service assumptions'!G$3,FALSE)</f>
        <v>BUSINESS HOURS - CT</v>
      </c>
      <c r="F300" s="269" t="str">
        <f>VLOOKUP($A300,'ERG Service assumptions'!$B:$AR,'ERG Service assumptions'!H$3,FALSE)</f>
        <v>Urban/Short Rural</v>
      </c>
      <c r="G300" s="168">
        <f>VLOOKUP(A300,'ERG Service assumptions'!$B$6:$AY$315,'ERG Service assumptions'!$AY$3,FALSE)</f>
        <v>917.1268874811874</v>
      </c>
      <c r="H300" s="120">
        <f>G300*(1+'Escalators &amp; overheads'!F$5)*(1-'Escalators &amp; overheads'!F$9)</f>
        <v>946.97697387299979</v>
      </c>
      <c r="I300" s="120">
        <f>H300*(1+'Escalators &amp; overheads'!G$5)*(1-'Escalators &amp; overheads'!G$9)</f>
        <v>978.26329546647082</v>
      </c>
      <c r="J300" s="120">
        <f>I300*(1+'Escalators &amp; overheads'!H$5)*(1-'Escalators &amp; overheads'!H$9)</f>
        <v>1010.846875035155</v>
      </c>
      <c r="K300" s="120">
        <f>J300*(1+'Escalators &amp; overheads'!I$5)*(1-'Escalators &amp; overheads'!I$9)</f>
        <v>1042.0393250109166</v>
      </c>
    </row>
    <row r="301" spans="1:11" ht="30">
      <c r="A301" s="269" t="str">
        <f>'ERG Service assumptions'!B303</f>
        <v>EE_309</v>
      </c>
      <c r="B301" s="270" t="str">
        <f>VLOOKUP($A301,'ERG Service assumptions'!$B:$AR,'ERG Service assumptions'!D$3,FALSE)</f>
        <v>Auxiliary metering services</v>
      </c>
      <c r="C301" s="270" t="str">
        <f>VLOOKUP($A301,'ERG Service assumptions'!$B:$AR,'ERG Service assumptions'!E$3,FALSE)</f>
        <v>Metering alteration</v>
      </c>
      <c r="D301" s="270" t="str">
        <f>VLOOKUP($A301,'ERG Service assumptions'!$B:$AR,'ERG Service assumptions'!F$3,FALSE)</f>
        <v>Meter alteration – meter is being relocated or meter wiring altered and requires DNSP to visit site to verify the integrity of the metering equipment</v>
      </c>
      <c r="E301" s="129" t="str">
        <f>VLOOKUP($A301,'ERG Service assumptions'!$B:$AR,'ERG Service assumptions'!G$3,FALSE)</f>
        <v>BUSINESS HOURS - CT</v>
      </c>
      <c r="F301" s="269" t="str">
        <f>VLOOKUP($A301,'ERG Service assumptions'!$B:$AR,'ERG Service assumptions'!H$3,FALSE)</f>
        <v>Long rural/Isolated</v>
      </c>
      <c r="G301" s="168">
        <f>VLOOKUP(A301,'ERG Service assumptions'!$B$6:$AY$315,'ERG Service assumptions'!$AY$3,FALSE)</f>
        <v>1501.6964603324818</v>
      </c>
      <c r="H301" s="120">
        <f>G301*(1+'Escalators &amp; overheads'!F$5)*(1-'Escalators &amp; overheads'!F$9)</f>
        <v>1550.5727605337702</v>
      </c>
      <c r="I301" s="120">
        <f>H301*(1+'Escalators &amp; overheads'!G$5)*(1-'Escalators &amp; overheads'!G$9)</f>
        <v>1601.8007411273529</v>
      </c>
      <c r="J301" s="120">
        <f>I301*(1+'Escalators &amp; overheads'!H$5)*(1-'Escalators &amp; overheads'!H$9)</f>
        <v>1655.1528418793423</v>
      </c>
      <c r="K301" s="120">
        <f>J301*(1+'Escalators &amp; overheads'!I$5)*(1-'Escalators &amp; overheads'!I$9)</f>
        <v>1706.2271178133365</v>
      </c>
    </row>
    <row r="302" spans="1:11" ht="30">
      <c r="A302" s="269" t="str">
        <f>'ERG Service assumptions'!B304</f>
        <v>EE_310</v>
      </c>
      <c r="B302" s="270" t="str">
        <f>VLOOKUP($A302,'ERG Service assumptions'!$B:$AR,'ERG Service assumptions'!D$3,FALSE)</f>
        <v>Auxiliary metering services</v>
      </c>
      <c r="C302" s="270" t="str">
        <f>VLOOKUP($A302,'ERG Service assumptions'!$B:$AR,'ERG Service assumptions'!E$3,FALSE)</f>
        <v>Metering alteration</v>
      </c>
      <c r="D302" s="270" t="str">
        <f>VLOOKUP($A302,'ERG Service assumptions'!$B:$AR,'ERG Service assumptions'!F$3,FALSE)</f>
        <v>Meter alteration – meter is being relocated or meter wiring altered and requires DNSP to visit site to verify the integrity of the metering equipment</v>
      </c>
      <c r="E302" s="129" t="str">
        <f>VLOOKUP($A302,'ERG Service assumptions'!$B:$AR,'ERG Service assumptions'!G$3,FALSE)</f>
        <v>AFTER HOURS - CT</v>
      </c>
      <c r="F302" s="269" t="str">
        <f>VLOOKUP($A302,'ERG Service assumptions'!$B:$AR,'ERG Service assumptions'!H$3,FALSE)</f>
        <v>Urban/Short Rural</v>
      </c>
      <c r="G302" s="168">
        <f>VLOOKUP(A302,'ERG Service assumptions'!$B$6:$AY$315,'ERG Service assumptions'!$AY$3,FALSE)</f>
        <v>1203.0422472204393</v>
      </c>
      <c r="H302" s="120">
        <f>G302*(1+'Escalators &amp; overheads'!F$5)*(1-'Escalators &amp; overheads'!F$9)</f>
        <v>1242.1981323032076</v>
      </c>
      <c r="I302" s="120">
        <f>H302*(1+'Escalators &amp; overheads'!G$5)*(1-'Escalators &amp; overheads'!G$9)</f>
        <v>1283.238000560088</v>
      </c>
      <c r="J302" s="120">
        <f>I302*(1+'Escalators &amp; overheads'!H$5)*(1-'Escalators &amp; overheads'!H$9)</f>
        <v>1325.9795484547894</v>
      </c>
      <c r="K302" s="120">
        <f>J302*(1+'Escalators &amp; overheads'!I$5)*(1-'Escalators &amp; overheads'!I$9)</f>
        <v>1366.8962805094054</v>
      </c>
    </row>
    <row r="303" spans="1:11" ht="30">
      <c r="A303" s="269" t="str">
        <f>'ERG Service assumptions'!B305</f>
        <v>EE_311</v>
      </c>
      <c r="B303" s="270" t="str">
        <f>VLOOKUP($A303,'ERG Service assumptions'!$B:$AR,'ERG Service assumptions'!D$3,FALSE)</f>
        <v>Auxiliary metering services</v>
      </c>
      <c r="C303" s="270" t="str">
        <f>VLOOKUP($A303,'ERG Service assumptions'!$B:$AR,'ERG Service assumptions'!E$3,FALSE)</f>
        <v>Metering alteration</v>
      </c>
      <c r="D303" s="270" t="str">
        <f>VLOOKUP($A303,'ERG Service assumptions'!$B:$AR,'ERG Service assumptions'!F$3,FALSE)</f>
        <v>Meter alteration – meter is being relocated or meter wiring altered and requires DNSP to visit site to verify the integrity of the metering equipment</v>
      </c>
      <c r="E303" s="129" t="str">
        <f>VLOOKUP($A303,'ERG Service assumptions'!$B:$AR,'ERG Service assumptions'!G$3,FALSE)</f>
        <v>AFTER HOURS - CT</v>
      </c>
      <c r="F303" s="269" t="str">
        <f>VLOOKUP($A303,'ERG Service assumptions'!$B:$AR,'ERG Service assumptions'!H$3,FALSE)</f>
        <v>Long rural/Isolated</v>
      </c>
      <c r="G303" s="168">
        <f>VLOOKUP(A303,'ERG Service assumptions'!$B$6:$AY$315,'ERG Service assumptions'!$AY$3,FALSE)</f>
        <v>1971.4932003404956</v>
      </c>
      <c r="H303" s="120">
        <f>G303*(1+'Escalators &amp; overheads'!F$5)*(1-'Escalators &amp; overheads'!F$9)</f>
        <v>2035.6601582111334</v>
      </c>
      <c r="I303" s="120">
        <f>H303*(1+'Escalators &amp; overheads'!G$5)*(1-'Escalators &amp; overheads'!G$9)</f>
        <v>2102.9145055944005</v>
      </c>
      <c r="J303" s="120">
        <f>I303*(1+'Escalators &amp; overheads'!H$5)*(1-'Escalators &amp; overheads'!H$9)</f>
        <v>2172.9574914006935</v>
      </c>
      <c r="K303" s="120">
        <f>J303*(1+'Escalators &amp; overheads'!I$5)*(1-'Escalators &amp; overheads'!I$9)</f>
        <v>2240.010048542561</v>
      </c>
    </row>
    <row r="304" spans="1:11" ht="45">
      <c r="A304" s="269" t="str">
        <f>'ERG Service assumptions'!B306</f>
        <v>EE_312</v>
      </c>
      <c r="B304" s="270" t="str">
        <f>VLOOKUP($A304,'ERG Service assumptions'!$B:$AR,'ERG Service assumptions'!D$3,FALSE)</f>
        <v>Auxiliary metering services</v>
      </c>
      <c r="C304" s="270" t="str">
        <f>VLOOKUP($A304,'ERG Service assumptions'!$B:$AR,'ERG Service assumptions'!E$3,FALSE)</f>
        <v>Meter reading</v>
      </c>
      <c r="D304" s="270" t="str">
        <f>VLOOKUP($A304,'ERG Service assumptions'!$B:$AR,'ERG Service assumptions'!F$3,FALSE)</f>
        <v>Customer requests a check read, transfer read or validation of an estimated read on the meter, may be due to reported error in the meter reading. This is only used to check the accuracy of the meter reading</v>
      </c>
      <c r="E304" s="129" t="str">
        <f>VLOOKUP($A304,'ERG Service assumptions'!$B:$AR,'ERG Service assumptions'!G$3,FALSE)</f>
        <v>BUSINESS HOURS</v>
      </c>
      <c r="F304" s="269" t="str">
        <f>VLOOKUP($A304,'ERG Service assumptions'!$B:$AR,'ERG Service assumptions'!H$3,FALSE)</f>
        <v>Urban/Short Rural</v>
      </c>
      <c r="G304" s="168">
        <f>VLOOKUP(A304,'ERG Service assumptions'!$B$6:$AY$315,'ERG Service assumptions'!$AY$3,FALSE)</f>
        <v>35.33791348676796</v>
      </c>
      <c r="H304" s="120">
        <f>G304*(1+'Escalators &amp; overheads'!F$5)*(1-'Escalators &amp; overheads'!F$9)</f>
        <v>36.488070335165951</v>
      </c>
      <c r="I304" s="120">
        <f>H304*(1+'Escalators &amp; overheads'!G$5)*(1-'Escalators &amp; overheads'!G$9)</f>
        <v>37.693566914625855</v>
      </c>
      <c r="J304" s="120">
        <f>I304*(1+'Escalators &amp; overheads'!H$5)*(1-'Escalators &amp; overheads'!H$9)</f>
        <v>38.949048278878188</v>
      </c>
      <c r="K304" s="120">
        <f>J304*(1+'Escalators &amp; overheads'!I$5)*(1-'Escalators &amp; overheads'!I$9)</f>
        <v>40.15092788106837</v>
      </c>
    </row>
    <row r="305" spans="1:11" ht="45">
      <c r="A305" s="269" t="str">
        <f>'ERG Service assumptions'!B307</f>
        <v>EE_313</v>
      </c>
      <c r="B305" s="270" t="str">
        <f>VLOOKUP($A305,'ERG Service assumptions'!$B:$AR,'ERG Service assumptions'!D$3,FALSE)</f>
        <v>Auxiliary metering services</v>
      </c>
      <c r="C305" s="270" t="str">
        <f>VLOOKUP($A305,'ERG Service assumptions'!$B:$AR,'ERG Service assumptions'!E$3,FALSE)</f>
        <v>Meter reading</v>
      </c>
      <c r="D305" s="270" t="str">
        <f>VLOOKUP($A305,'ERG Service assumptions'!$B:$AR,'ERG Service assumptions'!F$3,FALSE)</f>
        <v>Customer requests a check read, transfer read or validation of an estimated read on the meter, may be due to reported error in the meter reading. This is only used to check the accuracy of the meter reading</v>
      </c>
      <c r="E305" s="129" t="str">
        <f>VLOOKUP($A305,'ERG Service assumptions'!$B:$AR,'ERG Service assumptions'!G$3,FALSE)</f>
        <v>BUSINESS HOURS</v>
      </c>
      <c r="F305" s="269" t="str">
        <f>VLOOKUP($A305,'ERG Service assumptions'!$B:$AR,'ERG Service assumptions'!H$3,FALSE)</f>
        <v>Long rural/Isolated</v>
      </c>
      <c r="G305" s="168">
        <f>VLOOKUP(A305,'ERG Service assumptions'!$B$6:$AY$315,'ERG Service assumptions'!$AY$3,FALSE)</f>
        <v>35.33791348676796</v>
      </c>
      <c r="H305" s="120">
        <f>G305*(1+'Escalators &amp; overheads'!F$5)*(1-'Escalators &amp; overheads'!F$9)</f>
        <v>36.488070335165951</v>
      </c>
      <c r="I305" s="120">
        <f>H305*(1+'Escalators &amp; overheads'!G$5)*(1-'Escalators &amp; overheads'!G$9)</f>
        <v>37.693566914625855</v>
      </c>
      <c r="J305" s="120">
        <f>I305*(1+'Escalators &amp; overheads'!H$5)*(1-'Escalators &amp; overheads'!H$9)</f>
        <v>38.949048278878188</v>
      </c>
      <c r="K305" s="120">
        <f>J305*(1+'Escalators &amp; overheads'!I$5)*(1-'Escalators &amp; overheads'!I$9)</f>
        <v>40.15092788106837</v>
      </c>
    </row>
    <row r="306" spans="1:11">
      <c r="A306" s="269" t="str">
        <f>'ERG Service assumptions'!B308</f>
        <v>EE_314</v>
      </c>
      <c r="B306" s="270" t="str">
        <f>VLOOKUP($A306,'ERG Service assumptions'!$B:$AR,'ERG Service assumptions'!D$3,FALSE)</f>
        <v>Auxiliary metering services</v>
      </c>
      <c r="C306" s="270" t="str">
        <f>VLOOKUP($A306,'ERG Service assumptions'!$B:$AR,'ERG Service assumptions'!E$3,FALSE)</f>
        <v>Meter reading</v>
      </c>
      <c r="D306" s="270" t="str">
        <f>VLOOKUP($A306,'ERG Service assumptions'!$B:$AR,'ERG Service assumptions'!F$3,FALSE)</f>
        <v>Site remains active and reading undertaken upon customer move in. Retail requested</v>
      </c>
      <c r="E306" s="129" t="str">
        <f>VLOOKUP($A306,'ERG Service assumptions'!$B:$AR,'ERG Service assumptions'!G$3,FALSE)</f>
        <v>BUSINESS HOURS</v>
      </c>
      <c r="F306" s="269" t="str">
        <f>VLOOKUP($A306,'ERG Service assumptions'!$B:$AR,'ERG Service assumptions'!H$3,FALSE)</f>
        <v>Urban/Short Rural</v>
      </c>
      <c r="G306" s="168">
        <f>VLOOKUP(A306,'ERG Service assumptions'!$B$6:$AY$315,'ERG Service assumptions'!$AY$3,FALSE)</f>
        <v>35.33791348676796</v>
      </c>
      <c r="H306" s="120">
        <f>G306*(1+'Escalators &amp; overheads'!F$5)*(1-'Escalators &amp; overheads'!F$9)</f>
        <v>36.488070335165951</v>
      </c>
      <c r="I306" s="120">
        <f>H306*(1+'Escalators &amp; overheads'!G$5)*(1-'Escalators &amp; overheads'!G$9)</f>
        <v>37.693566914625855</v>
      </c>
      <c r="J306" s="120">
        <f>I306*(1+'Escalators &amp; overheads'!H$5)*(1-'Escalators &amp; overheads'!H$9)</f>
        <v>38.949048278878188</v>
      </c>
      <c r="K306" s="120">
        <f>J306*(1+'Escalators &amp; overheads'!I$5)*(1-'Escalators &amp; overheads'!I$9)</f>
        <v>40.15092788106837</v>
      </c>
    </row>
    <row r="307" spans="1:11">
      <c r="A307" s="269" t="str">
        <f>'ERG Service assumptions'!B309</f>
        <v>EE_315</v>
      </c>
      <c r="B307" s="270" t="str">
        <f>VLOOKUP($A307,'ERG Service assumptions'!$B:$AR,'ERG Service assumptions'!D$3,FALSE)</f>
        <v>Auxiliary metering services</v>
      </c>
      <c r="C307" s="270" t="str">
        <f>VLOOKUP($A307,'ERG Service assumptions'!$B:$AR,'ERG Service assumptions'!E$3,FALSE)</f>
        <v>Meter reading</v>
      </c>
      <c r="D307" s="270" t="str">
        <f>VLOOKUP($A307,'ERG Service assumptions'!$B:$AR,'ERG Service assumptions'!F$3,FALSE)</f>
        <v>Site remains active and reading undertaken upon customer move in. Retail requested</v>
      </c>
      <c r="E307" s="129" t="str">
        <f>VLOOKUP($A307,'ERG Service assumptions'!$B:$AR,'ERG Service assumptions'!G$3,FALSE)</f>
        <v>BUSINESS HOURS</v>
      </c>
      <c r="F307" s="269" t="str">
        <f>VLOOKUP($A307,'ERG Service assumptions'!$B:$AR,'ERG Service assumptions'!H$3,FALSE)</f>
        <v>Long rural/Isolated</v>
      </c>
      <c r="G307" s="168">
        <f>VLOOKUP(A307,'ERG Service assumptions'!$B$6:$AY$315,'ERG Service assumptions'!$AY$3,FALSE)</f>
        <v>35.33791348676796</v>
      </c>
      <c r="H307" s="120">
        <f>G307*(1+'Escalators &amp; overheads'!F$5)*(1-'Escalators &amp; overheads'!F$9)</f>
        <v>36.488070335165951</v>
      </c>
      <c r="I307" s="120">
        <f>H307*(1+'Escalators &amp; overheads'!G$5)*(1-'Escalators &amp; overheads'!G$9)</f>
        <v>37.693566914625855</v>
      </c>
      <c r="J307" s="120">
        <f>I307*(1+'Escalators &amp; overheads'!H$5)*(1-'Escalators &amp; overheads'!H$9)</f>
        <v>38.949048278878188</v>
      </c>
      <c r="K307" s="120">
        <f>J307*(1+'Escalators &amp; overheads'!I$5)*(1-'Escalators &amp; overheads'!I$9)</f>
        <v>40.15092788106837</v>
      </c>
    </row>
    <row r="308" spans="1:11">
      <c r="A308" s="269" t="str">
        <f>'ERG Service assumptions'!B310</f>
        <v>EE_316</v>
      </c>
      <c r="B308" s="270" t="str">
        <f>VLOOKUP($A308,'ERG Service assumptions'!$B:$AR,'ERG Service assumptions'!D$3,FALSE)</f>
        <v>Auxiliary metering services</v>
      </c>
      <c r="C308" s="270" t="str">
        <f>VLOOKUP($A308,'ERG Service assumptions'!$B:$AR,'ERG Service assumptions'!E$3,FALSE)</f>
        <v>Meter reading</v>
      </c>
      <c r="D308" s="270" t="str">
        <f>VLOOKUP($A308,'ERG Service assumptions'!$B:$AR,'ERG Service assumptions'!F$3,FALSE)</f>
        <v>Special meter reading including final read. Retailer or customer requested</v>
      </c>
      <c r="E308" s="129" t="str">
        <f>VLOOKUP($A308,'ERG Service assumptions'!$B:$AR,'ERG Service assumptions'!G$3,FALSE)</f>
        <v>BUSINESS HOURS</v>
      </c>
      <c r="F308" s="269" t="str">
        <f>VLOOKUP($A308,'ERG Service assumptions'!$B:$AR,'ERG Service assumptions'!H$3,FALSE)</f>
        <v>Urban/Short Rural</v>
      </c>
      <c r="G308" s="168">
        <f>VLOOKUP(A308,'ERG Service assumptions'!$B$6:$AY$315,'ERG Service assumptions'!$AY$3,FALSE)</f>
        <v>35.33791348676796</v>
      </c>
      <c r="H308" s="120">
        <f>G308*(1+'Escalators &amp; overheads'!F$5)*(1-'Escalators &amp; overheads'!F$9)</f>
        <v>36.488070335165951</v>
      </c>
      <c r="I308" s="120">
        <f>H308*(1+'Escalators &amp; overheads'!G$5)*(1-'Escalators &amp; overheads'!G$9)</f>
        <v>37.693566914625855</v>
      </c>
      <c r="J308" s="120">
        <f>I308*(1+'Escalators &amp; overheads'!H$5)*(1-'Escalators &amp; overheads'!H$9)</f>
        <v>38.949048278878188</v>
      </c>
      <c r="K308" s="120">
        <f>J308*(1+'Escalators &amp; overheads'!I$5)*(1-'Escalators &amp; overheads'!I$9)</f>
        <v>40.15092788106837</v>
      </c>
    </row>
    <row r="309" spans="1:11">
      <c r="A309" s="269" t="str">
        <f>'ERG Service assumptions'!B311</f>
        <v>EE_317</v>
      </c>
      <c r="B309" s="270" t="str">
        <f>VLOOKUP($A309,'ERG Service assumptions'!$B:$AR,'ERG Service assumptions'!D$3,FALSE)</f>
        <v>Auxiliary metering services</v>
      </c>
      <c r="C309" s="270" t="str">
        <f>VLOOKUP($A309,'ERG Service assumptions'!$B:$AR,'ERG Service assumptions'!E$3,FALSE)</f>
        <v>Meter reading</v>
      </c>
      <c r="D309" s="270" t="str">
        <f>VLOOKUP($A309,'ERG Service assumptions'!$B:$AR,'ERG Service assumptions'!F$3,FALSE)</f>
        <v>Special meter reading including final read. Retailer or customer requested</v>
      </c>
      <c r="E309" s="129" t="str">
        <f>VLOOKUP($A309,'ERG Service assumptions'!$B:$AR,'ERG Service assumptions'!G$3,FALSE)</f>
        <v>BUSINESS HOURS</v>
      </c>
      <c r="F309" s="269" t="str">
        <f>VLOOKUP($A309,'ERG Service assumptions'!$B:$AR,'ERG Service assumptions'!H$3,FALSE)</f>
        <v>Long rural/Isolated</v>
      </c>
      <c r="G309" s="168">
        <f>VLOOKUP(A309,'ERG Service assumptions'!$B$6:$AY$315,'ERG Service assumptions'!$AY$3,FALSE)</f>
        <v>35.33791348676796</v>
      </c>
      <c r="H309" s="120">
        <f>G309*(1+'Escalators &amp; overheads'!F$5)*(1-'Escalators &amp; overheads'!F$9)</f>
        <v>36.488070335165951</v>
      </c>
      <c r="I309" s="120">
        <f>H309*(1+'Escalators &amp; overheads'!G$5)*(1-'Escalators &amp; overheads'!G$9)</f>
        <v>37.693566914625855</v>
      </c>
      <c r="J309" s="120">
        <f>I309*(1+'Escalators &amp; overheads'!H$5)*(1-'Escalators &amp; overheads'!H$9)</f>
        <v>38.949048278878188</v>
      </c>
      <c r="K309" s="120">
        <f>J309*(1+'Escalators &amp; overheads'!I$5)*(1-'Escalators &amp; overheads'!I$9)</f>
        <v>40.15092788106837</v>
      </c>
    </row>
    <row r="310" spans="1:11" ht="45">
      <c r="A310" s="269" t="str">
        <f>'ERG Service assumptions'!B312</f>
        <v>EE_318</v>
      </c>
      <c r="B310" s="270" t="str">
        <f>VLOOKUP($A310,'ERG Service assumptions'!$B:$AR,'ERG Service assumptions'!D$3,FALSE)</f>
        <v>Auxiliary metering services</v>
      </c>
      <c r="C310" s="270" t="str">
        <f>VLOOKUP($A310,'ERG Service assumptions'!$B:$AR,'ERG Service assumptions'!E$3,FALSE)</f>
        <v>Type 6 non standard metering data services</v>
      </c>
      <c r="D310" s="270" t="str">
        <f>VLOOKUP($A310,'ERG Service assumptions'!$B:$AR,'ERG Service assumptions'!F$3,FALSE)</f>
        <v>Provision of load profile data where available – Retailer requested</v>
      </c>
      <c r="E310" s="129" t="str">
        <f>VLOOKUP($A310,'ERG Service assumptions'!$B:$AR,'ERG Service assumptions'!G$3,FALSE)</f>
        <v>BUSINESS HOURS</v>
      </c>
      <c r="F310" s="269" t="str">
        <f>VLOOKUP($A310,'ERG Service assumptions'!$B:$AR,'ERG Service assumptions'!H$3,FALSE)</f>
        <v>Urban/Short Rural</v>
      </c>
      <c r="G310" s="168">
        <f>VLOOKUP(A310,'ERG Service assumptions'!$B$6:$AY$315,'ERG Service assumptions'!$AY$3,FALSE)</f>
        <v>145.26728906184866</v>
      </c>
      <c r="H310" s="120">
        <f>G310*(1+'Escalators &amp; overheads'!F$5)*(1-'Escalators &amp; overheads'!F$9)</f>
        <v>149.99536015821539</v>
      </c>
      <c r="I310" s="120">
        <f>H310*(1+'Escalators &amp; overheads'!G$5)*(1-'Escalators &amp; overheads'!G$9)</f>
        <v>154.95092212530901</v>
      </c>
      <c r="J310" s="120">
        <f>I310*(1+'Escalators &amp; overheads'!H$5)*(1-'Escalators &amp; overheads'!H$9)</f>
        <v>160.1119618205615</v>
      </c>
      <c r="K310" s="120">
        <f>J310*(1+'Escalators &amp; overheads'!I$5)*(1-'Escalators &amp; overheads'!I$9)</f>
        <v>165.0526550976073</v>
      </c>
    </row>
    <row r="311" spans="1:11" ht="45">
      <c r="A311" s="269" t="str">
        <f>'ERG Service assumptions'!B313</f>
        <v>EE_319</v>
      </c>
      <c r="B311" s="270" t="str">
        <f>VLOOKUP($A311,'ERG Service assumptions'!$B:$AR,'ERG Service assumptions'!D$3,FALSE)</f>
        <v>Auxiliary metering services</v>
      </c>
      <c r="C311" s="270" t="str">
        <f>VLOOKUP($A311,'ERG Service assumptions'!$B:$AR,'ERG Service assumptions'!E$3,FALSE)</f>
        <v>Type 6 non standard metering data services</v>
      </c>
      <c r="D311" s="270" t="str">
        <f>VLOOKUP($A311,'ERG Service assumptions'!$B:$AR,'ERG Service assumptions'!F$3,FALSE)</f>
        <v>Provision of load profile data where available – Retailer requested</v>
      </c>
      <c r="E311" s="129" t="str">
        <f>VLOOKUP($A311,'ERG Service assumptions'!$B:$AR,'ERG Service assumptions'!G$3,FALSE)</f>
        <v>BUSINESS HOURS</v>
      </c>
      <c r="F311" s="269" t="str">
        <f>VLOOKUP($A311,'ERG Service assumptions'!$B:$AR,'ERG Service assumptions'!H$3,FALSE)</f>
        <v>Long rural/Isolated</v>
      </c>
      <c r="G311" s="168">
        <f>VLOOKUP(A311,'ERG Service assumptions'!$B$6:$AY$315,'ERG Service assumptions'!$AY$3,FALSE)</f>
        <v>437.55207548749593</v>
      </c>
      <c r="H311" s="120">
        <f>G311*(1+'Escalators &amp; overheads'!F$5)*(1-'Escalators &amp; overheads'!F$9)</f>
        <v>451.79325348860056</v>
      </c>
      <c r="I311" s="120">
        <f>H311*(1+'Escalators &amp; overheads'!G$5)*(1-'Escalators &amp; overheads'!G$9)</f>
        <v>466.71964495574997</v>
      </c>
      <c r="J311" s="120">
        <f>I311*(1+'Escalators &amp; overheads'!H$5)*(1-'Escalators &amp; overheads'!H$9)</f>
        <v>482.26494524265507</v>
      </c>
      <c r="K311" s="120">
        <f>J311*(1+'Escalators &amp; overheads'!I$5)*(1-'Escalators &amp; overheads'!I$9)</f>
        <v>497.14655149881708</v>
      </c>
    </row>
    <row r="312" spans="1:11">
      <c r="A312" s="269" t="str">
        <f>'ERG Service assumptions'!B314</f>
        <v>EE_320</v>
      </c>
      <c r="B312" s="270" t="str">
        <f>VLOOKUP($A312,'ERG Service assumptions'!$B:$AR,'ERG Service assumptions'!D$3,FALSE)</f>
        <v>Auxiliary metering services</v>
      </c>
      <c r="C312" s="270" t="str">
        <f>VLOOKUP($A312,'ERG Service assumptions'!$B:$AR,'ERG Service assumptions'!E$3,FALSE)</f>
        <v>Reseal</v>
      </c>
      <c r="D312" s="270" t="str">
        <f>VLOOKUP($A312,'ERG Service assumptions'!$B:$AR,'ERG Service assumptions'!F$3,FALSE)</f>
        <v>Reseal and inspection of meter after customer initated work</v>
      </c>
      <c r="E312" s="129" t="str">
        <f>VLOOKUP($A312,'ERG Service assumptions'!$B:$AR,'ERG Service assumptions'!G$3,FALSE)</f>
        <v>BUSINESS HOURS</v>
      </c>
      <c r="F312" s="269" t="str">
        <f>VLOOKUP($A312,'ERG Service assumptions'!$B:$AR,'ERG Service assumptions'!H$3,FALSE)</f>
        <v>Urban/Short Rural</v>
      </c>
      <c r="G312" s="168">
        <f>VLOOKUP(A312,'ERG Service assumptions'!$B$6:$AY$315,'ERG Service assumptions'!$AY$3,FALSE)</f>
        <v>109.69745751492822</v>
      </c>
      <c r="H312" s="120">
        <f>G312*(1+'Escalators &amp; overheads'!F$5)*(1-'Escalators &amp; overheads'!F$9)</f>
        <v>113.26782343536904</v>
      </c>
      <c r="I312" s="120">
        <f>H312*(1+'Escalators &amp; overheads'!G$5)*(1-'Escalators &amp; overheads'!G$9)</f>
        <v>117.00997730812698</v>
      </c>
      <c r="J312" s="120">
        <f>I312*(1+'Escalators &amp; overheads'!H$5)*(1-'Escalators &amp; overheads'!H$9)</f>
        <v>120.90729608070885</v>
      </c>
      <c r="K312" s="120">
        <f>J312*(1+'Escalators &amp; overheads'!I$5)*(1-'Escalators &amp; overheads'!I$9)</f>
        <v>124.63822197843294</v>
      </c>
    </row>
    <row r="313" spans="1:11" s="269" customFormat="1">
      <c r="A313" s="269" t="str">
        <f>'ERG Service assumptions'!B315</f>
        <v>EE_321</v>
      </c>
      <c r="B313" s="270" t="str">
        <f>VLOOKUP($A313,'ERG Service assumptions'!$B:$AR,'ERG Service assumptions'!D$3,FALSE)</f>
        <v>Auxiliary metering services</v>
      </c>
      <c r="C313" s="270" t="str">
        <f>VLOOKUP($A313,'ERG Service assumptions'!$B:$AR,'ERG Service assumptions'!E$3,FALSE)</f>
        <v>Reseal</v>
      </c>
      <c r="D313" s="270" t="str">
        <f>VLOOKUP($A313,'ERG Service assumptions'!$B:$AR,'ERG Service assumptions'!F$3,FALSE)</f>
        <v>Reseal and inspection of meter after customer initated work</v>
      </c>
      <c r="E313" s="129" t="str">
        <f>VLOOKUP($A313,'ERG Service assumptions'!$B:$AR,'ERG Service assumptions'!G$3,FALSE)</f>
        <v>BUSINESS HOURS</v>
      </c>
      <c r="F313" s="269" t="str">
        <f>VLOOKUP($A313,'ERG Service assumptions'!$B:$AR,'ERG Service assumptions'!H$3,FALSE)</f>
        <v>Long rural/Isolated</v>
      </c>
      <c r="G313" s="168">
        <f>VLOOKUP(A313,'ERG Service assumptions'!$B$6:$AY$315,'ERG Service assumptions'!$AY$3,FALSE)</f>
        <v>401.98224394057553</v>
      </c>
      <c r="H313" s="120">
        <f>G313*(1+'Escalators &amp; overheads'!F$5)*(1-'Escalators &amp; overheads'!F$9)</f>
        <v>415.06571676575419</v>
      </c>
      <c r="I313" s="120">
        <f>H313*(1+'Escalators &amp; overheads'!G$5)*(1-'Escalators &amp; overheads'!G$9)</f>
        <v>428.77870013856796</v>
      </c>
      <c r="J313" s="120">
        <f>I313*(1+'Escalators &amp; overheads'!H$5)*(1-'Escalators &amp; overheads'!H$9)</f>
        <v>443.06027950280242</v>
      </c>
      <c r="K313" s="120">
        <f>J313*(1+'Escalators &amp; overheads'!I$5)*(1-'Escalators &amp; overheads'!I$9)</f>
        <v>456.73211837964271</v>
      </c>
    </row>
    <row r="314" spans="1:11">
      <c r="A314" s="269"/>
      <c r="B314" s="270"/>
      <c r="C314" s="270"/>
      <c r="D314" s="270"/>
      <c r="E314" s="129"/>
      <c r="F314" s="269"/>
      <c r="G314" s="168"/>
      <c r="H314" s="120"/>
      <c r="I314" s="120"/>
      <c r="J314" s="120"/>
      <c r="K314" s="120"/>
    </row>
    <row r="315" spans="1:11">
      <c r="A315" s="269"/>
      <c r="B315" s="270"/>
      <c r="C315" s="270"/>
      <c r="D315" s="270"/>
      <c r="E315" s="129"/>
      <c r="F315" s="269"/>
      <c r="G315" s="168"/>
      <c r="H315" s="120"/>
      <c r="I315" s="120"/>
      <c r="J315" s="120"/>
      <c r="K315" s="120"/>
    </row>
    <row r="316" spans="1:11">
      <c r="A316" s="269"/>
      <c r="B316" s="270"/>
      <c r="C316" s="270"/>
      <c r="D316" s="270"/>
      <c r="E316" s="129"/>
      <c r="F316" s="269"/>
      <c r="G316" s="168"/>
      <c r="H316" s="120"/>
      <c r="I316" s="120"/>
      <c r="J316" s="120"/>
      <c r="K316" s="120"/>
    </row>
    <row r="317" spans="1:11">
      <c r="A317" s="269"/>
      <c r="B317" s="270"/>
      <c r="C317" s="270"/>
      <c r="D317" s="270"/>
      <c r="E317" s="129"/>
      <c r="F317" s="269"/>
      <c r="G317" s="168"/>
      <c r="H317" s="120"/>
      <c r="I317" s="120"/>
      <c r="J317" s="120"/>
      <c r="K317" s="120"/>
    </row>
    <row r="318" spans="1:11">
      <c r="A318" s="269"/>
      <c r="B318" s="270"/>
      <c r="C318" s="270"/>
      <c r="D318" s="270"/>
      <c r="E318" s="129"/>
      <c r="F318" s="269"/>
      <c r="G318" s="168"/>
      <c r="H318" s="120"/>
      <c r="I318" s="120"/>
      <c r="J318" s="120"/>
      <c r="K318" s="120"/>
    </row>
    <row r="319" spans="1:11">
      <c r="A319" s="269"/>
      <c r="B319" s="270"/>
      <c r="C319" s="270"/>
      <c r="D319" s="270"/>
      <c r="E319" s="129"/>
      <c r="F319" s="269"/>
      <c r="G319" s="168"/>
      <c r="H319" s="120"/>
      <c r="I319" s="120"/>
      <c r="J319" s="120"/>
      <c r="K319" s="120"/>
    </row>
    <row r="320" spans="1:11">
      <c r="A320" s="269"/>
      <c r="B320" s="270"/>
      <c r="C320" s="270"/>
      <c r="D320" s="270"/>
      <c r="E320" s="129"/>
      <c r="F320" s="269"/>
      <c r="G320" s="168"/>
      <c r="H320" s="120"/>
      <c r="I320" s="120"/>
      <c r="J320" s="120"/>
      <c r="K320" s="120"/>
    </row>
    <row r="321" spans="1:11">
      <c r="A321" s="269"/>
      <c r="B321" s="270"/>
      <c r="C321" s="270"/>
      <c r="D321" s="270"/>
      <c r="E321" s="129"/>
      <c r="F321" s="269"/>
      <c r="G321" s="168"/>
      <c r="H321" s="120"/>
      <c r="I321" s="120"/>
      <c r="J321" s="120"/>
      <c r="K321" s="120"/>
    </row>
    <row r="322" spans="1:11">
      <c r="A322" s="269"/>
      <c r="B322" s="270"/>
      <c r="C322" s="270"/>
      <c r="D322" s="270"/>
      <c r="E322" s="129"/>
      <c r="F322" s="269"/>
      <c r="G322" s="168"/>
      <c r="H322" s="120"/>
      <c r="I322" s="120"/>
      <c r="J322" s="120"/>
      <c r="K322" s="120"/>
    </row>
    <row r="323" spans="1:11">
      <c r="A323" s="269"/>
      <c r="B323" s="270"/>
      <c r="C323" s="270"/>
      <c r="D323" s="270"/>
      <c r="E323" s="129"/>
      <c r="F323" s="269"/>
      <c r="G323" s="168"/>
      <c r="H323" s="120"/>
      <c r="I323" s="120"/>
      <c r="J323" s="120"/>
      <c r="K323" s="120"/>
    </row>
    <row r="324" spans="1:11">
      <c r="A324" s="269"/>
      <c r="B324" s="270"/>
      <c r="C324" s="270"/>
      <c r="D324" s="270"/>
      <c r="E324" s="129"/>
      <c r="F324" s="269"/>
      <c r="G324" s="168"/>
      <c r="H324" s="120"/>
      <c r="I324" s="120"/>
      <c r="J324" s="120"/>
      <c r="K324" s="120"/>
    </row>
    <row r="325" spans="1:11">
      <c r="A325" s="269"/>
      <c r="B325" s="270"/>
      <c r="C325" s="270"/>
      <c r="D325" s="270"/>
      <c r="E325" s="129"/>
      <c r="F325" s="269"/>
      <c r="G325" s="168"/>
      <c r="H325" s="120"/>
      <c r="I325" s="120"/>
      <c r="J325" s="120"/>
      <c r="K325" s="120"/>
    </row>
    <row r="326" spans="1:11">
      <c r="A326" s="269"/>
      <c r="B326" s="270"/>
      <c r="C326" s="270"/>
      <c r="D326" s="270"/>
      <c r="E326" s="129"/>
      <c r="F326" s="269"/>
      <c r="G326" s="168"/>
      <c r="H326" s="120"/>
      <c r="I326" s="120"/>
      <c r="J326" s="120"/>
      <c r="K326" s="120"/>
    </row>
    <row r="327" spans="1:11">
      <c r="A327" s="269"/>
      <c r="B327" s="270"/>
      <c r="C327" s="270"/>
      <c r="D327" s="270"/>
      <c r="E327" s="129"/>
      <c r="F327" s="269"/>
      <c r="G327" s="168"/>
      <c r="H327" s="120"/>
      <c r="I327" s="120"/>
      <c r="J327" s="120"/>
      <c r="K327" s="120"/>
    </row>
    <row r="328" spans="1:11">
      <c r="A328" s="269"/>
      <c r="B328" s="270"/>
      <c r="C328" s="270"/>
      <c r="D328" s="270"/>
      <c r="E328" s="129"/>
      <c r="F328" s="269"/>
      <c r="G328" s="168"/>
      <c r="H328" s="120"/>
      <c r="I328" s="120"/>
      <c r="J328" s="120"/>
      <c r="K328" s="120"/>
    </row>
    <row r="329" spans="1:11">
      <c r="A329" s="269"/>
      <c r="B329" s="270"/>
      <c r="C329" s="270"/>
      <c r="D329" s="270"/>
      <c r="E329" s="129"/>
      <c r="F329" s="269"/>
      <c r="G329" s="168"/>
      <c r="H329" s="120"/>
      <c r="I329" s="120"/>
      <c r="J329" s="120"/>
      <c r="K329" s="120"/>
    </row>
    <row r="330" spans="1:11">
      <c r="A330" s="269"/>
      <c r="B330" s="270"/>
      <c r="C330" s="270"/>
      <c r="D330" s="270"/>
      <c r="E330" s="129"/>
      <c r="F330" s="269"/>
      <c r="G330" s="168"/>
      <c r="H330" s="120"/>
      <c r="I330" s="120"/>
      <c r="J330" s="120"/>
      <c r="K330" s="120"/>
    </row>
    <row r="331" spans="1:11">
      <c r="A331" s="269"/>
      <c r="B331" s="270"/>
      <c r="C331" s="270"/>
      <c r="D331" s="270"/>
      <c r="E331" s="129"/>
      <c r="F331" s="269"/>
      <c r="G331" s="168"/>
      <c r="H331" s="120"/>
      <c r="I331" s="120"/>
      <c r="J331" s="120"/>
      <c r="K331" s="120"/>
    </row>
    <row r="332" spans="1:11">
      <c r="A332" s="269"/>
      <c r="B332" s="270"/>
      <c r="C332" s="270"/>
      <c r="D332" s="270"/>
      <c r="E332" s="129"/>
      <c r="F332" s="269"/>
      <c r="G332" s="168"/>
      <c r="H332" s="120"/>
      <c r="I332" s="120"/>
      <c r="J332" s="120"/>
      <c r="K332" s="120"/>
    </row>
    <row r="333" spans="1:11">
      <c r="A333" s="269"/>
      <c r="B333" s="270"/>
      <c r="C333" s="270"/>
      <c r="D333" s="270"/>
      <c r="E333" s="129"/>
      <c r="F333" s="269"/>
      <c r="G333" s="168"/>
      <c r="H333" s="120"/>
      <c r="I333" s="120"/>
      <c r="J333" s="120"/>
      <c r="K333" s="120"/>
    </row>
    <row r="334" spans="1:11">
      <c r="A334" s="269"/>
      <c r="B334" s="270"/>
      <c r="C334" s="270"/>
      <c r="D334" s="270"/>
      <c r="E334" s="129"/>
      <c r="F334" s="269"/>
      <c r="G334" s="168"/>
      <c r="H334" s="120"/>
      <c r="I334" s="120"/>
      <c r="J334" s="120"/>
      <c r="K334" s="120"/>
    </row>
    <row r="335" spans="1:11">
      <c r="A335" s="269"/>
      <c r="B335" s="270"/>
      <c r="C335" s="270"/>
      <c r="D335" s="270"/>
      <c r="E335" s="129"/>
      <c r="F335" s="269"/>
      <c r="G335" s="168"/>
      <c r="H335" s="120"/>
      <c r="I335" s="120"/>
      <c r="J335" s="120"/>
      <c r="K335" s="120"/>
    </row>
    <row r="336" spans="1:11">
      <c r="A336" s="269"/>
      <c r="B336" s="270"/>
      <c r="C336" s="270"/>
      <c r="D336" s="270"/>
      <c r="E336" s="129"/>
      <c r="F336" s="269"/>
      <c r="G336" s="168"/>
      <c r="H336" s="120"/>
      <c r="I336" s="120"/>
      <c r="J336" s="120"/>
      <c r="K336" s="120"/>
    </row>
    <row r="337" spans="1:11">
      <c r="A337" s="269"/>
      <c r="B337" s="270"/>
      <c r="C337" s="270"/>
      <c r="D337" s="270"/>
      <c r="E337" s="129"/>
      <c r="F337" s="269"/>
      <c r="G337" s="168"/>
      <c r="H337" s="120"/>
      <c r="I337" s="120"/>
      <c r="J337" s="120"/>
      <c r="K337" s="120"/>
    </row>
    <row r="338" spans="1:11">
      <c r="A338" s="269"/>
      <c r="B338" s="270"/>
      <c r="C338" s="270"/>
      <c r="D338" s="270"/>
      <c r="E338" s="129"/>
      <c r="F338" s="269"/>
      <c r="G338" s="168"/>
      <c r="H338" s="120"/>
      <c r="I338" s="120"/>
      <c r="J338" s="120"/>
      <c r="K338" s="120"/>
    </row>
    <row r="339" spans="1:11">
      <c r="A339" s="269"/>
      <c r="B339" s="270"/>
      <c r="C339" s="270"/>
      <c r="D339" s="270"/>
      <c r="E339" s="129"/>
      <c r="F339" s="269"/>
      <c r="G339" s="168"/>
      <c r="H339" s="120"/>
      <c r="I339" s="120"/>
      <c r="J339" s="120"/>
      <c r="K339" s="120"/>
    </row>
    <row r="340" spans="1:11">
      <c r="A340" s="269"/>
      <c r="B340" s="270"/>
      <c r="C340" s="270"/>
      <c r="D340" s="270"/>
      <c r="E340" s="129"/>
      <c r="F340" s="269"/>
      <c r="G340" s="168"/>
      <c r="H340" s="120"/>
      <c r="I340" s="120"/>
      <c r="J340" s="120"/>
      <c r="K340" s="120"/>
    </row>
    <row r="341" spans="1:11">
      <c r="A341" s="269"/>
      <c r="B341" s="270"/>
      <c r="C341" s="270"/>
      <c r="D341" s="270"/>
      <c r="E341" s="129"/>
      <c r="F341" s="269"/>
      <c r="G341" s="168"/>
      <c r="H341" s="120"/>
      <c r="I341" s="120"/>
      <c r="J341" s="120"/>
      <c r="K341" s="120"/>
    </row>
    <row r="342" spans="1:11">
      <c r="A342" s="269"/>
      <c r="B342" s="270"/>
      <c r="C342" s="270"/>
      <c r="D342" s="270"/>
      <c r="E342" s="129"/>
      <c r="F342" s="269"/>
      <c r="G342" s="168"/>
      <c r="H342" s="120"/>
      <c r="I342" s="120"/>
      <c r="J342" s="120"/>
      <c r="K342" s="120"/>
    </row>
    <row r="343" spans="1:11">
      <c r="A343" s="269"/>
      <c r="B343" s="270"/>
      <c r="C343" s="270"/>
      <c r="D343" s="270"/>
      <c r="E343" s="129"/>
      <c r="F343" s="269"/>
      <c r="G343" s="168"/>
      <c r="H343" s="120"/>
      <c r="I343" s="120"/>
      <c r="J343" s="120"/>
      <c r="K343" s="120"/>
    </row>
    <row r="344" spans="1:11">
      <c r="A344" s="269"/>
      <c r="B344" s="270"/>
      <c r="C344" s="270"/>
      <c r="D344" s="270"/>
      <c r="E344" s="129"/>
      <c r="F344" s="269"/>
      <c r="G344" s="168"/>
      <c r="H344" s="120"/>
      <c r="I344" s="120"/>
      <c r="J344" s="120"/>
      <c r="K344" s="120"/>
    </row>
    <row r="345" spans="1:11">
      <c r="A345" s="269"/>
      <c r="B345" s="270"/>
      <c r="C345" s="270"/>
      <c r="D345" s="270"/>
      <c r="E345" s="129"/>
      <c r="F345" s="269"/>
      <c r="G345" s="168"/>
      <c r="H345" s="120"/>
      <c r="I345" s="120"/>
      <c r="J345" s="120"/>
      <c r="K345" s="120"/>
    </row>
    <row r="346" spans="1:11">
      <c r="A346" s="269"/>
      <c r="B346" s="270"/>
      <c r="C346" s="270"/>
      <c r="D346" s="270"/>
      <c r="E346" s="129"/>
      <c r="F346" s="269"/>
      <c r="G346" s="168"/>
      <c r="H346" s="120"/>
      <c r="I346" s="120"/>
      <c r="J346" s="120"/>
      <c r="K346" s="120"/>
    </row>
    <row r="347" spans="1:11">
      <c r="A347" s="269"/>
      <c r="B347" s="270"/>
      <c r="C347" s="270"/>
      <c r="D347" s="270"/>
      <c r="E347" s="129"/>
      <c r="F347" s="269"/>
      <c r="G347" s="168"/>
      <c r="H347" s="120"/>
      <c r="I347" s="120"/>
      <c r="J347" s="120"/>
      <c r="K347" s="120"/>
    </row>
    <row r="348" spans="1:11">
      <c r="A348" s="269"/>
      <c r="B348" s="270"/>
      <c r="C348" s="270"/>
      <c r="D348" s="270"/>
      <c r="E348" s="129"/>
      <c r="F348" s="269"/>
      <c r="G348" s="168"/>
      <c r="H348" s="120"/>
      <c r="I348" s="120"/>
      <c r="J348" s="120"/>
      <c r="K348" s="120"/>
    </row>
    <row r="349" spans="1:11">
      <c r="A349" s="269"/>
      <c r="B349" s="270"/>
      <c r="C349" s="270"/>
      <c r="D349" s="270"/>
      <c r="E349" s="129"/>
      <c r="F349" s="269"/>
      <c r="G349" s="168"/>
      <c r="H349" s="120"/>
      <c r="I349" s="120"/>
      <c r="J349" s="120"/>
      <c r="K349" s="120"/>
    </row>
    <row r="350" spans="1:11">
      <c r="A350" s="269"/>
      <c r="B350" s="270"/>
      <c r="C350" s="270"/>
      <c r="D350" s="270"/>
      <c r="E350" s="129"/>
      <c r="F350" s="269"/>
      <c r="G350" s="168"/>
      <c r="H350" s="120"/>
      <c r="I350" s="120"/>
      <c r="J350" s="120"/>
      <c r="K350" s="120"/>
    </row>
    <row r="351" spans="1:11">
      <c r="A351" s="269"/>
      <c r="B351" s="270"/>
      <c r="C351" s="270"/>
      <c r="D351" s="270"/>
      <c r="E351" s="129"/>
      <c r="F351" s="269"/>
      <c r="G351" s="168"/>
      <c r="H351" s="120"/>
      <c r="I351" s="120"/>
      <c r="J351" s="120"/>
      <c r="K351" s="120"/>
    </row>
    <row r="352" spans="1:11">
      <c r="A352" s="269"/>
      <c r="B352" s="270"/>
      <c r="C352" s="270"/>
      <c r="D352" s="270"/>
      <c r="E352" s="129"/>
      <c r="F352" s="269"/>
      <c r="G352" s="168"/>
      <c r="H352" s="120"/>
      <c r="I352" s="120"/>
      <c r="J352" s="120"/>
      <c r="K352" s="120"/>
    </row>
    <row r="353" spans="1:11">
      <c r="A353" s="269"/>
      <c r="B353" s="270"/>
      <c r="C353" s="270"/>
      <c r="D353" s="270"/>
      <c r="E353" s="129"/>
      <c r="F353" s="269"/>
      <c r="G353" s="168"/>
      <c r="H353" s="120"/>
      <c r="I353" s="120"/>
      <c r="J353" s="120"/>
      <c r="K353" s="120"/>
    </row>
    <row r="354" spans="1:11">
      <c r="A354" s="269"/>
      <c r="B354" s="270"/>
      <c r="C354" s="270"/>
      <c r="D354" s="270"/>
      <c r="E354" s="129"/>
      <c r="F354" s="269"/>
      <c r="G354" s="168"/>
      <c r="H354" s="120"/>
      <c r="I354" s="120"/>
      <c r="J354" s="120"/>
      <c r="K354" s="120"/>
    </row>
    <row r="355" spans="1:11">
      <c r="A355" s="269"/>
      <c r="B355" s="270"/>
      <c r="C355" s="270"/>
      <c r="D355" s="270"/>
      <c r="E355" s="129"/>
      <c r="F355" s="269"/>
      <c r="G355" s="168"/>
      <c r="H355" s="120"/>
      <c r="I355" s="120"/>
      <c r="J355" s="120"/>
      <c r="K355" s="120"/>
    </row>
    <row r="356" spans="1:11">
      <c r="A356" s="269"/>
      <c r="B356" s="270"/>
      <c r="C356" s="270"/>
      <c r="D356" s="270"/>
      <c r="E356" s="129"/>
      <c r="F356" s="269"/>
      <c r="G356" s="168"/>
      <c r="H356" s="120"/>
      <c r="I356" s="120"/>
      <c r="J356" s="120"/>
      <c r="K356" s="120"/>
    </row>
    <row r="357" spans="1:11">
      <c r="A357" s="269"/>
      <c r="B357" s="270"/>
      <c r="C357" s="270"/>
      <c r="D357" s="270"/>
      <c r="E357" s="129"/>
      <c r="F357" s="269"/>
      <c r="G357" s="168"/>
      <c r="H357" s="120"/>
      <c r="I357" s="120"/>
      <c r="J357" s="120"/>
      <c r="K357" s="120"/>
    </row>
    <row r="358" spans="1:11">
      <c r="A358" s="269"/>
      <c r="B358" s="270"/>
      <c r="C358" s="270"/>
      <c r="D358" s="270"/>
      <c r="E358" s="129"/>
      <c r="F358" s="269"/>
      <c r="G358" s="168"/>
      <c r="H358" s="120"/>
      <c r="I358" s="120"/>
      <c r="J358" s="120"/>
      <c r="K358" s="120"/>
    </row>
    <row r="359" spans="1:11">
      <c r="A359" s="269"/>
      <c r="B359" s="270"/>
      <c r="C359" s="270"/>
      <c r="D359" s="270"/>
      <c r="E359" s="129"/>
      <c r="F359" s="269"/>
      <c r="G359" s="168"/>
      <c r="H359" s="120"/>
      <c r="I359" s="120"/>
      <c r="J359" s="120"/>
      <c r="K359" s="120"/>
    </row>
    <row r="360" spans="1:11">
      <c r="A360" s="269"/>
      <c r="B360" s="270"/>
      <c r="C360" s="270"/>
      <c r="D360" s="270"/>
      <c r="E360" s="129"/>
      <c r="F360" s="269"/>
      <c r="G360" s="168"/>
      <c r="H360" s="120"/>
      <c r="I360" s="120"/>
      <c r="J360" s="120"/>
      <c r="K360" s="120"/>
    </row>
    <row r="361" spans="1:11">
      <c r="A361" s="269"/>
      <c r="B361" s="270"/>
      <c r="C361" s="270"/>
      <c r="D361" s="270"/>
      <c r="E361" s="129"/>
      <c r="F361" s="269"/>
      <c r="G361" s="168"/>
      <c r="H361" s="120"/>
      <c r="I361" s="120"/>
      <c r="J361" s="120"/>
      <c r="K361" s="120"/>
    </row>
    <row r="362" spans="1:11">
      <c r="A362" s="269"/>
      <c r="B362" s="270"/>
      <c r="C362" s="270"/>
      <c r="D362" s="270"/>
      <c r="E362" s="129"/>
      <c r="F362" s="269"/>
      <c r="G362" s="168"/>
      <c r="H362" s="120"/>
      <c r="I362" s="120"/>
      <c r="J362" s="120"/>
      <c r="K362" s="120"/>
    </row>
    <row r="363" spans="1:11">
      <c r="A363" s="269"/>
      <c r="B363" s="270"/>
      <c r="C363" s="270"/>
      <c r="D363" s="270"/>
      <c r="E363" s="129"/>
      <c r="F363" s="269"/>
      <c r="G363" s="168"/>
      <c r="H363" s="120"/>
      <c r="I363" s="120"/>
      <c r="J363" s="120"/>
      <c r="K363" s="120"/>
    </row>
    <row r="364" spans="1:11">
      <c r="A364" s="269"/>
      <c r="B364" s="270"/>
      <c r="C364" s="270"/>
      <c r="D364" s="270"/>
      <c r="E364" s="129"/>
      <c r="F364" s="269"/>
      <c r="G364" s="168"/>
      <c r="H364" s="120"/>
      <c r="I364" s="120"/>
      <c r="J364" s="120"/>
      <c r="K364" s="120"/>
    </row>
    <row r="365" spans="1:11">
      <c r="A365" s="269"/>
      <c r="B365" s="270"/>
      <c r="C365" s="270"/>
      <c r="D365" s="270"/>
      <c r="E365" s="129"/>
      <c r="F365" s="269"/>
      <c r="G365" s="168"/>
      <c r="H365" s="120"/>
      <c r="I365" s="120"/>
      <c r="J365" s="120"/>
      <c r="K365" s="120"/>
    </row>
    <row r="366" spans="1:11">
      <c r="A366" s="269"/>
      <c r="B366" s="270"/>
      <c r="C366" s="270"/>
      <c r="D366" s="270"/>
      <c r="E366" s="129"/>
      <c r="F366" s="269"/>
      <c r="G366" s="168"/>
      <c r="H366" s="120"/>
      <c r="I366" s="120"/>
      <c r="J366" s="120"/>
      <c r="K366" s="120"/>
    </row>
    <row r="367" spans="1:11">
      <c r="A367" s="269"/>
      <c r="B367" s="270"/>
      <c r="C367" s="270"/>
      <c r="D367" s="270"/>
      <c r="E367" s="129"/>
      <c r="F367" s="269"/>
      <c r="G367" s="168"/>
      <c r="H367" s="120"/>
      <c r="I367" s="120"/>
      <c r="J367" s="120"/>
      <c r="K367" s="120"/>
    </row>
    <row r="368" spans="1:11">
      <c r="A368" s="269"/>
      <c r="B368" s="270"/>
      <c r="C368" s="270"/>
      <c r="D368" s="270"/>
      <c r="E368" s="129"/>
      <c r="F368" s="269"/>
      <c r="G368" s="168"/>
      <c r="H368" s="120"/>
      <c r="I368" s="120"/>
      <c r="J368" s="120"/>
      <c r="K368" s="120"/>
    </row>
    <row r="369" spans="1:11">
      <c r="A369" s="269"/>
      <c r="B369" s="270"/>
      <c r="C369" s="270"/>
      <c r="D369" s="270"/>
      <c r="E369" s="129"/>
      <c r="F369" s="269"/>
      <c r="G369" s="168"/>
      <c r="H369" s="120"/>
      <c r="I369" s="120"/>
      <c r="J369" s="120"/>
      <c r="K369" s="120"/>
    </row>
    <row r="370" spans="1:11">
      <c r="A370" s="269"/>
      <c r="B370" s="270"/>
      <c r="C370" s="270"/>
      <c r="D370" s="270"/>
      <c r="E370" s="129"/>
      <c r="F370" s="269"/>
      <c r="G370" s="168"/>
      <c r="H370" s="120"/>
      <c r="I370" s="120"/>
      <c r="J370" s="120"/>
      <c r="K370" s="120"/>
    </row>
    <row r="371" spans="1:11">
      <c r="A371" s="269"/>
      <c r="B371" s="270"/>
      <c r="C371" s="270"/>
      <c r="D371" s="270"/>
      <c r="E371" s="129"/>
      <c r="F371" s="269"/>
      <c r="G371" s="168"/>
      <c r="H371" s="120"/>
      <c r="I371" s="120"/>
      <c r="J371" s="120"/>
      <c r="K371" s="120"/>
    </row>
    <row r="372" spans="1:11">
      <c r="A372" s="269"/>
      <c r="B372" s="270"/>
      <c r="C372" s="270"/>
      <c r="D372" s="270"/>
      <c r="E372" s="129"/>
      <c r="F372" s="269"/>
      <c r="G372" s="168"/>
      <c r="H372" s="120"/>
      <c r="I372" s="120"/>
      <c r="J372" s="120"/>
      <c r="K372" s="120"/>
    </row>
    <row r="373" spans="1:11">
      <c r="A373" s="269"/>
      <c r="B373" s="270"/>
      <c r="C373" s="270"/>
      <c r="D373" s="270"/>
      <c r="E373" s="129"/>
      <c r="F373" s="269"/>
      <c r="G373" s="168"/>
      <c r="H373" s="120"/>
      <c r="I373" s="120"/>
      <c r="J373" s="120"/>
      <c r="K373" s="120"/>
    </row>
    <row r="374" spans="1:11">
      <c r="A374" s="269"/>
      <c r="B374" s="270"/>
      <c r="C374" s="270"/>
      <c r="D374" s="270"/>
      <c r="E374" s="129"/>
      <c r="F374" s="269"/>
      <c r="G374" s="168"/>
      <c r="H374" s="120"/>
      <c r="I374" s="120"/>
      <c r="J374" s="120"/>
      <c r="K374" s="120"/>
    </row>
    <row r="375" spans="1:11">
      <c r="A375" s="269"/>
      <c r="B375" s="270"/>
      <c r="C375" s="270"/>
      <c r="D375" s="270"/>
      <c r="E375" s="129"/>
      <c r="F375" s="269"/>
      <c r="G375" s="168"/>
      <c r="H375" s="120"/>
      <c r="I375" s="120"/>
      <c r="J375" s="120"/>
      <c r="K375" s="120"/>
    </row>
    <row r="376" spans="1:11">
      <c r="A376" s="269"/>
      <c r="B376" s="270"/>
      <c r="C376" s="270"/>
      <c r="D376" s="270"/>
      <c r="E376" s="129"/>
      <c r="F376" s="269"/>
      <c r="G376" s="168"/>
      <c r="H376" s="120"/>
      <c r="I376" s="120"/>
      <c r="J376" s="120"/>
      <c r="K376" s="120"/>
    </row>
    <row r="377" spans="1:11">
      <c r="A377" s="269"/>
      <c r="B377" s="270"/>
      <c r="C377" s="270"/>
      <c r="D377" s="270"/>
      <c r="E377" s="129"/>
      <c r="F377" s="269"/>
      <c r="G377" s="168"/>
      <c r="H377" s="120"/>
      <c r="I377" s="120"/>
      <c r="J377" s="120"/>
      <c r="K377" s="120"/>
    </row>
    <row r="378" spans="1:11">
      <c r="A378" s="269"/>
      <c r="B378" s="270"/>
      <c r="C378" s="270"/>
      <c r="D378" s="270"/>
      <c r="E378" s="129"/>
      <c r="F378" s="269"/>
      <c r="G378" s="168"/>
      <c r="H378" s="120"/>
      <c r="I378" s="120"/>
      <c r="J378" s="120"/>
      <c r="K378" s="120"/>
    </row>
    <row r="379" spans="1:11">
      <c r="A379" s="269"/>
      <c r="B379" s="270"/>
      <c r="C379" s="270"/>
      <c r="D379" s="270"/>
      <c r="E379" s="129"/>
      <c r="F379" s="269"/>
      <c r="G379" s="168"/>
      <c r="H379" s="120"/>
      <c r="I379" s="120"/>
      <c r="J379" s="120"/>
      <c r="K379" s="120"/>
    </row>
    <row r="380" spans="1:11">
      <c r="A380" s="269"/>
      <c r="B380" s="270"/>
      <c r="C380" s="270"/>
      <c r="D380" s="270"/>
      <c r="E380" s="129"/>
      <c r="F380" s="269"/>
      <c r="G380" s="168"/>
      <c r="H380" s="120"/>
      <c r="I380" s="120"/>
      <c r="J380" s="120"/>
      <c r="K380" s="120"/>
    </row>
    <row r="381" spans="1:11">
      <c r="A381" s="269"/>
      <c r="B381" s="270"/>
      <c r="C381" s="270"/>
      <c r="D381" s="270"/>
      <c r="E381" s="129"/>
      <c r="F381" s="269"/>
      <c r="G381" s="168"/>
      <c r="H381" s="120"/>
      <c r="I381" s="120"/>
      <c r="J381" s="120"/>
      <c r="K381" s="120"/>
    </row>
    <row r="382" spans="1:11">
      <c r="A382" s="269"/>
      <c r="B382" s="270"/>
      <c r="C382" s="270"/>
      <c r="D382" s="270"/>
      <c r="E382" s="129"/>
      <c r="F382" s="269"/>
      <c r="G382" s="168"/>
      <c r="H382" s="120"/>
      <c r="I382" s="120"/>
      <c r="J382" s="120"/>
      <c r="K382" s="120"/>
    </row>
    <row r="383" spans="1:11">
      <c r="A383" s="269"/>
      <c r="B383" s="270"/>
      <c r="C383" s="270"/>
      <c r="D383" s="270"/>
      <c r="E383" s="129"/>
      <c r="F383" s="269"/>
      <c r="G383" s="168"/>
      <c r="H383" s="120"/>
      <c r="I383" s="120"/>
      <c r="J383" s="120"/>
      <c r="K383" s="120"/>
    </row>
    <row r="384" spans="1:11">
      <c r="A384" s="269"/>
      <c r="B384" s="270"/>
      <c r="C384" s="270"/>
      <c r="D384" s="270"/>
      <c r="E384" s="129"/>
      <c r="F384" s="269"/>
      <c r="G384" s="168"/>
      <c r="H384" s="120"/>
      <c r="I384" s="120"/>
      <c r="J384" s="120"/>
      <c r="K384" s="120"/>
    </row>
    <row r="385" spans="1:11">
      <c r="A385" s="269"/>
      <c r="B385" s="270"/>
      <c r="C385" s="270"/>
      <c r="D385" s="270"/>
      <c r="E385" s="129"/>
      <c r="F385" s="269"/>
      <c r="G385" s="168"/>
      <c r="H385" s="120"/>
      <c r="I385" s="120"/>
      <c r="J385" s="120"/>
      <c r="K385" s="120"/>
    </row>
    <row r="386" spans="1:11">
      <c r="A386" s="269"/>
      <c r="B386" s="270"/>
      <c r="C386" s="270"/>
      <c r="D386" s="270"/>
      <c r="E386" s="129"/>
      <c r="F386" s="269"/>
      <c r="G386" s="168"/>
      <c r="H386" s="120"/>
      <c r="I386" s="120"/>
      <c r="J386" s="120"/>
      <c r="K386" s="120"/>
    </row>
    <row r="387" spans="1:11">
      <c r="A387" s="269"/>
      <c r="B387" s="270"/>
      <c r="C387" s="270"/>
      <c r="D387" s="270"/>
      <c r="E387" s="129"/>
      <c r="F387" s="269"/>
      <c r="G387" s="168"/>
      <c r="H387" s="120"/>
      <c r="I387" s="120"/>
      <c r="J387" s="120"/>
      <c r="K387" s="120"/>
    </row>
    <row r="388" spans="1:11">
      <c r="A388" s="269"/>
      <c r="B388" s="270"/>
      <c r="C388" s="270"/>
      <c r="D388" s="270"/>
      <c r="E388" s="129"/>
      <c r="F388" s="269"/>
      <c r="G388" s="168"/>
      <c r="H388" s="120"/>
      <c r="I388" s="120"/>
      <c r="J388" s="120"/>
      <c r="K388" s="120"/>
    </row>
    <row r="389" spans="1:11">
      <c r="A389" s="269"/>
      <c r="B389" s="270"/>
      <c r="C389" s="270"/>
      <c r="D389" s="270"/>
      <c r="E389" s="129"/>
      <c r="F389" s="269"/>
      <c r="G389" s="168"/>
      <c r="H389" s="120"/>
      <c r="I389" s="120"/>
      <c r="J389" s="120"/>
      <c r="K389" s="120"/>
    </row>
    <row r="390" spans="1:11">
      <c r="A390" s="269"/>
      <c r="B390" s="270"/>
      <c r="C390" s="270"/>
      <c r="D390" s="270"/>
      <c r="E390" s="129"/>
      <c r="F390" s="269"/>
      <c r="G390" s="168"/>
      <c r="H390" s="120"/>
      <c r="I390" s="120"/>
      <c r="J390" s="120"/>
      <c r="K390" s="120"/>
    </row>
    <row r="391" spans="1:11">
      <c r="A391" s="269"/>
      <c r="B391" s="270"/>
      <c r="C391" s="270"/>
      <c r="D391" s="270"/>
      <c r="E391" s="129"/>
      <c r="F391" s="269"/>
      <c r="G391" s="168"/>
      <c r="H391" s="120"/>
      <c r="I391" s="120"/>
      <c r="J391" s="120"/>
      <c r="K391" s="120"/>
    </row>
    <row r="392" spans="1:11">
      <c r="A392" s="269"/>
      <c r="B392" s="270"/>
      <c r="C392" s="270"/>
      <c r="D392" s="270"/>
      <c r="E392" s="129"/>
      <c r="F392" s="269"/>
      <c r="G392" s="168"/>
      <c r="H392" s="120"/>
      <c r="I392" s="120"/>
      <c r="J392" s="120"/>
      <c r="K392" s="120"/>
    </row>
    <row r="393" spans="1:11">
      <c r="A393" s="269"/>
      <c r="B393" s="270"/>
      <c r="C393" s="270"/>
      <c r="D393" s="270"/>
      <c r="E393" s="129"/>
      <c r="F393" s="269"/>
      <c r="G393" s="168"/>
      <c r="H393" s="120"/>
      <c r="I393" s="120"/>
      <c r="J393" s="120"/>
      <c r="K393" s="120"/>
    </row>
    <row r="394" spans="1:11">
      <c r="A394" s="269"/>
      <c r="B394" s="270"/>
      <c r="C394" s="270"/>
      <c r="D394" s="270"/>
      <c r="E394" s="129"/>
      <c r="F394" s="269"/>
      <c r="G394" s="168"/>
      <c r="H394" s="120"/>
      <c r="I394" s="120"/>
      <c r="J394" s="120"/>
      <c r="K394" s="120"/>
    </row>
    <row r="395" spans="1:11">
      <c r="A395" s="269"/>
      <c r="B395" s="270"/>
      <c r="C395" s="270"/>
      <c r="D395" s="270"/>
      <c r="E395" s="129"/>
      <c r="F395" s="269"/>
      <c r="G395" s="168"/>
      <c r="H395" s="120"/>
      <c r="I395" s="120"/>
      <c r="J395" s="120"/>
      <c r="K395" s="120"/>
    </row>
    <row r="396" spans="1:11">
      <c r="A396" s="269"/>
      <c r="B396" s="270"/>
      <c r="C396" s="270"/>
      <c r="D396" s="270"/>
      <c r="E396" s="129"/>
      <c r="F396" s="269"/>
      <c r="G396" s="168"/>
      <c r="H396" s="120"/>
      <c r="I396" s="120"/>
      <c r="J396" s="120"/>
      <c r="K396" s="120"/>
    </row>
    <row r="397" spans="1:11">
      <c r="A397" s="269"/>
      <c r="B397" s="270"/>
      <c r="C397" s="270"/>
      <c r="D397" s="270"/>
      <c r="E397" s="129"/>
      <c r="F397" s="269"/>
      <c r="G397" s="168"/>
      <c r="H397" s="120"/>
      <c r="I397" s="120"/>
      <c r="J397" s="120"/>
      <c r="K397" s="120"/>
    </row>
    <row r="398" spans="1:11">
      <c r="A398" s="269"/>
      <c r="B398" s="270"/>
      <c r="C398" s="270"/>
      <c r="D398" s="270"/>
      <c r="E398" s="129"/>
      <c r="F398" s="269"/>
      <c r="G398" s="168"/>
      <c r="H398" s="120"/>
      <c r="I398" s="120"/>
      <c r="J398" s="120"/>
      <c r="K398" s="120"/>
    </row>
    <row r="399" spans="1:11">
      <c r="A399" s="269"/>
      <c r="B399" s="270"/>
      <c r="C399" s="270"/>
      <c r="D399" s="270"/>
      <c r="E399" s="129"/>
      <c r="F399" s="269"/>
      <c r="G399" s="168"/>
      <c r="H399" s="120"/>
      <c r="I399" s="120"/>
      <c r="J399" s="120"/>
      <c r="K399" s="120"/>
    </row>
    <row r="400" spans="1:11">
      <c r="A400" s="269"/>
      <c r="B400" s="270"/>
      <c r="C400" s="270"/>
      <c r="D400" s="270"/>
      <c r="E400" s="129"/>
      <c r="F400" s="269"/>
      <c r="G400" s="168"/>
      <c r="H400" s="120"/>
      <c r="I400" s="120"/>
      <c r="J400" s="120"/>
      <c r="K400" s="120"/>
    </row>
    <row r="401" spans="1:11">
      <c r="A401" s="269"/>
      <c r="B401" s="270"/>
      <c r="C401" s="270"/>
      <c r="D401" s="270"/>
      <c r="E401" s="129"/>
      <c r="F401" s="269"/>
      <c r="G401" s="168"/>
      <c r="H401" s="120"/>
      <c r="I401" s="120"/>
      <c r="J401" s="120"/>
      <c r="K401" s="120"/>
    </row>
    <row r="402" spans="1:11">
      <c r="A402" s="269"/>
      <c r="B402" s="270"/>
      <c r="C402" s="270"/>
      <c r="D402" s="270"/>
      <c r="E402" s="129"/>
      <c r="F402" s="269"/>
      <c r="G402" s="168"/>
      <c r="H402" s="120"/>
      <c r="I402" s="120"/>
      <c r="J402" s="120"/>
      <c r="K402" s="120"/>
    </row>
    <row r="403" spans="1:11">
      <c r="A403" s="269"/>
      <c r="B403" s="270"/>
      <c r="C403" s="270"/>
      <c r="D403" s="270"/>
      <c r="E403" s="129"/>
      <c r="F403" s="269"/>
      <c r="G403" s="168"/>
      <c r="H403" s="120"/>
      <c r="I403" s="120"/>
      <c r="J403" s="120"/>
      <c r="K403" s="120"/>
    </row>
    <row r="404" spans="1:11">
      <c r="A404" s="269"/>
      <c r="B404" s="270"/>
      <c r="C404" s="270"/>
      <c r="D404" s="270"/>
      <c r="E404" s="129"/>
      <c r="F404" s="269"/>
      <c r="G404" s="168"/>
      <c r="H404" s="120"/>
      <c r="I404" s="120"/>
      <c r="J404" s="120"/>
      <c r="K404" s="120"/>
    </row>
    <row r="405" spans="1:11">
      <c r="A405" s="269"/>
      <c r="B405" s="270"/>
      <c r="C405" s="270"/>
      <c r="D405" s="270"/>
      <c r="E405" s="129"/>
      <c r="F405" s="269"/>
      <c r="G405" s="168"/>
      <c r="H405" s="120"/>
      <c r="I405" s="120"/>
      <c r="J405" s="120"/>
      <c r="K405" s="120"/>
    </row>
    <row r="406" spans="1:11">
      <c r="A406" s="269"/>
      <c r="B406" s="270"/>
      <c r="C406" s="270"/>
      <c r="D406" s="270"/>
      <c r="E406" s="129"/>
      <c r="F406" s="269"/>
      <c r="G406" s="168"/>
      <c r="H406" s="120"/>
      <c r="I406" s="120"/>
      <c r="J406" s="120"/>
      <c r="K406" s="120"/>
    </row>
    <row r="407" spans="1:11">
      <c r="A407" s="269"/>
      <c r="B407" s="270"/>
      <c r="C407" s="270"/>
      <c r="D407" s="270"/>
      <c r="E407" s="129"/>
      <c r="F407" s="269"/>
      <c r="G407" s="168"/>
      <c r="H407" s="120"/>
      <c r="I407" s="120"/>
      <c r="J407" s="120"/>
      <c r="K407" s="120"/>
    </row>
    <row r="408" spans="1:11">
      <c r="A408" s="269"/>
      <c r="B408" s="270"/>
      <c r="C408" s="270"/>
      <c r="D408" s="270"/>
      <c r="E408" s="129"/>
      <c r="F408" s="269"/>
      <c r="G408" s="168"/>
      <c r="H408" s="120"/>
      <c r="I408" s="120"/>
      <c r="J408" s="120"/>
      <c r="K408" s="120"/>
    </row>
    <row r="409" spans="1:11">
      <c r="A409" s="269"/>
      <c r="B409" s="270"/>
      <c r="C409" s="270"/>
      <c r="D409" s="270"/>
      <c r="E409" s="129"/>
      <c r="F409" s="269"/>
      <c r="G409" s="168"/>
      <c r="H409" s="120"/>
      <c r="I409" s="120"/>
      <c r="J409" s="120"/>
      <c r="K409" s="120"/>
    </row>
    <row r="410" spans="1:11">
      <c r="A410" s="269"/>
      <c r="B410" s="270"/>
      <c r="C410" s="270"/>
      <c r="D410" s="270"/>
      <c r="E410" s="129"/>
      <c r="F410" s="269"/>
      <c r="G410" s="168"/>
      <c r="H410" s="120"/>
      <c r="I410" s="120"/>
      <c r="J410" s="120"/>
      <c r="K410" s="120"/>
    </row>
    <row r="411" spans="1:11">
      <c r="A411" s="269"/>
      <c r="B411" s="270"/>
      <c r="C411" s="270"/>
      <c r="D411" s="270"/>
      <c r="E411" s="129"/>
      <c r="F411" s="269"/>
      <c r="G411" s="168"/>
      <c r="H411" s="120"/>
      <c r="I411" s="120"/>
      <c r="J411" s="120"/>
      <c r="K411" s="120"/>
    </row>
    <row r="412" spans="1:11">
      <c r="A412" s="269"/>
      <c r="B412" s="270"/>
      <c r="C412" s="270"/>
      <c r="D412" s="270"/>
      <c r="E412" s="129"/>
      <c r="F412" s="269"/>
      <c r="G412" s="168"/>
      <c r="H412" s="120"/>
      <c r="I412" s="120"/>
      <c r="J412" s="120"/>
      <c r="K412" s="120"/>
    </row>
    <row r="413" spans="1:11">
      <c r="A413" s="269"/>
      <c r="B413" s="270"/>
      <c r="C413" s="270"/>
      <c r="D413" s="270"/>
      <c r="E413" s="129"/>
      <c r="F413" s="269"/>
      <c r="G413" s="168"/>
      <c r="H413" s="120"/>
      <c r="I413" s="120"/>
      <c r="J413" s="120"/>
      <c r="K413" s="120"/>
    </row>
    <row r="414" spans="1:11">
      <c r="A414" s="269"/>
      <c r="B414" s="270"/>
      <c r="C414" s="270"/>
      <c r="D414" s="270"/>
      <c r="E414" s="129"/>
      <c r="F414" s="269"/>
      <c r="G414" s="168"/>
      <c r="H414" s="120"/>
      <c r="I414" s="120"/>
      <c r="J414" s="120"/>
      <c r="K414" s="120"/>
    </row>
    <row r="415" spans="1:11">
      <c r="A415" s="269"/>
      <c r="B415" s="270"/>
      <c r="C415" s="270"/>
      <c r="D415" s="270"/>
      <c r="E415" s="129"/>
      <c r="F415" s="269"/>
      <c r="G415" s="168"/>
      <c r="H415" s="120"/>
      <c r="I415" s="120"/>
      <c r="J415" s="120"/>
      <c r="K415" s="120"/>
    </row>
    <row r="416" spans="1:11">
      <c r="A416" s="269"/>
      <c r="B416" s="270"/>
      <c r="C416" s="270"/>
      <c r="D416" s="270"/>
      <c r="E416" s="129"/>
      <c r="F416" s="269"/>
      <c r="G416" s="168"/>
      <c r="H416" s="120"/>
      <c r="I416" s="120"/>
      <c r="J416" s="120"/>
      <c r="K416" s="120"/>
    </row>
    <row r="417" spans="1:11">
      <c r="A417" s="269"/>
      <c r="B417" s="270"/>
      <c r="C417" s="270"/>
      <c r="D417" s="270"/>
      <c r="E417" s="129"/>
      <c r="F417" s="269"/>
      <c r="G417" s="168"/>
      <c r="H417" s="120"/>
      <c r="I417" s="120"/>
      <c r="J417" s="120"/>
      <c r="K417" s="120"/>
    </row>
    <row r="418" spans="1:11">
      <c r="A418" s="269"/>
      <c r="B418" s="270"/>
      <c r="C418" s="270"/>
      <c r="D418" s="270"/>
      <c r="E418" s="129"/>
      <c r="F418" s="269"/>
      <c r="G418" s="168"/>
      <c r="H418" s="120"/>
      <c r="I418" s="120"/>
      <c r="J418" s="120"/>
      <c r="K418" s="120"/>
    </row>
    <row r="419" spans="1:11">
      <c r="A419" s="269"/>
      <c r="B419" s="270"/>
      <c r="C419" s="270"/>
      <c r="D419" s="270"/>
      <c r="E419" s="129"/>
      <c r="F419" s="269"/>
      <c r="G419" s="168"/>
      <c r="H419" s="120"/>
      <c r="I419" s="120"/>
      <c r="J419" s="120"/>
      <c r="K419" s="120"/>
    </row>
    <row r="420" spans="1:11">
      <c r="A420" s="269"/>
      <c r="B420" s="270"/>
      <c r="C420" s="270"/>
      <c r="D420" s="270"/>
      <c r="E420" s="129"/>
      <c r="F420" s="269"/>
      <c r="G420" s="168"/>
      <c r="H420" s="120"/>
      <c r="I420" s="120"/>
      <c r="J420" s="120"/>
      <c r="K420" s="120"/>
    </row>
    <row r="421" spans="1:11">
      <c r="A421" s="269"/>
      <c r="B421" s="270"/>
      <c r="C421" s="270"/>
      <c r="D421" s="270"/>
      <c r="E421" s="129"/>
      <c r="F421" s="269"/>
      <c r="G421" s="168"/>
      <c r="H421" s="120"/>
      <c r="I421" s="120"/>
      <c r="J421" s="120"/>
      <c r="K421" s="120"/>
    </row>
    <row r="422" spans="1:11">
      <c r="A422" s="269"/>
      <c r="B422" s="270"/>
      <c r="C422" s="270"/>
      <c r="D422" s="270"/>
      <c r="E422" s="129"/>
      <c r="F422" s="269"/>
      <c r="G422" s="168"/>
      <c r="H422" s="120"/>
      <c r="I422" s="120"/>
      <c r="J422" s="120"/>
      <c r="K422" s="120"/>
    </row>
    <row r="423" spans="1:11">
      <c r="A423" s="269"/>
      <c r="B423" s="270"/>
      <c r="C423" s="270"/>
      <c r="D423" s="270"/>
      <c r="E423" s="129"/>
      <c r="F423" s="269"/>
      <c r="G423" s="168"/>
      <c r="H423" s="120"/>
      <c r="I423" s="120"/>
      <c r="J423" s="120"/>
      <c r="K423" s="120"/>
    </row>
    <row r="424" spans="1:11">
      <c r="A424" s="269"/>
      <c r="B424" s="270"/>
      <c r="C424" s="270"/>
      <c r="D424" s="270"/>
      <c r="E424" s="129"/>
      <c r="F424" s="269"/>
      <c r="G424" s="168"/>
      <c r="H424" s="120"/>
      <c r="I424" s="120"/>
      <c r="J424" s="120"/>
      <c r="K424" s="120"/>
    </row>
    <row r="425" spans="1:11">
      <c r="A425" s="269"/>
      <c r="B425" s="270"/>
      <c r="C425" s="270"/>
      <c r="D425" s="270"/>
      <c r="E425" s="129"/>
      <c r="F425" s="269"/>
      <c r="G425" s="168"/>
      <c r="H425" s="120"/>
      <c r="I425" s="120"/>
      <c r="J425" s="120"/>
      <c r="K425" s="120"/>
    </row>
    <row r="426" spans="1:11">
      <c r="A426" s="269"/>
      <c r="B426" s="270"/>
      <c r="C426" s="270"/>
      <c r="D426" s="270"/>
      <c r="E426" s="129"/>
      <c r="F426" s="269"/>
      <c r="G426" s="168"/>
      <c r="H426" s="120"/>
      <c r="I426" s="120"/>
      <c r="J426" s="120"/>
      <c r="K426" s="120"/>
    </row>
    <row r="427" spans="1:11">
      <c r="A427" s="269"/>
      <c r="B427" s="270"/>
      <c r="C427" s="270"/>
      <c r="D427" s="270"/>
      <c r="E427" s="129"/>
      <c r="F427" s="269"/>
      <c r="G427" s="168"/>
      <c r="H427" s="120"/>
      <c r="I427" s="120"/>
      <c r="J427" s="120"/>
      <c r="K427" s="120"/>
    </row>
    <row r="428" spans="1:11">
      <c r="A428" s="122"/>
      <c r="E428" s="122"/>
      <c r="F428" s="122"/>
      <c r="G428" s="139"/>
      <c r="H428" s="120"/>
      <c r="I428" s="120"/>
      <c r="J428" s="120"/>
      <c r="K428" s="120"/>
    </row>
    <row r="429" spans="1:11">
      <c r="A429" s="122"/>
      <c r="E429" s="122"/>
      <c r="F429" s="122"/>
      <c r="G429" s="139"/>
      <c r="H429" s="120"/>
      <c r="I429" s="120"/>
      <c r="J429" s="120"/>
      <c r="K429" s="120"/>
    </row>
    <row r="430" spans="1:11">
      <c r="A430" s="122"/>
      <c r="E430" s="122"/>
      <c r="F430" s="122"/>
      <c r="G430" s="139"/>
      <c r="H430" s="120"/>
      <c r="I430" s="120"/>
      <c r="J430" s="120"/>
      <c r="K430" s="120"/>
    </row>
    <row r="431" spans="1:11">
      <c r="A431" s="122"/>
      <c r="E431" s="122"/>
      <c r="F431" s="122"/>
      <c r="G431" s="139"/>
      <c r="H431" s="120"/>
      <c r="I431" s="120"/>
      <c r="J431" s="120"/>
      <c r="K431" s="120"/>
    </row>
    <row r="432" spans="1:11">
      <c r="A432" s="122"/>
      <c r="E432" s="122"/>
      <c r="F432" s="122"/>
      <c r="G432" s="139"/>
      <c r="H432" s="120"/>
      <c r="I432" s="120"/>
      <c r="J432" s="120"/>
      <c r="K432" s="120"/>
    </row>
    <row r="433" spans="1:11">
      <c r="A433" s="122"/>
      <c r="E433" s="122"/>
      <c r="F433" s="122"/>
      <c r="G433" s="139"/>
      <c r="H433" s="120"/>
      <c r="I433" s="120"/>
      <c r="J433" s="120"/>
      <c r="K433" s="120"/>
    </row>
    <row r="434" spans="1:11">
      <c r="A434" s="122"/>
      <c r="E434" s="122"/>
      <c r="F434" s="122"/>
      <c r="G434" s="139"/>
      <c r="H434" s="120"/>
      <c r="I434" s="120"/>
      <c r="J434" s="120"/>
      <c r="K434" s="120"/>
    </row>
    <row r="435" spans="1:11">
      <c r="A435" s="122"/>
      <c r="E435" s="122"/>
      <c r="F435" s="122"/>
      <c r="G435" s="139"/>
      <c r="H435" s="120"/>
      <c r="I435" s="120"/>
      <c r="J435" s="120"/>
      <c r="K435" s="120"/>
    </row>
    <row r="436" spans="1:11">
      <c r="A436" s="122"/>
      <c r="E436" s="122"/>
      <c r="F436" s="122"/>
      <c r="G436" s="139"/>
      <c r="H436" s="120"/>
      <c r="I436" s="120"/>
      <c r="J436" s="120"/>
      <c r="K436" s="120"/>
    </row>
    <row r="437" spans="1:11">
      <c r="A437" s="122"/>
      <c r="E437" s="122"/>
      <c r="F437" s="122"/>
      <c r="G437" s="139"/>
      <c r="H437" s="120"/>
      <c r="I437" s="120"/>
      <c r="J437" s="120"/>
      <c r="K437" s="120"/>
    </row>
    <row r="438" spans="1:11">
      <c r="A438" s="122"/>
      <c r="E438" s="122"/>
      <c r="F438" s="122"/>
      <c r="G438" s="139"/>
      <c r="H438" s="120"/>
      <c r="I438" s="120"/>
      <c r="J438" s="120"/>
      <c r="K438" s="120"/>
    </row>
    <row r="439" spans="1:11">
      <c r="A439" s="122"/>
      <c r="E439" s="122"/>
      <c r="F439" s="122"/>
      <c r="G439" s="139"/>
      <c r="H439" s="120"/>
      <c r="I439" s="120"/>
      <c r="J439" s="120"/>
      <c r="K439" s="120"/>
    </row>
    <row r="440" spans="1:11">
      <c r="A440" s="122"/>
      <c r="E440" s="122"/>
      <c r="F440" s="122"/>
      <c r="G440" s="139"/>
      <c r="H440" s="120"/>
      <c r="I440" s="120"/>
      <c r="J440" s="120"/>
      <c r="K440" s="120"/>
    </row>
    <row r="441" spans="1:11">
      <c r="A441" s="122"/>
      <c r="E441" s="122"/>
      <c r="F441" s="122"/>
      <c r="G441" s="139"/>
      <c r="H441" s="120"/>
      <c r="I441" s="120"/>
      <c r="J441" s="120"/>
      <c r="K441" s="120"/>
    </row>
    <row r="442" spans="1:11">
      <c r="A442" s="122"/>
      <c r="E442" s="122"/>
      <c r="F442" s="122"/>
      <c r="G442" s="139"/>
      <c r="H442" s="120"/>
      <c r="I442" s="120"/>
      <c r="J442" s="120"/>
      <c r="K442" s="120"/>
    </row>
    <row r="443" spans="1:11">
      <c r="A443" s="122"/>
      <c r="E443" s="122"/>
      <c r="F443" s="122"/>
      <c r="G443" s="139"/>
      <c r="H443" s="120"/>
      <c r="I443" s="120"/>
      <c r="J443" s="120"/>
      <c r="K443" s="120"/>
    </row>
    <row r="444" spans="1:11">
      <c r="A444" s="122"/>
      <c r="E444" s="122"/>
      <c r="F444" s="122"/>
      <c r="G444" s="139"/>
      <c r="H444" s="120"/>
      <c r="I444" s="120"/>
      <c r="J444" s="120"/>
      <c r="K444" s="120"/>
    </row>
    <row r="445" spans="1:11">
      <c r="A445" s="122"/>
      <c r="E445" s="122"/>
      <c r="F445" s="122"/>
      <c r="G445" s="139"/>
      <c r="H445" s="120"/>
      <c r="I445" s="120"/>
      <c r="J445" s="120"/>
      <c r="K445" s="120"/>
    </row>
    <row r="446" spans="1:11">
      <c r="A446" s="122"/>
      <c r="E446" s="122"/>
      <c r="F446" s="122"/>
      <c r="G446" s="139"/>
      <c r="H446" s="120"/>
      <c r="I446" s="120"/>
      <c r="J446" s="120"/>
      <c r="K446" s="120"/>
    </row>
    <row r="447" spans="1:11">
      <c r="A447" s="122"/>
      <c r="E447" s="122"/>
      <c r="F447" s="122"/>
      <c r="G447" s="139"/>
      <c r="H447" s="120"/>
      <c r="I447" s="120"/>
      <c r="J447" s="120"/>
      <c r="K447" s="120"/>
    </row>
    <row r="448" spans="1:11">
      <c r="A448" s="122"/>
      <c r="E448" s="122"/>
      <c r="F448" s="122"/>
      <c r="G448" s="139"/>
      <c r="H448" s="120"/>
      <c r="I448" s="120"/>
      <c r="J448" s="120"/>
      <c r="K448" s="120"/>
    </row>
    <row r="449" spans="1:11">
      <c r="A449" s="122"/>
      <c r="E449" s="122"/>
      <c r="F449" s="122"/>
      <c r="G449" s="139"/>
      <c r="H449" s="120"/>
      <c r="I449" s="120"/>
      <c r="J449" s="120"/>
      <c r="K449" s="120"/>
    </row>
    <row r="450" spans="1:11">
      <c r="A450" s="122"/>
      <c r="E450" s="122"/>
      <c r="F450" s="122"/>
      <c r="G450" s="139"/>
      <c r="H450" s="120"/>
      <c r="I450" s="120"/>
      <c r="J450" s="120"/>
      <c r="K450" s="120"/>
    </row>
    <row r="451" spans="1:11">
      <c r="A451" s="122"/>
      <c r="E451" s="122"/>
      <c r="F451" s="122"/>
      <c r="G451" s="139"/>
      <c r="H451" s="120"/>
      <c r="I451" s="120"/>
      <c r="J451" s="120"/>
      <c r="K451" s="120"/>
    </row>
    <row r="452" spans="1:11">
      <c r="A452" s="122"/>
      <c r="E452" s="122"/>
      <c r="F452" s="122"/>
      <c r="G452" s="139"/>
      <c r="H452" s="120"/>
      <c r="I452" s="120"/>
      <c r="J452" s="120"/>
      <c r="K452" s="120"/>
    </row>
    <row r="453" spans="1:11">
      <c r="A453" s="122"/>
      <c r="E453" s="122"/>
      <c r="F453" s="122"/>
      <c r="G453" s="139"/>
      <c r="H453" s="120"/>
      <c r="I453" s="120"/>
      <c r="J453" s="120"/>
      <c r="K453" s="120"/>
    </row>
    <row r="454" spans="1:11">
      <c r="A454" s="122"/>
      <c r="E454" s="122"/>
      <c r="F454" s="122"/>
      <c r="G454" s="139"/>
      <c r="H454" s="120"/>
      <c r="I454" s="120"/>
      <c r="J454" s="120"/>
      <c r="K454" s="120"/>
    </row>
    <row r="455" spans="1:11">
      <c r="A455" s="122"/>
      <c r="E455" s="122"/>
      <c r="F455" s="122"/>
      <c r="G455" s="139"/>
      <c r="H455" s="120"/>
      <c r="I455" s="120"/>
      <c r="J455" s="120"/>
      <c r="K455" s="120"/>
    </row>
    <row r="456" spans="1:11">
      <c r="A456" s="122"/>
      <c r="E456" s="122"/>
      <c r="F456" s="122"/>
      <c r="G456" s="139"/>
      <c r="H456" s="120"/>
      <c r="I456" s="120"/>
      <c r="J456" s="120"/>
      <c r="K456" s="120"/>
    </row>
  </sheetData>
  <autoFilter ref="A3:K31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187"/>
  <sheetViews>
    <sheetView zoomScale="70" zoomScaleNormal="70" zoomScaleSheetLayoutView="100" workbookViewId="0">
      <pane ySplit="3" topLeftCell="A4" activePane="bottomLeft" state="frozen"/>
      <selection pane="bottomLeft" activeCell="A4" sqref="A4"/>
    </sheetView>
  </sheetViews>
  <sheetFormatPr defaultColWidth="9.140625" defaultRowHeight="15"/>
  <cols>
    <col min="1" max="1" width="11.85546875" style="80" customWidth="1"/>
    <col min="2" max="2" width="17.28515625" style="80" customWidth="1"/>
    <col min="3" max="3" width="38.85546875" style="122" customWidth="1"/>
    <col min="4" max="4" width="79.28515625" style="54" customWidth="1"/>
    <col min="5" max="5" width="36" style="54" customWidth="1"/>
    <col min="6" max="6" width="13.140625" style="165" customWidth="1"/>
    <col min="7" max="7" width="13.85546875" style="80" bestFit="1" customWidth="1"/>
    <col min="8" max="8" width="12.85546875" style="80" customWidth="1"/>
    <col min="9" max="9" width="13.7109375" style="80" customWidth="1"/>
    <col min="10" max="10" width="13.28515625" style="80" customWidth="1"/>
    <col min="11" max="11" width="13.7109375" style="80" customWidth="1"/>
    <col min="12" max="13" width="9.140625" style="129"/>
    <col min="14" max="16384" width="9.140625" style="80"/>
  </cols>
  <sheetData>
    <row r="1" spans="1:13">
      <c r="A1" s="81" t="s">
        <v>249</v>
      </c>
    </row>
    <row r="2" spans="1:13" s="165" customFormat="1" ht="25.5" customHeight="1">
      <c r="A2" s="165" t="s">
        <v>560</v>
      </c>
      <c r="D2" s="54"/>
      <c r="E2" s="54"/>
      <c r="G2" s="169">
        <f>COLUMN()</f>
        <v>7</v>
      </c>
      <c r="H2" s="169">
        <f>COLUMN()</f>
        <v>8</v>
      </c>
      <c r="I2" s="169">
        <f>COLUMN()</f>
        <v>9</v>
      </c>
      <c r="J2" s="169">
        <f>COLUMN()</f>
        <v>10</v>
      </c>
      <c r="K2" s="169">
        <f>COLUMN()</f>
        <v>11</v>
      </c>
      <c r="L2" s="129"/>
      <c r="M2" s="129"/>
    </row>
    <row r="3" spans="1:13" ht="30">
      <c r="A3" s="182" t="s">
        <v>800</v>
      </c>
      <c r="B3" s="121" t="s">
        <v>226</v>
      </c>
      <c r="C3" s="136" t="s">
        <v>115</v>
      </c>
      <c r="D3" s="140" t="s">
        <v>40</v>
      </c>
      <c r="E3" s="177" t="s">
        <v>104</v>
      </c>
      <c r="F3" s="176" t="s">
        <v>383</v>
      </c>
      <c r="G3" s="138" t="s">
        <v>58</v>
      </c>
      <c r="H3" s="121" t="s">
        <v>3</v>
      </c>
      <c r="I3" s="121" t="s">
        <v>4</v>
      </c>
      <c r="J3" s="121" t="s">
        <v>5</v>
      </c>
      <c r="K3" s="121" t="s">
        <v>6</v>
      </c>
    </row>
    <row r="4" spans="1:13" s="129" customFormat="1" ht="45">
      <c r="A4" s="129" t="str">
        <f>'EGX Service assumptions'!B6</f>
        <v>EGX_1</v>
      </c>
      <c r="B4" s="129" t="str">
        <f>VLOOKUP($A4,'EGX Service assumptions'!$B:$AY,'EGX Service assumptions'!D$3,FALSE)</f>
        <v>Connection application and management services</v>
      </c>
      <c r="C4" s="129" t="str">
        <f>VLOOKUP($A4,'EGX Service assumptions'!$B:$AY,'EGX Service assumptions'!E$3,FALSE)</f>
        <v>De-energisation</v>
      </c>
      <c r="D4" s="143"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E4" s="143" t="str">
        <f>VLOOKUP($A4,'EGX Service assumptions'!$B:$AY,'EGX Service assumptions'!G$3,FALSE)</f>
        <v>BUSINESS HOURS - NO CT</v>
      </c>
      <c r="F4" s="129" t="str">
        <f>VLOOKUP($A4,'EGX Service assumptions'!$B:$AY,'EGX Service assumptions'!K$3,FALSE)</f>
        <v>No</v>
      </c>
      <c r="G4" s="168">
        <f>VLOOKUP($A4,'EGX Service assumptions'!$B:$AY,'EGX Service assumptions'!$AY$3,FALSE)</f>
        <v>67.251100469371792</v>
      </c>
      <c r="H4" s="144">
        <f>G4*(1+'Escalators &amp; overheads'!F$5)*(1-'Escalators &amp; overheads'!F$8)</f>
        <v>69.439948257346373</v>
      </c>
      <c r="I4" s="144">
        <f>H4*(1+'Escalators &amp; overheads'!G$5)*(1-'Escalators &amp; overheads'!G$8)</f>
        <v>71.734112331608941</v>
      </c>
      <c r="J4" s="144">
        <f>I4*(1+'Escalators &amp; overheads'!H$5)*(1-'Escalators &amp; overheads'!H$8)</f>
        <v>74.123401767058283</v>
      </c>
      <c r="K4" s="144">
        <f>J4*(1+'Escalators &amp; overheads'!I$5)*(1-'Escalators &amp; overheads'!I$8)</f>
        <v>76.410682421283823</v>
      </c>
    </row>
    <row r="5" spans="1:13" s="129" customFormat="1" ht="45">
      <c r="A5" s="129" t="str">
        <f>'EGX Service assumptions'!B7</f>
        <v>EGX_2</v>
      </c>
      <c r="B5" s="129" t="str">
        <f>VLOOKUP($A5,'EGX Service assumptions'!$B:$AY,'EGX Service assumptions'!D$3,FALSE)</f>
        <v>Connection application and management services</v>
      </c>
      <c r="C5" s="129" t="str">
        <f>VLOOKUP($A5,'EGX Service assumptions'!$B:$AY,'EGX Service assumptions'!E$3,FALSE)</f>
        <v>De-energisation</v>
      </c>
      <c r="D5" s="143"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E5" s="143" t="str">
        <f>VLOOKUP($A5,'EGX Service assumptions'!$B:$AY,'EGX Service assumptions'!G$3,FALSE)</f>
        <v>AFTER HOURS - NO CT</v>
      </c>
      <c r="F5" s="129" t="str">
        <f>VLOOKUP($A5,'EGX Service assumptions'!$B:$AY,'EGX Service assumptions'!K$3,FALSE)</f>
        <v>No</v>
      </c>
      <c r="G5" s="168">
        <f>VLOOKUP($A5,'EGX Service assumptions'!$B:$AY,'EGX Service assumptions'!$AY$3,FALSE)</f>
        <v>89.934599902103457</v>
      </c>
      <c r="H5" s="144">
        <f>G5*(1+'Escalators &amp; overheads'!F$5)*(1-'Escalators &amp; overheads'!F$8)</f>
        <v>92.861736390342045</v>
      </c>
      <c r="I5" s="144">
        <f>H5*(1+'Escalators &amp; overheads'!G$5)*(1-'Escalators &amp; overheads'!G$8)</f>
        <v>95.92971188350964</v>
      </c>
      <c r="J5" s="144">
        <f>I5*(1+'Escalators &amp; overheads'!H$5)*(1-'Escalators &amp; overheads'!H$8)</f>
        <v>99.124898102437356</v>
      </c>
      <c r="K5" s="144">
        <f>J5*(1+'Escalators &amp; overheads'!I$5)*(1-'Escalators &amp; overheads'!I$8)</f>
        <v>102.18366842836355</v>
      </c>
    </row>
    <row r="6" spans="1:13" s="129" customFormat="1" ht="45">
      <c r="A6" s="129" t="str">
        <f>'EGX Service assumptions'!B8</f>
        <v>EGX_3</v>
      </c>
      <c r="B6" s="129" t="str">
        <f>VLOOKUP($A6,'EGX Service assumptions'!$B:$AY,'EGX Service assumptions'!D$3,FALSE)</f>
        <v>Connection application and management services</v>
      </c>
      <c r="C6" s="129" t="str">
        <f>VLOOKUP($A6,'EGX Service assumptions'!$B:$AY,'EGX Service assumptions'!E$3,FALSE)</f>
        <v>De-energisation</v>
      </c>
      <c r="D6" s="143"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E6" s="143" t="str">
        <f>VLOOKUP($A6,'EGX Service assumptions'!$B:$AY,'EGX Service assumptions'!G$3,FALSE)</f>
        <v>BUSINESS HOURS - CT</v>
      </c>
      <c r="F6" s="129" t="str">
        <f>VLOOKUP($A6,'EGX Service assumptions'!$B:$AY,'EGX Service assumptions'!K$3,FALSE)</f>
        <v>No</v>
      </c>
      <c r="G6" s="168">
        <f>VLOOKUP($A6,'EGX Service assumptions'!$B:$AY,'EGX Service assumptions'!$AY$3,FALSE)</f>
        <v>349.57134661759522</v>
      </c>
      <c r="H6" s="144">
        <f>G6*(1+'Escalators &amp; overheads'!F$5)*(1-'Escalators &amp; overheads'!F$8)</f>
        <v>360.94898153275466</v>
      </c>
      <c r="I6" s="144">
        <f>H6*(1+'Escalators &amp; overheads'!G$5)*(1-'Escalators &amp; overheads'!G$8)</f>
        <v>372.8740507019487</v>
      </c>
      <c r="J6" s="144">
        <f>I6*(1+'Escalators &amp; overheads'!H$5)*(1-'Escalators &amp; overheads'!H$8)</f>
        <v>385.29358167735052</v>
      </c>
      <c r="K6" s="144">
        <f>J6*(1+'Escalators &amp; overheads'!I$5)*(1-'Escalators &amp; overheads'!I$8)</f>
        <v>397.18287081625675</v>
      </c>
    </row>
    <row r="7" spans="1:13" s="129" customFormat="1" ht="45">
      <c r="A7" s="129" t="str">
        <f>'EGX Service assumptions'!B9</f>
        <v>EGX_4</v>
      </c>
      <c r="B7" s="129" t="str">
        <f>VLOOKUP($A7,'EGX Service assumptions'!$B:$AY,'EGX Service assumptions'!D$3,FALSE)</f>
        <v>Connection application and management services</v>
      </c>
      <c r="C7" s="129" t="str">
        <f>VLOOKUP($A7,'EGX Service assumptions'!$B:$AY,'EGX Service assumptions'!E$3,FALSE)</f>
        <v>De-energisation</v>
      </c>
      <c r="D7" s="143"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E7" s="143" t="str">
        <f>VLOOKUP($A7,'EGX Service assumptions'!$B:$AY,'EGX Service assumptions'!G$3,FALSE)</f>
        <v>AFTER HOURS - CT</v>
      </c>
      <c r="F7" s="129" t="str">
        <f>VLOOKUP($A7,'EGX Service assumptions'!$B:$AY,'EGX Service assumptions'!K$3,FALSE)</f>
        <v>No</v>
      </c>
      <c r="G7" s="168">
        <f>VLOOKUP($A7,'EGX Service assumptions'!$B:$AY,'EGX Service assumptions'!$AY$3,FALSE)</f>
        <v>489.55712068975566</v>
      </c>
      <c r="H7" s="144">
        <f>G7*(1+'Escalators &amp; overheads'!F$5)*(1-'Escalators &amp; overheads'!F$8)</f>
        <v>505.49092717366591</v>
      </c>
      <c r="I7" s="144">
        <f>H7*(1+'Escalators &amp; overheads'!G$5)*(1-'Escalators &amp; overheads'!G$8)</f>
        <v>522.19138784638562</v>
      </c>
      <c r="J7" s="144">
        <f>I7*(1+'Escalators &amp; overheads'!H$5)*(1-'Escalators &amp; overheads'!H$8)</f>
        <v>539.58431745421774</v>
      </c>
      <c r="K7" s="144">
        <f>J7*(1+'Escalators &amp; overheads'!I$5)*(1-'Escalators &amp; overheads'!I$8)</f>
        <v>556.23466999085781</v>
      </c>
    </row>
    <row r="8" spans="1:13" s="129" customFormat="1" ht="45">
      <c r="A8" s="129" t="str">
        <f>'EGX Service assumptions'!B10</f>
        <v>EGX_5</v>
      </c>
      <c r="B8" s="129" t="str">
        <f>VLOOKUP($A8,'EGX Service assumptions'!$B:$AY,'EGX Service assumptions'!D$3,FALSE)</f>
        <v>Connection application and management services</v>
      </c>
      <c r="C8" s="129" t="str">
        <f>VLOOKUP($A8,'EGX Service assumptions'!$B:$AY,'EGX Service assumptions'!E$3,FALSE)</f>
        <v>De-energisation</v>
      </c>
      <c r="D8" s="143"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E8" s="143" t="str">
        <f>VLOOKUP($A8,'EGX Service assumptions'!$B:$AY,'EGX Service assumptions'!G$3,FALSE)</f>
        <v>NON PAYMENT - NO CT</v>
      </c>
      <c r="F8" s="129" t="str">
        <f>VLOOKUP($A8,'EGX Service assumptions'!$B:$AY,'EGX Service assumptions'!K$3,FALSE)</f>
        <v>No</v>
      </c>
      <c r="G8" s="168">
        <f>VLOOKUP($A8,'EGX Service assumptions'!$B:$AY,'EGX Service assumptions'!$AY$3,FALSE)</f>
        <v>85.253912771319392</v>
      </c>
      <c r="H8" s="144">
        <f>G8*(1+'Escalators &amp; overheads'!F$5)*(1-'Escalators &amp; overheads'!F$8)</f>
        <v>88.028705110526801</v>
      </c>
      <c r="I8" s="144">
        <f>H8*(1+'Escalators &amp; overheads'!G$5)*(1-'Escalators &amp; overheads'!G$8)</f>
        <v>90.937006424634703</v>
      </c>
      <c r="J8" s="144">
        <f>I8*(1+'Escalators &amp; overheads'!H$5)*(1-'Escalators &amp; overheads'!H$8)</f>
        <v>93.965897724458159</v>
      </c>
      <c r="K8" s="144">
        <f>J8*(1+'Escalators &amp; overheads'!I$5)*(1-'Escalators &amp; overheads'!I$8)</f>
        <v>96.865472958437863</v>
      </c>
    </row>
    <row r="9" spans="1:13" s="129" customFormat="1" ht="45">
      <c r="A9" s="129" t="str">
        <f>'EGX Service assumptions'!B11</f>
        <v>EGX_6</v>
      </c>
      <c r="B9" s="129" t="str">
        <f>VLOOKUP($A9,'EGX Service assumptions'!$B:$AY,'EGX Service assumptions'!D$3,FALSE)</f>
        <v>Connection application and management services</v>
      </c>
      <c r="C9" s="129" t="str">
        <f>VLOOKUP($A9,'EGX Service assumptions'!$B:$AY,'EGX Service assumptions'!E$3,FALSE)</f>
        <v>De-energisation</v>
      </c>
      <c r="D9" s="143"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E9" s="143" t="str">
        <f>VLOOKUP($A9,'EGX Service assumptions'!$B:$AY,'EGX Service assumptions'!G$3,FALSE)</f>
        <v>NON PAYMENT - CT</v>
      </c>
      <c r="F9" s="129" t="str">
        <f>VLOOKUP($A9,'EGX Service assumptions'!$B:$AY,'EGX Service assumptions'!K$3,FALSE)</f>
        <v>No</v>
      </c>
      <c r="G9" s="168">
        <f>VLOOKUP($A9,'EGX Service assumptions'!$B:$AY,'EGX Service assumptions'!$AY$3,FALSE)</f>
        <v>349.57134661759522</v>
      </c>
      <c r="H9" s="144">
        <f>G9*(1+'Escalators &amp; overheads'!F$5)*(1-'Escalators &amp; overheads'!F$8)</f>
        <v>360.94898153275466</v>
      </c>
      <c r="I9" s="144">
        <f>H9*(1+'Escalators &amp; overheads'!G$5)*(1-'Escalators &amp; overheads'!G$8)</f>
        <v>372.8740507019487</v>
      </c>
      <c r="J9" s="144">
        <f>I9*(1+'Escalators &amp; overheads'!H$5)*(1-'Escalators &amp; overheads'!H$8)</f>
        <v>385.29358167735052</v>
      </c>
      <c r="K9" s="144">
        <f>J9*(1+'Escalators &amp; overheads'!I$5)*(1-'Escalators &amp; overheads'!I$8)</f>
        <v>397.18287081625675</v>
      </c>
    </row>
    <row r="10" spans="1:13" s="129" customFormat="1">
      <c r="A10" s="129" t="str">
        <f>'EGX Service assumptions'!B12</f>
        <v>EGX_7</v>
      </c>
      <c r="B10" s="129" t="str">
        <f>VLOOKUP($A10,'EGX Service assumptions'!$B:$AY,'EGX Service assumptions'!D$3,FALSE)</f>
        <v>Connection application and management services</v>
      </c>
      <c r="C10" s="129" t="str">
        <f>VLOOKUP($A10,'EGX Service assumptions'!$B:$AY,'EGX Service assumptions'!E$3,FALSE)</f>
        <v>De-energisation</v>
      </c>
      <c r="D10" s="143" t="str">
        <f>VLOOKUP($A10,'EGX Service assumptions'!$B:$AY,'EGX Service assumptions'!F$3,FALSE)</f>
        <v>Retailer requested de-energisation (MSS)</v>
      </c>
      <c r="E10" s="143" t="str">
        <f>VLOOKUP($A10,'EGX Service assumptions'!$B:$AY,'EGX Service assumptions'!G$3,FALSE)</f>
        <v>BUSINESS HOURS</v>
      </c>
      <c r="F10" s="129" t="str">
        <f>VLOOKUP($A10,'EGX Service assumptions'!$B:$AY,'EGX Service assumptions'!K$3,FALSE)</f>
        <v>No</v>
      </c>
      <c r="G10" s="168">
        <f>VLOOKUP($A10,'EGX Service assumptions'!$B:$AY,'EGX Service assumptions'!$AY$3,FALSE)</f>
        <v>39.803125314335674</v>
      </c>
      <c r="H10" s="144">
        <f>G10*(1+'Escalators &amp; overheads'!F$5)*(1-'Escalators &amp; overheads'!F$8)</f>
        <v>41.098613153057912</v>
      </c>
      <c r="I10" s="144">
        <f>H10*(1+'Escalators &amp; overheads'!G$5)*(1-'Escalators &amp; overheads'!G$8)</f>
        <v>42.456433315139989</v>
      </c>
      <c r="J10" s="144">
        <f>I10*(1+'Escalators &amp; overheads'!H$5)*(1-'Escalators &amp; overheads'!H$8)</f>
        <v>43.870554216473352</v>
      </c>
      <c r="K10" s="144">
        <f>J10*(1+'Escalators &amp; overheads'!I$5)*(1-'Escalators &amp; overheads'!I$8)</f>
        <v>45.224300368934571</v>
      </c>
    </row>
    <row r="11" spans="1:13" s="129" customFormat="1">
      <c r="A11" s="129" t="str">
        <f>'EGX Service assumptions'!B13</f>
        <v>EGX_8</v>
      </c>
      <c r="B11" s="129" t="str">
        <f>VLOOKUP($A11,'EGX Service assumptions'!$B:$AY,'EGX Service assumptions'!D$3,FALSE)</f>
        <v>Connection application and management services</v>
      </c>
      <c r="C11" s="129" t="str">
        <f>VLOOKUP($A11,'EGX Service assumptions'!$B:$AY,'EGX Service assumptions'!E$3,FALSE)</f>
        <v>De-energisation</v>
      </c>
      <c r="D11" s="143" t="str">
        <f>VLOOKUP($A11,'EGX Service assumptions'!$B:$AY,'EGX Service assumptions'!F$3,FALSE)</f>
        <v>Retailer requested de-energisation (MSS)</v>
      </c>
      <c r="E11" s="143" t="str">
        <f>VLOOKUP($A11,'EGX Service assumptions'!$B:$AY,'EGX Service assumptions'!G$3,FALSE)</f>
        <v>AFTER HOURS</v>
      </c>
      <c r="F11" s="129" t="str">
        <f>VLOOKUP($A11,'EGX Service assumptions'!$B:$AY,'EGX Service assumptions'!K$3,FALSE)</f>
        <v>No</v>
      </c>
      <c r="G11" s="168">
        <f>VLOOKUP($A11,'EGX Service assumptions'!$B:$AY,'EGX Service assumptions'!$AY$3,FALSE)</f>
        <v>54.001415271364479</v>
      </c>
      <c r="H11" s="144">
        <f>G11*(1+'Escalators &amp; overheads'!F$5)*(1-'Escalators &amp; overheads'!F$8)</f>
        <v>55.759020389187867</v>
      </c>
      <c r="I11" s="144">
        <f>H11*(1+'Escalators &amp; overheads'!G$5)*(1-'Escalators &amp; overheads'!G$8)</f>
        <v>57.601192576858182</v>
      </c>
      <c r="J11" s="144">
        <f>I11*(1+'Escalators &amp; overheads'!H$5)*(1-'Escalators &amp; overheads'!H$8)</f>
        <v>59.519748706150764</v>
      </c>
      <c r="K11" s="144">
        <f>J11*(1+'Escalators &amp; overheads'!I$5)*(1-'Escalators &amp; overheads'!I$8)</f>
        <v>61.356393632240042</v>
      </c>
    </row>
    <row r="12" spans="1:13" s="129" customFormat="1">
      <c r="A12" s="129" t="str">
        <f>'EGX Service assumptions'!B14</f>
        <v>EGX_11</v>
      </c>
      <c r="B12" s="129" t="str">
        <f>VLOOKUP($A12,'EGX Service assumptions'!$B:$AY,'EGX Service assumptions'!D$3,FALSE)</f>
        <v>Connection application and management services</v>
      </c>
      <c r="C12" s="129" t="str">
        <f>VLOOKUP($A12,'EGX Service assumptions'!$B:$AY,'EGX Service assumptions'!E$3,FALSE)</f>
        <v>De-energisation</v>
      </c>
      <c r="D12" s="143" t="str">
        <f>VLOOKUP($A12,'EGX Service assumptions'!$B:$AY,'EGX Service assumptions'!F$3,FALSE)</f>
        <v>Retailer requested de-energisation (MSS)</v>
      </c>
      <c r="E12" s="143" t="str">
        <f>VLOOKUP($A12,'EGX Service assumptions'!$B:$AY,'EGX Service assumptions'!G$3,FALSE)</f>
        <v>NON PAYMENT</v>
      </c>
      <c r="F12" s="129" t="str">
        <f>VLOOKUP($A12,'EGX Service assumptions'!$B:$AY,'EGX Service assumptions'!K$3,FALSE)</f>
        <v>No</v>
      </c>
      <c r="G12" s="168">
        <f>VLOOKUP($A12,'EGX Service assumptions'!$B:$AY,'EGX Service assumptions'!$AY$3,FALSE)</f>
        <v>62.275569025466794</v>
      </c>
      <c r="H12" s="144">
        <f>G12*(1+'Escalators &amp; overheads'!F$5)*(1-'Escalators &amp; overheads'!F$8)</f>
        <v>64.30247625159214</v>
      </c>
      <c r="I12" s="144">
        <f>H12*(1+'Escalators &amp; overheads'!G$5)*(1-'Escalators &amp; overheads'!G$8)</f>
        <v>66.426908003122406</v>
      </c>
      <c r="J12" s="144">
        <f>I12*(1+'Escalators &amp; overheads'!H$5)*(1-'Escalators &amp; overheads'!H$8)</f>
        <v>68.639427324303028</v>
      </c>
      <c r="K12" s="144">
        <f>J12*(1+'Escalators &amp; overheads'!I$5)*(1-'Escalators &amp; overheads'!I$8)</f>
        <v>70.757484921408221</v>
      </c>
    </row>
    <row r="13" spans="1:13" s="129" customFormat="1" ht="30">
      <c r="A13" s="129" t="str">
        <f>'EGX Service assumptions'!B15</f>
        <v>EGX_13</v>
      </c>
      <c r="B13" s="129" t="str">
        <f>VLOOKUP($A13,'EGX Service assumptions'!$B:$AY,'EGX Service assumptions'!D$3,FALSE)</f>
        <v>Connection application and management services</v>
      </c>
      <c r="C13" s="129" t="str">
        <f>VLOOKUP($A13,'EGX Service assumptions'!$B:$AY,'EGX Service assumptions'!E$3,FALSE)</f>
        <v>Re-energisation</v>
      </c>
      <c r="D13" s="143" t="str">
        <f>VLOOKUP($A13,'EGX Service assumptions'!$B:$AY,'EGX Service assumptions'!F$3,FALSE)</f>
        <v>Retailer requests a re-energisation of the customer's premises where the customer has not paid their electricity account. No visual required</v>
      </c>
      <c r="E13" s="143" t="str">
        <f>VLOOKUP($A13,'EGX Service assumptions'!$B:$AY,'EGX Service assumptions'!G$3,FALSE)</f>
        <v>BUSINESS HOURS - NO CT</v>
      </c>
      <c r="F13" s="129" t="str">
        <f>VLOOKUP($A13,'EGX Service assumptions'!$B:$AY,'EGX Service assumptions'!K$3,FALSE)</f>
        <v>No</v>
      </c>
      <c r="G13" s="168">
        <f>VLOOKUP($A13,'EGX Service assumptions'!$B:$AY,'EGX Service assumptions'!$AY$3,FALSE)</f>
        <v>79.55266163175358</v>
      </c>
      <c r="H13" s="144">
        <f>G13*(1+'Escalators &amp; overheads'!F$5)*(1-'Escalators &amp; overheads'!F$8)</f>
        <v>82.141893127221181</v>
      </c>
      <c r="I13" s="144">
        <f>H13*(1+'Escalators &amp; overheads'!G$5)*(1-'Escalators &amp; overheads'!G$8)</f>
        <v>84.855705348192259</v>
      </c>
      <c r="J13" s="144">
        <f>I13*(1+'Escalators &amp; overheads'!H$5)*(1-'Escalators &amp; overheads'!H$8)</f>
        <v>87.682043247081978</v>
      </c>
      <c r="K13" s="144">
        <f>J13*(1+'Escalators &amp; overheads'!I$5)*(1-'Escalators &amp; overheads'!I$8)</f>
        <v>90.387712933860257</v>
      </c>
    </row>
    <row r="14" spans="1:13" s="129" customFormat="1" ht="30">
      <c r="A14" s="129" t="str">
        <f>'EGX Service assumptions'!B16</f>
        <v>EGX_14</v>
      </c>
      <c r="B14" s="129" t="str">
        <f>VLOOKUP($A14,'EGX Service assumptions'!$B:$AY,'EGX Service assumptions'!D$3,FALSE)</f>
        <v>Connection application and management services</v>
      </c>
      <c r="C14" s="129" t="str">
        <f>VLOOKUP($A14,'EGX Service assumptions'!$B:$AY,'EGX Service assumptions'!E$3,FALSE)</f>
        <v>Re-energisation</v>
      </c>
      <c r="D14" s="143" t="str">
        <f>VLOOKUP($A14,'EGX Service assumptions'!$B:$AY,'EGX Service assumptions'!F$3,FALSE)</f>
        <v>Retailer requests a re-energisation of the customer's premises where the customer has not paid their electricity account. No visual required</v>
      </c>
      <c r="E14" s="143" t="str">
        <f>VLOOKUP($A14,'EGX Service assumptions'!$B:$AY,'EGX Service assumptions'!G$3,FALSE)</f>
        <v>BUSINESS HOURS - CT</v>
      </c>
      <c r="F14" s="129" t="str">
        <f>VLOOKUP($A14,'EGX Service assumptions'!$B:$AY,'EGX Service assumptions'!K$3,FALSE)</f>
        <v>No</v>
      </c>
      <c r="G14" s="168">
        <f>VLOOKUP($A14,'EGX Service assumptions'!$B:$AY,'EGX Service assumptions'!$AY$3,FALSE)</f>
        <v>89.540414392256295</v>
      </c>
      <c r="H14" s="144">
        <f>G14*(1+'Escalators &amp; overheads'!F$5)*(1-'Escalators &amp; overheads'!F$8)</f>
        <v>92.454721171014171</v>
      </c>
      <c r="I14" s="144">
        <f>H14*(1+'Escalators &amp; overheads'!G$5)*(1-'Escalators &amp; overheads'!G$8)</f>
        <v>95.509249653962243</v>
      </c>
      <c r="J14" s="144">
        <f>I14*(1+'Escalators &amp; overheads'!H$5)*(1-'Escalators &amp; overheads'!H$8)</f>
        <v>98.690431295006306</v>
      </c>
      <c r="K14" s="144">
        <f>J14*(1+'Escalators &amp; overheads'!I$5)*(1-'Escalators &amp; overheads'!I$8)</f>
        <v>101.73579495718192</v>
      </c>
    </row>
    <row r="15" spans="1:13" s="129" customFormat="1" ht="30">
      <c r="A15" s="129" t="str">
        <f>'EGX Service assumptions'!B17</f>
        <v>EGX_15</v>
      </c>
      <c r="B15" s="129" t="str">
        <f>VLOOKUP($A15,'EGX Service assumptions'!$B:$AY,'EGX Service assumptions'!D$3,FALSE)</f>
        <v>Connection application and management services</v>
      </c>
      <c r="C15" s="129" t="str">
        <f>VLOOKUP($A15,'EGX Service assumptions'!$B:$AY,'EGX Service assumptions'!E$3,FALSE)</f>
        <v>Re-energisation</v>
      </c>
      <c r="D15" s="143" t="str">
        <f>VLOOKUP($A15,'EGX Service assumptions'!$B:$AY,'EGX Service assumptions'!F$3,FALSE)</f>
        <v>Retailer requests a re-energisation of the customer's premises where the customer has not paid their electricity account. No visual required</v>
      </c>
      <c r="E15" s="143" t="str">
        <f>VLOOKUP($A15,'EGX Service assumptions'!$B:$AY,'EGX Service assumptions'!G$3,FALSE)</f>
        <v>AFTER HOURS - NO CT</v>
      </c>
      <c r="F15" s="129" t="str">
        <f>VLOOKUP($A15,'EGX Service assumptions'!$B:$AY,'EGX Service assumptions'!K$3,FALSE)</f>
        <v>No</v>
      </c>
      <c r="G15" s="168">
        <f>VLOOKUP($A15,'EGX Service assumptions'!$B:$AY,'EGX Service assumptions'!$AY$3,FALSE)</f>
        <v>107.93316484673588</v>
      </c>
      <c r="H15" s="144">
        <f>G15*(1+'Escalators &amp; overheads'!F$5)*(1-'Escalators &amp; overheads'!F$8)</f>
        <v>111.44610764581273</v>
      </c>
      <c r="I15" s="144">
        <f>H15*(1+'Escalators &amp; overheads'!G$5)*(1-'Escalators &amp; overheads'!G$8)</f>
        <v>115.12807548700239</v>
      </c>
      <c r="J15" s="144">
        <f>I15*(1+'Escalators &amp; overheads'!H$5)*(1-'Escalators &amp; overheads'!H$8)</f>
        <v>118.96271267067743</v>
      </c>
      <c r="K15" s="144">
        <f>J15*(1+'Escalators &amp; overheads'!I$5)*(1-'Escalators &amp; overheads'!I$8)</f>
        <v>122.63363311926859</v>
      </c>
    </row>
    <row r="16" spans="1:13" s="129" customFormat="1" ht="30">
      <c r="A16" s="129" t="str">
        <f>'EGX Service assumptions'!B18</f>
        <v>EGX_16</v>
      </c>
      <c r="B16" s="129" t="str">
        <f>VLOOKUP($A16,'EGX Service assumptions'!$B:$AY,'EGX Service assumptions'!D$3,FALSE)</f>
        <v>Connection application and management services</v>
      </c>
      <c r="C16" s="129" t="str">
        <f>VLOOKUP($A16,'EGX Service assumptions'!$B:$AY,'EGX Service assumptions'!E$3,FALSE)</f>
        <v>Re-energisation</v>
      </c>
      <c r="D16" s="143" t="str">
        <f>VLOOKUP($A16,'EGX Service assumptions'!$B:$AY,'EGX Service assumptions'!F$3,FALSE)</f>
        <v>Retailer requests a re-energisation of the customer's premises where the customer has not paid their electricity account. No visual required</v>
      </c>
      <c r="E16" s="143" t="str">
        <f>VLOOKUP($A16,'EGX Service assumptions'!$B:$AY,'EGX Service assumptions'!G$3,FALSE)</f>
        <v>AFTER HOURS - CT</v>
      </c>
      <c r="F16" s="129" t="str">
        <f>VLOOKUP($A16,'EGX Service assumptions'!$B:$AY,'EGX Service assumptions'!K$3,FALSE)</f>
        <v>No</v>
      </c>
      <c r="G16" s="168">
        <f>VLOOKUP($A16,'EGX Service assumptions'!$B:$AY,'EGX Service assumptions'!$AY$3,FALSE)</f>
        <v>121.92051115215745</v>
      </c>
      <c r="H16" s="144">
        <f>G16*(1+'Escalators &amp; overheads'!F$5)*(1-'Escalators &amp; overheads'!F$8)</f>
        <v>125.88870556506029</v>
      </c>
      <c r="I16" s="144">
        <f>H16*(1+'Escalators &amp; overheads'!G$5)*(1-'Escalators &amp; overheads'!G$8)</f>
        <v>130.0478294254705</v>
      </c>
      <c r="J16" s="144">
        <f>I16*(1+'Escalators &amp; overheads'!H$5)*(1-'Escalators &amp; overheads'!H$8)</f>
        <v>134.37940745508359</v>
      </c>
      <c r="K16" s="144">
        <f>J16*(1+'Escalators &amp; overheads'!I$5)*(1-'Escalators &amp; overheads'!I$8)</f>
        <v>138.52605226186449</v>
      </c>
    </row>
    <row r="17" spans="1:11" s="129" customFormat="1" ht="30">
      <c r="A17" s="129" t="str">
        <f>'EGX Service assumptions'!B19</f>
        <v>EGX_17</v>
      </c>
      <c r="B17" s="129" t="str">
        <f>VLOOKUP($A17,'EGX Service assumptions'!$B:$AY,'EGX Service assumptions'!D$3,FALSE)</f>
        <v>Connection application and management services</v>
      </c>
      <c r="C17" s="129" t="str">
        <f>VLOOKUP($A17,'EGX Service assumptions'!$B:$AY,'EGX Service assumptions'!E$3,FALSE)</f>
        <v>Re-energisation</v>
      </c>
      <c r="D17" s="143" t="str">
        <f>VLOOKUP($A17,'EGX Service assumptions'!$B:$AY,'EGX Service assumptions'!F$3,FALSE)</f>
        <v>Retailer requests a re-energisation of the customer's premises where the customer has not paid their electricity account. No visual required</v>
      </c>
      <c r="E17" s="143" t="str">
        <f>VLOOKUP($A17,'EGX Service assumptions'!$B:$AY,'EGX Service assumptions'!G$3,FALSE)</f>
        <v>ANYTIME - NO CT</v>
      </c>
      <c r="F17" s="129" t="str">
        <f>VLOOKUP($A17,'EGX Service assumptions'!$B:$AY,'EGX Service assumptions'!K$3,FALSE)</f>
        <v>No</v>
      </c>
      <c r="G17" s="168">
        <f>VLOOKUP($A17,'EGX Service assumptions'!$B:$AY,'EGX Service assumptions'!$AY$3,FALSE)</f>
        <v>107.93316484673588</v>
      </c>
      <c r="H17" s="144">
        <f>G17*(1+'Escalators &amp; overheads'!F$5)*(1-'Escalators &amp; overheads'!F$8)</f>
        <v>111.44610764581273</v>
      </c>
      <c r="I17" s="144">
        <f>H17*(1+'Escalators &amp; overheads'!G$5)*(1-'Escalators &amp; overheads'!G$8)</f>
        <v>115.12807548700239</v>
      </c>
      <c r="J17" s="144">
        <f>I17*(1+'Escalators &amp; overheads'!H$5)*(1-'Escalators &amp; overheads'!H$8)</f>
        <v>118.96271267067743</v>
      </c>
      <c r="K17" s="144">
        <f>J17*(1+'Escalators &amp; overheads'!I$5)*(1-'Escalators &amp; overheads'!I$8)</f>
        <v>122.63363311926859</v>
      </c>
    </row>
    <row r="18" spans="1:11" s="129" customFormat="1" ht="30">
      <c r="A18" s="129" t="str">
        <f>'EGX Service assumptions'!B20</f>
        <v>EGX_18</v>
      </c>
      <c r="B18" s="129" t="str">
        <f>VLOOKUP($A18,'EGX Service assumptions'!$B:$AY,'EGX Service assumptions'!D$3,FALSE)</f>
        <v>Connection application and management services</v>
      </c>
      <c r="C18" s="129" t="str">
        <f>VLOOKUP($A18,'EGX Service assumptions'!$B:$AY,'EGX Service assumptions'!E$3,FALSE)</f>
        <v>Re-energisation</v>
      </c>
      <c r="D18" s="143" t="str">
        <f>VLOOKUP($A18,'EGX Service assumptions'!$B:$AY,'EGX Service assumptions'!F$3,FALSE)</f>
        <v>Retailer requests a re-energisation of the customer's premises where the customer has not paid their electricity account. No visual required</v>
      </c>
      <c r="E18" s="143" t="str">
        <f>VLOOKUP($A18,'EGX Service assumptions'!$B:$AY,'EGX Service assumptions'!G$3,FALSE)</f>
        <v>ANYTIME - CT</v>
      </c>
      <c r="F18" s="129" t="str">
        <f>VLOOKUP($A18,'EGX Service assumptions'!$B:$AY,'EGX Service assumptions'!K$3,FALSE)</f>
        <v>No</v>
      </c>
      <c r="G18" s="168">
        <f>VLOOKUP($A18,'EGX Service assumptions'!$B:$AY,'EGX Service assumptions'!$AY$3,FALSE)</f>
        <v>121.92051115215745</v>
      </c>
      <c r="H18" s="144">
        <f>G18*(1+'Escalators &amp; overheads'!F$5)*(1-'Escalators &amp; overheads'!F$8)</f>
        <v>125.88870556506029</v>
      </c>
      <c r="I18" s="144">
        <f>H18*(1+'Escalators &amp; overheads'!G$5)*(1-'Escalators &amp; overheads'!G$8)</f>
        <v>130.0478294254705</v>
      </c>
      <c r="J18" s="144">
        <f>I18*(1+'Escalators &amp; overheads'!H$5)*(1-'Escalators &amp; overheads'!H$8)</f>
        <v>134.37940745508359</v>
      </c>
      <c r="K18" s="144">
        <f>J18*(1+'Escalators &amp; overheads'!I$5)*(1-'Escalators &amp; overheads'!I$8)</f>
        <v>138.52605226186449</v>
      </c>
    </row>
    <row r="19" spans="1:11" s="129" customFormat="1" ht="30">
      <c r="A19" s="129" t="str">
        <f>'EGX Service assumptions'!B21</f>
        <v>EGX_19</v>
      </c>
      <c r="B19" s="129" t="str">
        <f>VLOOKUP($A19,'EGX Service assumptions'!$B:$AY,'EGX Service assumptions'!D$3,FALSE)</f>
        <v>Connection application and management services</v>
      </c>
      <c r="C19" s="129" t="str">
        <f>VLOOKUP($A19,'EGX Service assumptions'!$B:$AY,'EGX Service assumptions'!E$3,FALSE)</f>
        <v>Re-energisation</v>
      </c>
      <c r="D19" s="143" t="str">
        <f>VLOOKUP($A19,'EGX Service assumptions'!$B:$AY,'EGX Service assumptions'!F$3,FALSE)</f>
        <v>Retailer requests a re-energisation for the customer's premises following a main switch seal (no visual required)</v>
      </c>
      <c r="E19" s="143" t="str">
        <f>VLOOKUP($A19,'EGX Service assumptions'!$B:$AY,'EGX Service assumptions'!G$3,FALSE)</f>
        <v>BUSINESS HOURS</v>
      </c>
      <c r="F19" s="129" t="str">
        <f>VLOOKUP($A19,'EGX Service assumptions'!$B:$AY,'EGX Service assumptions'!K$3,FALSE)</f>
        <v>No</v>
      </c>
      <c r="G19" s="168">
        <f>VLOOKUP($A19,'EGX Service assumptions'!$B:$AY,'EGX Service assumptions'!$AY$3,FALSE)</f>
        <v>15.443323971060067</v>
      </c>
      <c r="H19" s="144">
        <f>G19*(1+'Escalators &amp; overheads'!F$5)*(1-'Escalators &amp; overheads'!F$8)</f>
        <v>15.94596385765084</v>
      </c>
      <c r="I19" s="144">
        <f>H19*(1+'Escalators &amp; overheads'!G$5)*(1-'Escalators &amp; overheads'!G$8)</f>
        <v>16.472788233673352</v>
      </c>
      <c r="J19" s="144">
        <f>I19*(1+'Escalators &amp; overheads'!H$5)*(1-'Escalators &amp; overheads'!H$8)</f>
        <v>17.021456888234333</v>
      </c>
      <c r="K19" s="144">
        <f>J19*(1+'Escalators &amp; overheads'!I$5)*(1-'Escalators &amp; overheads'!I$8)</f>
        <v>17.546700578068531</v>
      </c>
    </row>
    <row r="20" spans="1:11" s="129" customFormat="1" ht="30">
      <c r="A20" s="129" t="str">
        <f>'EGX Service assumptions'!B22</f>
        <v>EGX_20</v>
      </c>
      <c r="B20" s="129" t="str">
        <f>VLOOKUP($A20,'EGX Service assumptions'!$B:$AY,'EGX Service assumptions'!D$3,FALSE)</f>
        <v>Connection application and management services</v>
      </c>
      <c r="C20" s="129" t="str">
        <f>VLOOKUP($A20,'EGX Service assumptions'!$B:$AY,'EGX Service assumptions'!E$3,FALSE)</f>
        <v>Re-energisation</v>
      </c>
      <c r="D20" s="143" t="str">
        <f>VLOOKUP($A20,'EGX Service assumptions'!$B:$AY,'EGX Service assumptions'!F$3,FALSE)</f>
        <v>Retailer requests a re-energisation for the customer's premises following a main switch seal (no visual required)</v>
      </c>
      <c r="E20" s="143" t="str">
        <f>VLOOKUP($A20,'EGX Service assumptions'!$B:$AY,'EGX Service assumptions'!G$3,FALSE)</f>
        <v>AFTER HOURS</v>
      </c>
      <c r="F20" s="129" t="str">
        <f>VLOOKUP($A20,'EGX Service assumptions'!$B:$AY,'EGX Service assumptions'!K$3,FALSE)</f>
        <v>No</v>
      </c>
      <c r="G20" s="168">
        <f>VLOOKUP($A20,'EGX Service assumptions'!$B:$AY,'EGX Service assumptions'!$AY$3,FALSE)</f>
        <v>82.675171390819287</v>
      </c>
      <c r="H20" s="144">
        <f>G20*(1+'Escalators &amp; overheads'!F$5)*(1-'Escalators &amp; overheads'!F$8)</f>
        <v>85.366032428872188</v>
      </c>
      <c r="I20" s="144">
        <f>H20*(1+'Escalators &amp; overheads'!G$5)*(1-'Escalators &amp; overheads'!G$8)</f>
        <v>88.186364092064835</v>
      </c>
      <c r="J20" s="144">
        <f>I20*(1+'Escalators &amp; overheads'!H$5)*(1-'Escalators &amp; overheads'!H$8)</f>
        <v>91.123638161922059</v>
      </c>
      <c r="K20" s="144">
        <f>J20*(1+'Escalators &amp; overheads'!I$5)*(1-'Escalators &amp; overheads'!I$8)</f>
        <v>93.935507689516257</v>
      </c>
    </row>
    <row r="21" spans="1:11" s="129" customFormat="1" ht="30">
      <c r="A21" s="129" t="str">
        <f>'EGX Service assumptions'!B23</f>
        <v>EGX_21</v>
      </c>
      <c r="B21" s="129" t="str">
        <f>VLOOKUP($A21,'EGX Service assumptions'!$B:$AY,'EGX Service assumptions'!D$3,FALSE)</f>
        <v>Connection application and management services</v>
      </c>
      <c r="C21" s="129" t="str">
        <f>VLOOKUP($A21,'EGX Service assumptions'!$B:$AY,'EGX Service assumptions'!E$3,FALSE)</f>
        <v>Re-energisation</v>
      </c>
      <c r="D21" s="143" t="str">
        <f>VLOOKUP($A21,'EGX Service assumptions'!$B:$AY,'EGX Service assumptions'!F$3,FALSE)</f>
        <v>Retailer requests a re-energisation for the customer's premises following a main switch seal (no visual required)</v>
      </c>
      <c r="E21" s="143" t="str">
        <f>VLOOKUP($A21,'EGX Service assumptions'!$B:$AY,'EGX Service assumptions'!G$3,FALSE)</f>
        <v>ANYTIME</v>
      </c>
      <c r="F21" s="129" t="str">
        <f>VLOOKUP($A21,'EGX Service assumptions'!$B:$AY,'EGX Service assumptions'!K$3,FALSE)</f>
        <v>No</v>
      </c>
      <c r="G21" s="168">
        <f>VLOOKUP($A21,'EGX Service assumptions'!$B:$AY,'EGX Service assumptions'!$AY$3,FALSE)</f>
        <v>82.675171390819287</v>
      </c>
      <c r="H21" s="144">
        <f>G21*(1+'Escalators &amp; overheads'!F$5)*(1-'Escalators &amp; overheads'!F$8)</f>
        <v>85.366032428872188</v>
      </c>
      <c r="I21" s="144">
        <f>H21*(1+'Escalators &amp; overheads'!G$5)*(1-'Escalators &amp; overheads'!G$8)</f>
        <v>88.186364092064835</v>
      </c>
      <c r="J21" s="144">
        <f>I21*(1+'Escalators &amp; overheads'!H$5)*(1-'Escalators &amp; overheads'!H$8)</f>
        <v>91.123638161922059</v>
      </c>
      <c r="K21" s="144">
        <f>J21*(1+'Escalators &amp; overheads'!I$5)*(1-'Escalators &amp; overheads'!I$8)</f>
        <v>93.935507689516257</v>
      </c>
    </row>
    <row r="22" spans="1:11" s="129" customFormat="1" ht="30">
      <c r="A22" s="129" t="str">
        <f>'EGX Service assumptions'!B24</f>
        <v>EGX_25</v>
      </c>
      <c r="B22" s="129" t="str">
        <f>VLOOKUP($A22,'EGX Service assumptions'!$B:$AY,'EGX Service assumptions'!D$3,FALSE)</f>
        <v>Connection application and management services</v>
      </c>
      <c r="C22" s="129" t="str">
        <f>VLOOKUP($A22,'EGX Service assumptions'!$B:$AY,'EGX Service assumptions'!E$3,FALSE)</f>
        <v>Re-energisation</v>
      </c>
      <c r="D22" s="143" t="str">
        <f>VLOOKUP($A22,'EGX Service assumptions'!$B:$AY,'EGX Service assumptions'!F$3,FALSE)</f>
        <v>Retailer requests a re-energisation for the customer's premises following a main switch seal (no visual required)</v>
      </c>
      <c r="E22" s="143" t="str">
        <f>VLOOKUP($A22,'EGX Service assumptions'!$B:$AY,'EGX Service assumptions'!G$3,FALSE)</f>
        <v>NON PAYMENT</v>
      </c>
      <c r="F22" s="129" t="str">
        <f>VLOOKUP($A22,'EGX Service assumptions'!$B:$AY,'EGX Service assumptions'!K$3,FALSE)</f>
        <v>No</v>
      </c>
      <c r="G22" s="168">
        <f>VLOOKUP($A22,'EGX Service assumptions'!$B:$AY,'EGX Service assumptions'!$AY$3,FALSE)</f>
        <v>120.703550218571</v>
      </c>
      <c r="H22" s="144">
        <f>G22*(1+'Escalators &amp; overheads'!F$5)*(1-'Escalators &amp; overheads'!F$8)</f>
        <v>124.63213572947907</v>
      </c>
      <c r="I22" s="144">
        <f>H22*(1+'Escalators &amp; overheads'!G$5)*(1-'Escalators &amp; overheads'!G$8)</f>
        <v>128.74974490783757</v>
      </c>
      <c r="J22" s="144">
        <f>I22*(1+'Escalators &amp; overheads'!H$5)*(1-'Escalators &amp; overheads'!H$8)</f>
        <v>133.03808688805253</v>
      </c>
      <c r="K22" s="144">
        <f>J22*(1+'Escalators &amp; overheads'!I$5)*(1-'Escalators &amp; overheads'!I$8)</f>
        <v>137.14334157361733</v>
      </c>
    </row>
    <row r="23" spans="1:11" s="129" customFormat="1" ht="30">
      <c r="A23" s="129" t="str">
        <f>'EGX Service assumptions'!B25</f>
        <v>EGX_27</v>
      </c>
      <c r="B23" s="129" t="str">
        <f>VLOOKUP($A23,'EGX Service assumptions'!$B:$AY,'EGX Service assumptions'!D$3,FALSE)</f>
        <v>Connection application and management services</v>
      </c>
      <c r="C23" s="129" t="str">
        <f>VLOOKUP($A23,'EGX Service assumptions'!$B:$AY,'EGX Service assumptions'!E$3,FALSE)</f>
        <v>Re-energisation</v>
      </c>
      <c r="D23" s="143" t="str">
        <f>VLOOKUP($A23,'EGX Service assumptions'!$B:$AY,'EGX Service assumptions'!F$3,FALSE)</f>
        <v>Retailer or metering coordinator/provider requests a visual examination upon re-energisation (physical or remote) of the customer’s premises.</v>
      </c>
      <c r="E23" s="143" t="str">
        <f>VLOOKUP($A23,'EGX Service assumptions'!$B:$AY,'EGX Service assumptions'!G$3,FALSE)</f>
        <v>BUSINESS HOURS - NO CT</v>
      </c>
      <c r="F23" s="129" t="str">
        <f>VLOOKUP($A23,'EGX Service assumptions'!$B:$AY,'EGX Service assumptions'!K$3,FALSE)</f>
        <v>No</v>
      </c>
      <c r="G23" s="168">
        <f>VLOOKUP($A23,'EGX Service assumptions'!$B:$AY,'EGX Service assumptions'!$AY$3,FALSE)</f>
        <v>129.35477086488316</v>
      </c>
      <c r="H23" s="144">
        <f>G23*(1+'Escalators &amp; overheads'!F$5)*(1-'Escalators &amp; overheads'!F$8)</f>
        <v>133.56493102725116</v>
      </c>
      <c r="I23" s="144">
        <f>H23*(1+'Escalators &amp; overheads'!G$5)*(1-'Escalators &amp; overheads'!G$8)</f>
        <v>137.9776628053406</v>
      </c>
      <c r="J23" s="144">
        <f>I23*(1+'Escalators &amp; overheads'!H$5)*(1-'Escalators &amp; overheads'!H$8)</f>
        <v>142.57336436703019</v>
      </c>
      <c r="K23" s="144">
        <f>J23*(1+'Escalators &amp; overheads'!I$5)*(1-'Escalators &amp; overheads'!I$8)</f>
        <v>146.97285616517217</v>
      </c>
    </row>
    <row r="24" spans="1:11" s="129" customFormat="1" ht="30">
      <c r="A24" s="129" t="str">
        <f>'EGX Service assumptions'!B26</f>
        <v>EGX_28</v>
      </c>
      <c r="B24" s="129" t="str">
        <f>VLOOKUP($A24,'EGX Service assumptions'!$B:$AY,'EGX Service assumptions'!D$3,FALSE)</f>
        <v>Connection application and management services</v>
      </c>
      <c r="C24" s="129" t="str">
        <f>VLOOKUP($A24,'EGX Service assumptions'!$B:$AY,'EGX Service assumptions'!E$3,FALSE)</f>
        <v>Re-energisation</v>
      </c>
      <c r="D24" s="143" t="str">
        <f>VLOOKUP($A24,'EGX Service assumptions'!$B:$AY,'EGX Service assumptions'!F$3,FALSE)</f>
        <v>Retailer or metering coordinator/provider requests a visual examination upon re-energisation (physical or remote) of the customer’s premises.</v>
      </c>
      <c r="E24" s="143" t="str">
        <f>VLOOKUP($A24,'EGX Service assumptions'!$B:$AY,'EGX Service assumptions'!G$3,FALSE)</f>
        <v>BUSINESS HOURS - CT</v>
      </c>
      <c r="F24" s="129" t="str">
        <f>VLOOKUP($A24,'EGX Service assumptions'!$B:$AY,'EGX Service assumptions'!K$3,FALSE)</f>
        <v>No</v>
      </c>
      <c r="G24" s="168">
        <f>VLOOKUP($A24,'EGX Service assumptions'!$B:$AY,'EGX Service assumptions'!$AY$3,FALSE)</f>
        <v>274.42019340299868</v>
      </c>
      <c r="H24" s="144">
        <f>G24*(1+'Escalators &amp; overheads'!F$5)*(1-'Escalators &amp; overheads'!F$8)</f>
        <v>283.35185443327833</v>
      </c>
      <c r="I24" s="144">
        <f>H24*(1+'Escalators &amp; overheads'!G$5)*(1-'Escalators &amp; overheads'!G$8)</f>
        <v>292.71326182383945</v>
      </c>
      <c r="J24" s="144">
        <f>I24*(1+'Escalators &amp; overheads'!H$5)*(1-'Escalators &amp; overheads'!H$8)</f>
        <v>302.46283118992534</v>
      </c>
      <c r="K24" s="144">
        <f>J24*(1+'Escalators &amp; overheads'!I$5)*(1-'Escalators &amp; overheads'!I$8)</f>
        <v>311.79615057234008</v>
      </c>
    </row>
    <row r="25" spans="1:11" s="129" customFormat="1" ht="30">
      <c r="A25" s="129" t="str">
        <f>'EGX Service assumptions'!B27</f>
        <v>EGX_29</v>
      </c>
      <c r="B25" s="129" t="str">
        <f>VLOOKUP($A25,'EGX Service assumptions'!$B:$AY,'EGX Service assumptions'!D$3,FALSE)</f>
        <v>Connection application and management services</v>
      </c>
      <c r="C25" s="129" t="str">
        <f>VLOOKUP($A25,'EGX Service assumptions'!$B:$AY,'EGX Service assumptions'!E$3,FALSE)</f>
        <v>Re-energisation</v>
      </c>
      <c r="D25" s="143" t="str">
        <f>VLOOKUP($A25,'EGX Service assumptions'!$B:$AY,'EGX Service assumptions'!F$3,FALSE)</f>
        <v>Retailer or metering coordinator/provider requests a visual examination upon re-energisation (physical or remote) of the customer’s premises.</v>
      </c>
      <c r="E25" s="143" t="str">
        <f>VLOOKUP($A25,'EGX Service assumptions'!$B:$AY,'EGX Service assumptions'!G$3,FALSE)</f>
        <v>AFTER HOURS - NO CT</v>
      </c>
      <c r="F25" s="129" t="str">
        <f>VLOOKUP($A25,'EGX Service assumptions'!$B:$AY,'EGX Service assumptions'!K$3,FALSE)</f>
        <v>No</v>
      </c>
      <c r="G25" s="168">
        <f>VLOOKUP($A25,'EGX Service assumptions'!$B:$AY,'EGX Service assumptions'!$AY$3,FALSE)</f>
        <v>149.91063188485026</v>
      </c>
      <c r="H25" s="144">
        <f>G25*(1+'Escalators &amp; overheads'!F$5)*(1-'Escalators &amp; overheads'!F$8)</f>
        <v>154.78983167050237</v>
      </c>
      <c r="I25" s="144">
        <f>H25*(1+'Escalators &amp; overheads'!G$5)*(1-'Escalators &amp; overheads'!G$8)</f>
        <v>159.9037938751336</v>
      </c>
      <c r="J25" s="144">
        <f>I25*(1+'Escalators &amp; overheads'!H$5)*(1-'Escalators &amp; overheads'!H$8)</f>
        <v>165.22980172517816</v>
      </c>
      <c r="K25" s="144">
        <f>J25*(1+'Escalators &amp; overheads'!I$5)*(1-'Escalators &amp; overheads'!I$8)</f>
        <v>170.32841997498815</v>
      </c>
    </row>
    <row r="26" spans="1:11" s="129" customFormat="1" ht="30">
      <c r="A26" s="129" t="str">
        <f>'EGX Service assumptions'!B28</f>
        <v>EGX_30</v>
      </c>
      <c r="B26" s="129" t="str">
        <f>VLOOKUP($A26,'EGX Service assumptions'!$B:$AY,'EGX Service assumptions'!D$3,FALSE)</f>
        <v>Connection application and management services</v>
      </c>
      <c r="C26" s="129" t="str">
        <f>VLOOKUP($A26,'EGX Service assumptions'!$B:$AY,'EGX Service assumptions'!E$3,FALSE)</f>
        <v>Re-energisation</v>
      </c>
      <c r="D26" s="143" t="str">
        <f>VLOOKUP($A26,'EGX Service assumptions'!$B:$AY,'EGX Service assumptions'!F$3,FALSE)</f>
        <v>Retailer or metering coordinator/provider requests a visual examination upon re-energisation (physical or remote) of the customer’s premises.</v>
      </c>
      <c r="E26" s="143" t="str">
        <f>VLOOKUP($A26,'EGX Service assumptions'!$B:$AY,'EGX Service assumptions'!G$3,FALSE)</f>
        <v>AFTER HOURS - CT</v>
      </c>
      <c r="F26" s="129" t="str">
        <f>VLOOKUP($A26,'EGX Service assumptions'!$B:$AY,'EGX Service assumptions'!K$3,FALSE)</f>
        <v>No</v>
      </c>
      <c r="G26" s="168">
        <f>VLOOKUP($A26,'EGX Service assumptions'!$B:$AY,'EGX Service assumptions'!$AY$3,FALSE)</f>
        <v>364.41104816367329</v>
      </c>
      <c r="H26" s="144">
        <f>G26*(1+'Escalators &amp; overheads'!F$5)*(1-'Escalators &amp; overheads'!F$8)</f>
        <v>376.27167663100704</v>
      </c>
      <c r="I26" s="144">
        <f>H26*(1+'Escalators &amp; overheads'!G$5)*(1-'Escalators &amp; overheads'!G$8)</f>
        <v>388.70297855954897</v>
      </c>
      <c r="J26" s="144">
        <f>I26*(1+'Escalators &amp; overheads'!H$5)*(1-'Escalators &amp; overheads'!H$8)</f>
        <v>401.64973276076864</v>
      </c>
      <c r="K26" s="144">
        <f>J26*(1+'Escalators &amp; overheads'!I$5)*(1-'Escalators &amp; overheads'!I$8)</f>
        <v>414.04373575601227</v>
      </c>
    </row>
    <row r="27" spans="1:11" s="129" customFormat="1" ht="30">
      <c r="A27" s="129" t="str">
        <f>'EGX Service assumptions'!B29</f>
        <v>EGX_31</v>
      </c>
      <c r="B27" s="129" t="str">
        <f>VLOOKUP($A27,'EGX Service assumptions'!$B:$AY,'EGX Service assumptions'!D$3,FALSE)</f>
        <v>Connection application and management services</v>
      </c>
      <c r="C27" s="129" t="str">
        <f>VLOOKUP($A27,'EGX Service assumptions'!$B:$AY,'EGX Service assumptions'!E$3,FALSE)</f>
        <v>Re-energisation</v>
      </c>
      <c r="D27" s="143" t="str">
        <f>VLOOKUP($A27,'EGX Service assumptions'!$B:$AY,'EGX Service assumptions'!F$3,FALSE)</f>
        <v>Retailer or metering coordinator/provider requests a visual examination upon re-energisation (physical or remote) of the customer’s premises.</v>
      </c>
      <c r="E27" s="143" t="str">
        <f>VLOOKUP($A27,'EGX Service assumptions'!$B:$AY,'EGX Service assumptions'!G$3,FALSE)</f>
        <v>ANYTIME - NO CT</v>
      </c>
      <c r="F27" s="129" t="str">
        <f>VLOOKUP($A27,'EGX Service assumptions'!$B:$AY,'EGX Service assumptions'!K$3,FALSE)</f>
        <v>No</v>
      </c>
      <c r="G27" s="168">
        <f>VLOOKUP($A27,'EGX Service assumptions'!$B:$AY,'EGX Service assumptions'!$AY$3,FALSE)</f>
        <v>149.91063188485026</v>
      </c>
      <c r="H27" s="144">
        <f>G27*(1+'Escalators &amp; overheads'!F$5)*(1-'Escalators &amp; overheads'!F$8)</f>
        <v>154.78983167050237</v>
      </c>
      <c r="I27" s="144">
        <f>H27*(1+'Escalators &amp; overheads'!G$5)*(1-'Escalators &amp; overheads'!G$8)</f>
        <v>159.9037938751336</v>
      </c>
      <c r="J27" s="144">
        <f>I27*(1+'Escalators &amp; overheads'!H$5)*(1-'Escalators &amp; overheads'!H$8)</f>
        <v>165.22980172517816</v>
      </c>
      <c r="K27" s="144">
        <f>J27*(1+'Escalators &amp; overheads'!I$5)*(1-'Escalators &amp; overheads'!I$8)</f>
        <v>170.32841997498815</v>
      </c>
    </row>
    <row r="28" spans="1:11" s="129" customFormat="1" ht="30">
      <c r="A28" s="129" t="str">
        <f>'EGX Service assumptions'!B30</f>
        <v>EGX_32</v>
      </c>
      <c r="B28" s="129" t="str">
        <f>VLOOKUP($A28,'EGX Service assumptions'!$B:$AY,'EGX Service assumptions'!D$3,FALSE)</f>
        <v>Connection application and management services</v>
      </c>
      <c r="C28" s="129" t="str">
        <f>VLOOKUP($A28,'EGX Service assumptions'!$B:$AY,'EGX Service assumptions'!E$3,FALSE)</f>
        <v>Re-energisation</v>
      </c>
      <c r="D28" s="143" t="str">
        <f>VLOOKUP($A28,'EGX Service assumptions'!$B:$AY,'EGX Service assumptions'!F$3,FALSE)</f>
        <v>Retailer or metering coordinator/provider requests a visual examination upon re-energisation (physical or remote) of the customer’s premises.</v>
      </c>
      <c r="E28" s="143" t="str">
        <f>VLOOKUP($A28,'EGX Service assumptions'!$B:$AY,'EGX Service assumptions'!G$3,FALSE)</f>
        <v>ANYTIME - CT</v>
      </c>
      <c r="F28" s="129" t="str">
        <f>VLOOKUP($A28,'EGX Service assumptions'!$B:$AY,'EGX Service assumptions'!K$3,FALSE)</f>
        <v>No</v>
      </c>
      <c r="G28" s="168">
        <f>VLOOKUP($A28,'EGX Service assumptions'!$B:$AY,'EGX Service assumptions'!$AY$3,FALSE)</f>
        <v>364.41104816367329</v>
      </c>
      <c r="H28" s="144">
        <f>G28*(1+'Escalators &amp; overheads'!F$5)*(1-'Escalators &amp; overheads'!F$8)</f>
        <v>376.27167663100704</v>
      </c>
      <c r="I28" s="144">
        <f>H28*(1+'Escalators &amp; overheads'!G$5)*(1-'Escalators &amp; overheads'!G$8)</f>
        <v>388.70297855954897</v>
      </c>
      <c r="J28" s="144">
        <f>I28*(1+'Escalators &amp; overheads'!H$5)*(1-'Escalators &amp; overheads'!H$8)</f>
        <v>401.64973276076864</v>
      </c>
      <c r="K28" s="144">
        <f>J28*(1+'Escalators &amp; overheads'!I$5)*(1-'Escalators &amp; overheads'!I$8)</f>
        <v>414.04373575601227</v>
      </c>
    </row>
    <row r="29" spans="1:11" s="129" customFormat="1" ht="45">
      <c r="A29" s="129" t="str">
        <f>'EGX Service assumptions'!B31</f>
        <v>EGX_33</v>
      </c>
      <c r="B29" s="129" t="str">
        <f>VLOOKUP($A29,'EGX Service assumptions'!$B:$AY,'EGX Service assumptions'!D$3,FALSE)</f>
        <v>Connection application and management services</v>
      </c>
      <c r="C29" s="129" t="str">
        <f>VLOOKUP($A29,'EGX Service assumptions'!$B:$AY,'EGX Service assumptions'!E$3,FALSE)</f>
        <v>Re-energisation</v>
      </c>
      <c r="D29" s="143" t="str">
        <f>VLOOKUP($A29,'EGX Service assumptions'!$B:$AY,'EGX Service assumptions'!F$3,FALSE)</f>
        <v>Retailer or metering coordinator/provider requests a visual examination upon re-energisation (physical) of the customer’s premises where the customer has not paid their electricity account. NMI de-energised &gt; 30 days.</v>
      </c>
      <c r="E29" s="143" t="str">
        <f>VLOOKUP($A29,'EGX Service assumptions'!$B:$AY,'EGX Service assumptions'!G$3,FALSE)</f>
        <v>BUSINESS HOURS - NO CT</v>
      </c>
      <c r="F29" s="129" t="str">
        <f>VLOOKUP($A29,'EGX Service assumptions'!$B:$AY,'EGX Service assumptions'!K$3,FALSE)</f>
        <v>No</v>
      </c>
      <c r="G29" s="168">
        <f>VLOOKUP($A29,'EGX Service assumptions'!$B:$AY,'EGX Service assumptions'!$AY$3,FALSE)</f>
        <v>129.35477086488316</v>
      </c>
      <c r="H29" s="144">
        <f>G29*(1+'Escalators &amp; overheads'!F$5)*(1-'Escalators &amp; overheads'!F$8)</f>
        <v>133.56493102725116</v>
      </c>
      <c r="I29" s="144">
        <f>H29*(1+'Escalators &amp; overheads'!G$5)*(1-'Escalators &amp; overheads'!G$8)</f>
        <v>137.9776628053406</v>
      </c>
      <c r="J29" s="144">
        <f>I29*(1+'Escalators &amp; overheads'!H$5)*(1-'Escalators &amp; overheads'!H$8)</f>
        <v>142.57336436703019</v>
      </c>
      <c r="K29" s="144">
        <f>J29*(1+'Escalators &amp; overheads'!I$5)*(1-'Escalators &amp; overheads'!I$8)</f>
        <v>146.97285616517217</v>
      </c>
    </row>
    <row r="30" spans="1:11" s="129" customFormat="1" ht="45">
      <c r="A30" s="129" t="str">
        <f>'EGX Service assumptions'!B32</f>
        <v>EGX_34</v>
      </c>
      <c r="B30" s="129" t="str">
        <f>VLOOKUP($A30,'EGX Service assumptions'!$B:$AY,'EGX Service assumptions'!D$3,FALSE)</f>
        <v>Connection application and management services</v>
      </c>
      <c r="C30" s="129" t="str">
        <f>VLOOKUP($A30,'EGX Service assumptions'!$B:$AY,'EGX Service assumptions'!E$3,FALSE)</f>
        <v>Re-energisation</v>
      </c>
      <c r="D30" s="143" t="str">
        <f>VLOOKUP($A30,'EGX Service assumptions'!$B:$AY,'EGX Service assumptions'!F$3,FALSE)</f>
        <v>Retailer or metering coordinator/provider requests a visual examination upon re-energisation (physical) of the customer’s premises where the customer has not paid their electricity account. NMI de-energised &gt; 30 days.</v>
      </c>
      <c r="E30" s="143" t="str">
        <f>VLOOKUP($A30,'EGX Service assumptions'!$B:$AY,'EGX Service assumptions'!G$3,FALSE)</f>
        <v>AFTER HOURS - NO CT</v>
      </c>
      <c r="F30" s="129" t="str">
        <f>VLOOKUP($A30,'EGX Service assumptions'!$B:$AY,'EGX Service assumptions'!K$3,FALSE)</f>
        <v>No</v>
      </c>
      <c r="G30" s="168">
        <f>VLOOKUP($A30,'EGX Service assumptions'!$B:$AY,'EGX Service assumptions'!$AY$3,FALSE)</f>
        <v>171.17100527465226</v>
      </c>
      <c r="H30" s="144">
        <f>G30*(1+'Escalators &amp; overheads'!F$5)*(1-'Escalators &amp; overheads'!F$8)</f>
        <v>176.74217472237663</v>
      </c>
      <c r="I30" s="144">
        <f>H30*(1+'Escalators &amp; overheads'!G$5)*(1-'Escalators &amp; overheads'!G$8)</f>
        <v>182.58140066984438</v>
      </c>
      <c r="J30" s="144">
        <f>I30*(1+'Escalators &amp; overheads'!H$5)*(1-'Escalators &amp; overheads'!H$8)</f>
        <v>188.66274464345315</v>
      </c>
      <c r="K30" s="144">
        <f>J30*(1+'Escalators &amp; overheads'!I$5)*(1-'Escalators &amp; overheads'!I$8)</f>
        <v>194.48445055155736</v>
      </c>
    </row>
    <row r="31" spans="1:11" s="129" customFormat="1" ht="45">
      <c r="A31" s="129" t="str">
        <f>'EGX Service assumptions'!B33</f>
        <v>EGX_35</v>
      </c>
      <c r="B31" s="129" t="str">
        <f>VLOOKUP($A31,'EGX Service assumptions'!$B:$AY,'EGX Service assumptions'!D$3,FALSE)</f>
        <v>Connection application and management services</v>
      </c>
      <c r="C31" s="129" t="str">
        <f>VLOOKUP($A31,'EGX Service assumptions'!$B:$AY,'EGX Service assumptions'!E$3,FALSE)</f>
        <v>Re-energisation</v>
      </c>
      <c r="D31" s="143" t="str">
        <f>VLOOKUP($A31,'EGX Service assumptions'!$B:$AY,'EGX Service assumptions'!F$3,FALSE)</f>
        <v>Retailer or metering coordinator/provider requests a visual examination upon re-energisation (physical) of the customer’s premises where the customer has not paid their electricity account. NMI de-energised &gt; 30 days.</v>
      </c>
      <c r="E31" s="143" t="str">
        <f>VLOOKUP($A31,'EGX Service assumptions'!$B:$AY,'EGX Service assumptions'!G$3,FALSE)</f>
        <v>ANYTIME - NO CT</v>
      </c>
      <c r="F31" s="129" t="str">
        <f>VLOOKUP($A31,'EGX Service assumptions'!$B:$AY,'EGX Service assumptions'!K$3,FALSE)</f>
        <v>No</v>
      </c>
      <c r="G31" s="168">
        <f>VLOOKUP($A31,'EGX Service assumptions'!$B:$AY,'EGX Service assumptions'!$AY$3,FALSE)</f>
        <v>171.17100527465226</v>
      </c>
      <c r="H31" s="144">
        <f>G31*(1+'Escalators &amp; overheads'!F$5)*(1-'Escalators &amp; overheads'!F$8)</f>
        <v>176.74217472237663</v>
      </c>
      <c r="I31" s="144">
        <f>H31*(1+'Escalators &amp; overheads'!G$5)*(1-'Escalators &amp; overheads'!G$8)</f>
        <v>182.58140066984438</v>
      </c>
      <c r="J31" s="144">
        <f>I31*(1+'Escalators &amp; overheads'!H$5)*(1-'Escalators &amp; overheads'!H$8)</f>
        <v>188.66274464345315</v>
      </c>
      <c r="K31" s="144">
        <f>J31*(1+'Escalators &amp; overheads'!I$5)*(1-'Escalators &amp; overheads'!I$8)</f>
        <v>194.48445055155736</v>
      </c>
    </row>
    <row r="32" spans="1:11" s="129" customFormat="1" ht="45">
      <c r="A32" s="129" t="str">
        <f>'EGX Service assumptions'!B34</f>
        <v>EGX_36</v>
      </c>
      <c r="B32" s="129" t="str">
        <f>VLOOKUP($A32,'EGX Service assumptions'!$B:$AY,'EGX Service assumptions'!D$3,FALSE)</f>
        <v>Connection application and management services</v>
      </c>
      <c r="C32" s="129" t="str">
        <f>VLOOKUP($A32,'EGX Service assumptions'!$B:$AY,'EGX Service assumptions'!E$3,FALSE)</f>
        <v>Re-energisation</v>
      </c>
      <c r="D32" s="143" t="str">
        <f>VLOOKUP($A32,'EGX Service assumptions'!$B:$AY,'EGX Service assumptions'!F$3,FALSE)</f>
        <v>Retailer or metering coordinator/provider requests a visual examination upon re-energisation (physical) of the customer’s premises where the customer has not paid their electricity account. NMI de-energised &gt; 30 days.</v>
      </c>
      <c r="E32" s="143" t="str">
        <f>VLOOKUP($A32,'EGX Service assumptions'!$B:$AY,'EGX Service assumptions'!G$3,FALSE)</f>
        <v>BUSINESS HOURS - CT</v>
      </c>
      <c r="F32" s="129" t="str">
        <f>VLOOKUP($A32,'EGX Service assumptions'!$B:$AY,'EGX Service assumptions'!K$3,FALSE)</f>
        <v>No</v>
      </c>
      <c r="G32" s="168">
        <f>VLOOKUP($A32,'EGX Service assumptions'!$B:$AY,'EGX Service assumptions'!$AY$3,FALSE)</f>
        <v>274.42019340299868</v>
      </c>
      <c r="H32" s="144">
        <f>G32*(1+'Escalators &amp; overheads'!F$5)*(1-'Escalators &amp; overheads'!F$8)</f>
        <v>283.35185443327833</v>
      </c>
      <c r="I32" s="144">
        <f>H32*(1+'Escalators &amp; overheads'!G$5)*(1-'Escalators &amp; overheads'!G$8)</f>
        <v>292.71326182383945</v>
      </c>
      <c r="J32" s="144">
        <f>I32*(1+'Escalators &amp; overheads'!H$5)*(1-'Escalators &amp; overheads'!H$8)</f>
        <v>302.46283118992534</v>
      </c>
      <c r="K32" s="144">
        <f>J32*(1+'Escalators &amp; overheads'!I$5)*(1-'Escalators &amp; overheads'!I$8)</f>
        <v>311.79615057234008</v>
      </c>
    </row>
    <row r="33" spans="1:11" s="129" customFormat="1" ht="45">
      <c r="A33" s="129" t="str">
        <f>'EGX Service assumptions'!B35</f>
        <v>EGX_37</v>
      </c>
      <c r="B33" s="129" t="str">
        <f>VLOOKUP($A33,'EGX Service assumptions'!$B:$AY,'EGX Service assumptions'!D$3,FALSE)</f>
        <v>Connection application and management services</v>
      </c>
      <c r="C33" s="129" t="str">
        <f>VLOOKUP($A33,'EGX Service assumptions'!$B:$AY,'EGX Service assumptions'!E$3,FALSE)</f>
        <v>Re-energisation</v>
      </c>
      <c r="D33" s="143" t="str">
        <f>VLOOKUP($A33,'EGX Service assumptions'!$B:$AY,'EGX Service assumptions'!F$3,FALSE)</f>
        <v>Retailer or metering coordinator/provider requests a visual examination upon re-energisation (physical) of the customer’s premises where the customer has not paid their electricity account. NMI de-energised &gt; 30 days.</v>
      </c>
      <c r="E33" s="143" t="str">
        <f>VLOOKUP($A33,'EGX Service assumptions'!$B:$AY,'EGX Service assumptions'!G$3,FALSE)</f>
        <v>AFTER HOURS - CT</v>
      </c>
      <c r="F33" s="129" t="str">
        <f>VLOOKUP($A33,'EGX Service assumptions'!$B:$AY,'EGX Service assumptions'!K$3,FALSE)</f>
        <v>No</v>
      </c>
      <c r="G33" s="168">
        <f>VLOOKUP($A33,'EGX Service assumptions'!$B:$AY,'EGX Service assumptions'!$AY$3,FALSE)</f>
        <v>379.31977505117959</v>
      </c>
      <c r="H33" s="144">
        <f>G33*(1+'Escalators &amp; overheads'!F$5)*(1-'Escalators &amp; overheads'!F$8)</f>
        <v>391.66564366538796</v>
      </c>
      <c r="I33" s="144">
        <f>H33*(1+'Escalators &amp; overheads'!G$5)*(1-'Escalators &amp; overheads'!G$8)</f>
        <v>404.60553304275368</v>
      </c>
      <c r="J33" s="144">
        <f>I33*(1+'Escalators &amp; overheads'!H$5)*(1-'Escalators &amp; overheads'!H$8)</f>
        <v>418.08196279425738</v>
      </c>
      <c r="K33" s="144">
        <f>J33*(1+'Escalators &amp; overheads'!I$5)*(1-'Escalators &amp; overheads'!I$8)</f>
        <v>430.98302727029346</v>
      </c>
    </row>
    <row r="34" spans="1:11" s="129" customFormat="1" ht="45">
      <c r="A34" s="129" t="str">
        <f>'EGX Service assumptions'!B36</f>
        <v>EGX_38</v>
      </c>
      <c r="B34" s="129" t="str">
        <f>VLOOKUP($A34,'EGX Service assumptions'!$B:$AY,'EGX Service assumptions'!D$3,FALSE)</f>
        <v>Connection application and management services</v>
      </c>
      <c r="C34" s="129" t="str">
        <f>VLOOKUP($A34,'EGX Service assumptions'!$B:$AY,'EGX Service assumptions'!E$3,FALSE)</f>
        <v>Re-energisation</v>
      </c>
      <c r="D34" s="143" t="str">
        <f>VLOOKUP($A34,'EGX Service assumptions'!$B:$AY,'EGX Service assumptions'!F$3,FALSE)</f>
        <v>Retailer or metering coordinator/provider requests a visual examination upon re-energisation (physical) of the customer’s premises where the customer has not paid their electricity account. NMI de-energised &gt; 30 days.</v>
      </c>
      <c r="E34" s="143" t="str">
        <f>VLOOKUP($A34,'EGX Service assumptions'!$B:$AY,'EGX Service assumptions'!G$3,FALSE)</f>
        <v>ANYTIME - CT</v>
      </c>
      <c r="F34" s="129" t="str">
        <f>VLOOKUP($A34,'EGX Service assumptions'!$B:$AY,'EGX Service assumptions'!K$3,FALSE)</f>
        <v>No</v>
      </c>
      <c r="G34" s="168">
        <f>VLOOKUP($A34,'EGX Service assumptions'!$B:$AY,'EGX Service assumptions'!$AY$3,FALSE)</f>
        <v>379.31977505117959</v>
      </c>
      <c r="H34" s="144">
        <f>G34*(1+'Escalators &amp; overheads'!F$5)*(1-'Escalators &amp; overheads'!F$8)</f>
        <v>391.66564366538796</v>
      </c>
      <c r="I34" s="144">
        <f>H34*(1+'Escalators &amp; overheads'!G$5)*(1-'Escalators &amp; overheads'!G$8)</f>
        <v>404.60553304275368</v>
      </c>
      <c r="J34" s="144">
        <f>I34*(1+'Escalators &amp; overheads'!H$5)*(1-'Escalators &amp; overheads'!H$8)</f>
        <v>418.08196279425738</v>
      </c>
      <c r="K34" s="144">
        <f>J34*(1+'Escalators &amp; overheads'!I$5)*(1-'Escalators &amp; overheads'!I$8)</f>
        <v>430.98302727029346</v>
      </c>
    </row>
    <row r="35" spans="1:11" s="129" customFormat="1" ht="30">
      <c r="A35" s="129" t="str">
        <f>'EGX Service assumptions'!B37</f>
        <v>EGX_39</v>
      </c>
      <c r="B35" s="129" t="str">
        <f>VLOOKUP($A35,'EGX Service assumptions'!$B:$AY,'EGX Service assumptions'!D$3,FALSE)</f>
        <v>Connection application and management services</v>
      </c>
      <c r="C35" s="129" t="str">
        <f>VLOOKUP($A35,'EGX Service assumptions'!$B:$AY,'EGX Service assumptions'!E$3,FALSE)</f>
        <v>Temporary disconnections and reconnections (which may involve a line drop)</v>
      </c>
      <c r="D35" s="143" t="str">
        <f>VLOOKUP($A35,'EGX Service assumptions'!$B:$AY,'EGX Service assumptions'!F$3,FALSE)</f>
        <v>Temporary de-energisation and re-energisation of supply to allow customer or contractor to work close - the supply will be disconnected</v>
      </c>
      <c r="E35" s="143" t="str">
        <f>VLOOKUP($A35,'EGX Service assumptions'!$B:$AY,'EGX Service assumptions'!G$3,FALSE)</f>
        <v>No Dismantling - BUSINESS HOURS</v>
      </c>
      <c r="F35" s="129" t="str">
        <f>VLOOKUP($A35,'EGX Service assumptions'!$B:$AY,'EGX Service assumptions'!K$3,FALSE)</f>
        <v>No</v>
      </c>
      <c r="G35" s="168">
        <f>VLOOKUP($A35,'EGX Service assumptions'!$B:$AY,'EGX Service assumptions'!$AY$3,FALSE)</f>
        <v>350.57012189364553</v>
      </c>
      <c r="H35" s="144">
        <f>G35*(1+'Escalators &amp; overheads'!F$5)*(1-'Escalators &amp; overheads'!F$8)</f>
        <v>361.98026433713397</v>
      </c>
      <c r="I35" s="144">
        <f>H35*(1+'Escalators &amp; overheads'!G$5)*(1-'Escalators &amp; overheads'!G$8)</f>
        <v>373.93940513252568</v>
      </c>
      <c r="J35" s="144">
        <f>I35*(1+'Escalators &amp; overheads'!H$5)*(1-'Escalators &amp; overheads'!H$8)</f>
        <v>386.39442048214295</v>
      </c>
      <c r="K35" s="144">
        <f>J35*(1+'Escalators &amp; overheads'!I$5)*(1-'Escalators &amp; overheads'!I$8)</f>
        <v>398.31767901858893</v>
      </c>
    </row>
    <row r="36" spans="1:11" s="129" customFormat="1" ht="30">
      <c r="A36" s="129" t="str">
        <f>'EGX Service assumptions'!B38</f>
        <v>EGX_40</v>
      </c>
      <c r="B36" s="129" t="str">
        <f>VLOOKUP($A36,'EGX Service assumptions'!$B:$AY,'EGX Service assumptions'!D$3,FALSE)</f>
        <v>Connection application and management services</v>
      </c>
      <c r="C36" s="129" t="str">
        <f>VLOOKUP($A36,'EGX Service assumptions'!$B:$AY,'EGX Service assumptions'!E$3,FALSE)</f>
        <v>Temporary disconnections and reconnections (which may involve a line drop)</v>
      </c>
      <c r="D36" s="143" t="str">
        <f>VLOOKUP($A36,'EGX Service assumptions'!$B:$AY,'EGX Service assumptions'!F$3,FALSE)</f>
        <v>Temporary de-energisation and re-energisation of supply to allow customer or contractor to work close - the supply will be disconnected</v>
      </c>
      <c r="E36" s="143" t="str">
        <f>VLOOKUP($A36,'EGX Service assumptions'!$B:$AY,'EGX Service assumptions'!G$3,FALSE)</f>
        <v>No Dismantling - AFTER HOURS</v>
      </c>
      <c r="F36" s="129" t="str">
        <f>VLOOKUP($A36,'EGX Service assumptions'!$B:$AY,'EGX Service assumptions'!K$3,FALSE)</f>
        <v>No</v>
      </c>
      <c r="G36" s="168">
        <f>VLOOKUP($A36,'EGX Service assumptions'!$B:$AY,'EGX Service assumptions'!$AY$3,FALSE)</f>
        <v>490.95585532029781</v>
      </c>
      <c r="H36" s="144">
        <f>G36*(1+'Escalators &amp; overheads'!F$5)*(1-'Escalators &amp; overheads'!F$8)</f>
        <v>506.93518696559067</v>
      </c>
      <c r="I36" s="144">
        <f>H36*(1+'Escalators &amp; overheads'!G$5)*(1-'Escalators &amp; overheads'!G$8)</f>
        <v>523.68336324023244</v>
      </c>
      <c r="J36" s="144">
        <f>I36*(1+'Escalators &amp; overheads'!H$5)*(1-'Escalators &amp; overheads'!H$8)</f>
        <v>541.12598693265841</v>
      </c>
      <c r="K36" s="144">
        <f>J36*(1+'Escalators &amp; overheads'!I$5)*(1-'Escalators &amp; overheads'!I$8)</f>
        <v>557.82391190511748</v>
      </c>
    </row>
    <row r="37" spans="1:11" s="129" customFormat="1" ht="45">
      <c r="A37" s="129" t="str">
        <f>'EGX Service assumptions'!B39</f>
        <v>EGX_41</v>
      </c>
      <c r="B37" s="129" t="str">
        <f>VLOOKUP($A37,'EGX Service assumptions'!$B:$AY,'EGX Service assumptions'!D$3,FALSE)</f>
        <v>Connection application and management services</v>
      </c>
      <c r="C37" s="129" t="str">
        <f>VLOOKUP($A37,'EGX Service assumptions'!$B:$AY,'EGX Service assumptions'!E$3,FALSE)</f>
        <v>Temporary disconnections and reconnections (which may involve a line drop)</v>
      </c>
      <c r="D37" s="143" t="str">
        <f>VLOOKUP($A37,'EGX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7" s="143" t="str">
        <f>VLOOKUP($A37,'EGX Service assumptions'!$B:$AY,'EGX Service assumptions'!G$3,FALSE)</f>
        <v>Dismantling - SINGLE PHASE - BUSINESS HOURS</v>
      </c>
      <c r="F37" s="129" t="str">
        <f>VLOOKUP($A37,'EGX Service assumptions'!$B:$AY,'EGX Service assumptions'!K$3,FALSE)</f>
        <v>No</v>
      </c>
      <c r="G37" s="168">
        <f>VLOOKUP($A37,'EGX Service assumptions'!$B:$AY,'EGX Service assumptions'!$AY$3,FALSE)</f>
        <v>749.08145703770413</v>
      </c>
      <c r="H37" s="144">
        <f>G37*(1+'Escalators &amp; overheads'!F$5)*(1-'Escalators &amp; overheads'!F$8)</f>
        <v>773.46210328447432</v>
      </c>
      <c r="I37" s="144">
        <f>H37*(1+'Escalators &amp; overheads'!G$5)*(1-'Escalators &amp; overheads'!G$8)</f>
        <v>799.01582293274737</v>
      </c>
      <c r="J37" s="144">
        <f>I37*(1+'Escalators &amp; overheads'!H$5)*(1-'Escalators &amp; overheads'!H$8)</f>
        <v>825.62910359432271</v>
      </c>
      <c r="K37" s="144">
        <f>J37*(1+'Escalators &amp; overheads'!I$5)*(1-'Escalators &amp; overheads'!I$8)</f>
        <v>851.10615174912186</v>
      </c>
    </row>
    <row r="38" spans="1:11" s="129" customFormat="1" ht="45">
      <c r="A38" s="129" t="str">
        <f>'EGX Service assumptions'!B40</f>
        <v>EGX_42</v>
      </c>
      <c r="B38" s="129" t="str">
        <f>VLOOKUP($A38,'EGX Service assumptions'!$B:$AY,'EGX Service assumptions'!D$3,FALSE)</f>
        <v>Connection application and management services</v>
      </c>
      <c r="C38" s="129" t="str">
        <f>VLOOKUP($A38,'EGX Service assumptions'!$B:$AY,'EGX Service assumptions'!E$3,FALSE)</f>
        <v>Temporary disconnections and reconnections (which may involve a line drop)</v>
      </c>
      <c r="D38" s="143" t="str">
        <f>VLOOKUP($A38,'EGX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8" s="143" t="str">
        <f>VLOOKUP($A38,'EGX Service assumptions'!$B:$AY,'EGX Service assumptions'!G$3,FALSE)</f>
        <v>Dismantling - MULTIPHASE - BUSINESS HOURS</v>
      </c>
      <c r="F38" s="129" t="str">
        <f>VLOOKUP($A38,'EGX Service assumptions'!$B:$AY,'EGX Service assumptions'!K$3,FALSE)</f>
        <v>No</v>
      </c>
      <c r="G38" s="168">
        <f>VLOOKUP($A38,'EGX Service assumptions'!$B:$AY,'EGX Service assumptions'!$AY$3,FALSE)</f>
        <v>898.89774844524504</v>
      </c>
      <c r="H38" s="144">
        <f>G38*(1+'Escalators &amp; overheads'!F$5)*(1-'Escalators &amp; overheads'!F$8)</f>
        <v>928.15452394136923</v>
      </c>
      <c r="I38" s="144">
        <f>H38*(1+'Escalators &amp; overheads'!G$5)*(1-'Escalators &amp; overheads'!G$8)</f>
        <v>958.8189875192968</v>
      </c>
      <c r="J38" s="144">
        <f>I38*(1+'Escalators &amp; overheads'!H$5)*(1-'Escalators &amp; overheads'!H$8)</f>
        <v>990.75492431318719</v>
      </c>
      <c r="K38" s="144">
        <f>J38*(1+'Escalators &amp; overheads'!I$5)*(1-'Escalators &amp; overheads'!I$8)</f>
        <v>1021.3273820989461</v>
      </c>
    </row>
    <row r="39" spans="1:11" s="129" customFormat="1" ht="45">
      <c r="A39" s="129" t="str">
        <f>'EGX Service assumptions'!B41</f>
        <v>EGX_43</v>
      </c>
      <c r="B39" s="129" t="str">
        <f>VLOOKUP($A39,'EGX Service assumptions'!$B:$AY,'EGX Service assumptions'!D$3,FALSE)</f>
        <v>Connection application and management services</v>
      </c>
      <c r="C39" s="129" t="str">
        <f>VLOOKUP($A39,'EGX Service assumptions'!$B:$AY,'EGX Service assumptions'!E$3,FALSE)</f>
        <v>Temporary disconnections and reconnections (which may involve a line drop)</v>
      </c>
      <c r="D39" s="143" t="str">
        <f>VLOOKUP($A39,'EGX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9" s="143" t="str">
        <f>VLOOKUP($A39,'EGX Service assumptions'!$B:$AY,'EGX Service assumptions'!G$3,FALSE)</f>
        <v>Dismantling - SINGLE PHASE - BUSINESS HOURS - Traffic Control</v>
      </c>
      <c r="F39" s="129" t="str">
        <f>VLOOKUP($A39,'EGX Service assumptions'!$B:$AY,'EGX Service assumptions'!K$3,FALSE)</f>
        <v>Yes</v>
      </c>
      <c r="G39" s="168">
        <f>VLOOKUP($A39,'EGX Service assumptions'!$B:$AY,'EGX Service assumptions'!$AY$3,FALSE)</f>
        <v>1355.5618613997899</v>
      </c>
      <c r="H39" s="144">
        <f>G39*(1+'Escalators &amp; overheads'!F$5)*(1-'Escalators &amp; overheads'!F$8)</f>
        <v>1399.6818618321836</v>
      </c>
      <c r="I39" s="144">
        <f>H39*(1+'Escalators &amp; overheads'!G$5)*(1-'Escalators &amp; overheads'!G$8)</f>
        <v>1445.9246935651786</v>
      </c>
      <c r="J39" s="144">
        <f>I39*(1+'Escalators &amp; overheads'!H$5)*(1-'Escalators &amp; overheads'!H$8)</f>
        <v>1494.0849409356381</v>
      </c>
      <c r="K39" s="144">
        <f>J39*(1+'Escalators &amp; overheads'!I$5)*(1-'Escalators &amp; overheads'!I$8)</f>
        <v>1540.1890254717387</v>
      </c>
    </row>
    <row r="40" spans="1:11" s="129" customFormat="1" ht="45">
      <c r="A40" s="129" t="str">
        <f>'EGX Service assumptions'!B42</f>
        <v>EGX_44</v>
      </c>
      <c r="B40" s="129" t="str">
        <f>VLOOKUP($A40,'EGX Service assumptions'!$B:$AY,'EGX Service assumptions'!D$3,FALSE)</f>
        <v>Connection application and management services</v>
      </c>
      <c r="C40" s="129" t="str">
        <f>VLOOKUP($A40,'EGX Service assumptions'!$B:$AY,'EGX Service assumptions'!E$3,FALSE)</f>
        <v>Temporary disconnections and reconnections (which may involve a line drop)</v>
      </c>
      <c r="D40" s="143" t="str">
        <f>VLOOKUP($A40,'EGX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0" s="143" t="str">
        <f>VLOOKUP($A40,'EGX Service assumptions'!$B:$AY,'EGX Service assumptions'!G$3,FALSE)</f>
        <v>Dismantling - MULTIPHASE - BUSINESS HOURS - Traffic Control</v>
      </c>
      <c r="F40" s="129" t="str">
        <f>VLOOKUP($A40,'EGX Service assumptions'!$B:$AY,'EGX Service assumptions'!K$3,FALSE)</f>
        <v>Yes</v>
      </c>
      <c r="G40" s="168">
        <f>VLOOKUP($A40,'EGX Service assumptions'!$B:$AY,'EGX Service assumptions'!$AY$3,FALSE)</f>
        <v>1505.3781528073309</v>
      </c>
      <c r="H40" s="144">
        <f>G40*(1+'Escalators &amp; overheads'!F$5)*(1-'Escalators &amp; overheads'!F$8)</f>
        <v>1554.3742824890787</v>
      </c>
      <c r="I40" s="144">
        <f>H40*(1+'Escalators &amp; overheads'!G$5)*(1-'Escalators &amp; overheads'!G$8)</f>
        <v>1605.7278581517282</v>
      </c>
      <c r="J40" s="144">
        <f>I40*(1+'Escalators &amp; overheads'!H$5)*(1-'Escalators &amp; overheads'!H$8)</f>
        <v>1659.2107616545027</v>
      </c>
      <c r="K40" s="144">
        <f>J40*(1+'Escalators &amp; overheads'!I$5)*(1-'Escalators &amp; overheads'!I$8)</f>
        <v>1710.4102558215629</v>
      </c>
    </row>
    <row r="41" spans="1:11" s="129" customFormat="1" ht="45">
      <c r="A41" s="129" t="str">
        <f>'EGX Service assumptions'!B43</f>
        <v>EGX_45</v>
      </c>
      <c r="B41" s="129" t="str">
        <f>VLOOKUP($A41,'EGX Service assumptions'!$B:$AY,'EGX Service assumptions'!D$3,FALSE)</f>
        <v>Connection application and management services</v>
      </c>
      <c r="C41" s="129" t="str">
        <f>VLOOKUP($A41,'EGX Service assumptions'!$B:$AY,'EGX Service assumptions'!E$3,FALSE)</f>
        <v>Temporary disconnections and reconnections (which may involve a line drop)</v>
      </c>
      <c r="D41" s="143" t="str">
        <f>VLOOKUP($A41,'EGX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1" s="143" t="str">
        <f>VLOOKUP($A41,'EGX Service assumptions'!$B:$AY,'EGX Service assumptions'!G$3,FALSE)</f>
        <v>Dismantling - SINGLE PHASE - AFTER HOURS</v>
      </c>
      <c r="F41" s="129" t="str">
        <f>VLOOKUP($A41,'EGX Service assumptions'!$B:$AY,'EGX Service assumptions'!K$3,FALSE)</f>
        <v>No</v>
      </c>
      <c r="G41" s="168">
        <f>VLOOKUP($A41,'EGX Service assumptions'!$B:$AY,'EGX Service assumptions'!$AY$3,FALSE)</f>
        <v>1049.0509729066193</v>
      </c>
      <c r="H41" s="144">
        <f>G41*(1+'Escalators &amp; overheads'!F$5)*(1-'Escalators &amp; overheads'!F$8)</f>
        <v>1083.19484394357</v>
      </c>
      <c r="I41" s="144">
        <f>H41*(1+'Escalators &amp; overheads'!G$5)*(1-'Escalators &amp; overheads'!G$8)</f>
        <v>1118.9815453851122</v>
      </c>
      <c r="J41" s="144">
        <f>I41*(1+'Escalators &amp; overheads'!H$5)*(1-'Escalators &amp; overheads'!H$8)</f>
        <v>1156.252108830467</v>
      </c>
      <c r="K41" s="144">
        <f>J41*(1+'Escalators &amp; overheads'!I$5)*(1-'Escalators &amp; overheads'!I$8)</f>
        <v>1191.9314356946957</v>
      </c>
    </row>
    <row r="42" spans="1:11" s="129" customFormat="1" ht="45">
      <c r="A42" s="129" t="str">
        <f>'EGX Service assumptions'!B44</f>
        <v>EGX_46</v>
      </c>
      <c r="B42" s="129" t="str">
        <f>VLOOKUP($A42,'EGX Service assumptions'!$B:$AY,'EGX Service assumptions'!D$3,FALSE)</f>
        <v>Connection application and management services</v>
      </c>
      <c r="C42" s="129" t="str">
        <f>VLOOKUP($A42,'EGX Service assumptions'!$B:$AY,'EGX Service assumptions'!E$3,FALSE)</f>
        <v>Temporary disconnections and reconnections (which may involve a line drop)</v>
      </c>
      <c r="D42" s="143" t="str">
        <f>VLOOKUP($A42,'EGX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2" s="143" t="str">
        <f>VLOOKUP($A42,'EGX Service assumptions'!$B:$AY,'EGX Service assumptions'!G$3,FALSE)</f>
        <v>Dismantling - MULTIPHASE - AFTER HOURS</v>
      </c>
      <c r="F42" s="129" t="str">
        <f>VLOOKUP($A42,'EGX Service assumptions'!$B:$AY,'EGX Service assumptions'!K$3,FALSE)</f>
        <v>No</v>
      </c>
      <c r="G42" s="168">
        <f>VLOOKUP($A42,'EGX Service assumptions'!$B:$AY,'EGX Service assumptions'!$AY$3,FALSE)</f>
        <v>1258.8611674879432</v>
      </c>
      <c r="H42" s="144">
        <f>G42*(1+'Escalators &amp; overheads'!F$5)*(1-'Escalators &amp; overheads'!F$8)</f>
        <v>1299.8338127322841</v>
      </c>
      <c r="I42" s="144">
        <f>H42*(1+'Escalators &amp; overheads'!G$5)*(1-'Escalators &amp; overheads'!G$8)</f>
        <v>1342.7778544621347</v>
      </c>
      <c r="J42" s="144">
        <f>I42*(1+'Escalators &amp; overheads'!H$5)*(1-'Escalators &amp; overheads'!H$8)</f>
        <v>1387.5025305965605</v>
      </c>
      <c r="K42" s="144">
        <f>J42*(1+'Escalators &amp; overheads'!I$5)*(1-'Escalators &amp; overheads'!I$8)</f>
        <v>1430.3177228336349</v>
      </c>
    </row>
    <row r="43" spans="1:11" s="129" customFormat="1" ht="45">
      <c r="A43" s="129" t="str">
        <f>'EGX Service assumptions'!B45</f>
        <v>EGX_47</v>
      </c>
      <c r="B43" s="129" t="str">
        <f>VLOOKUP($A43,'EGX Service assumptions'!$B:$AY,'EGX Service assumptions'!D$3,FALSE)</f>
        <v>Connection application and management services</v>
      </c>
      <c r="C43" s="129" t="str">
        <f>VLOOKUP($A43,'EGX Service assumptions'!$B:$AY,'EGX Service assumptions'!E$3,FALSE)</f>
        <v>Temporary disconnections and reconnections (which may involve a line drop)</v>
      </c>
      <c r="D43" s="143" t="str">
        <f>VLOOKUP($A43,'EGX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3" s="143" t="str">
        <f>VLOOKUP($A43,'EGX Service assumptions'!$B:$AY,'EGX Service assumptions'!G$3,FALSE)</f>
        <v>Dismantling - SINGLE PHASE - AFTER HOURS - Traffic Control</v>
      </c>
      <c r="F43" s="129" t="str">
        <f>VLOOKUP($A43,'EGX Service assumptions'!$B:$AY,'EGX Service assumptions'!K$3,FALSE)</f>
        <v>Yes</v>
      </c>
      <c r="G43" s="168">
        <f>VLOOKUP($A43,'EGX Service assumptions'!$B:$AY,'EGX Service assumptions'!$AY$3,FALSE)</f>
        <v>1655.531377268705</v>
      </c>
      <c r="H43" s="144">
        <f>G43*(1+'Escalators &amp; overheads'!F$5)*(1-'Escalators &amp; overheads'!F$8)</f>
        <v>1709.4146024912789</v>
      </c>
      <c r="I43" s="144">
        <f>H43*(1+'Escalators &amp; overheads'!G$5)*(1-'Escalators &amp; overheads'!G$8)</f>
        <v>1765.890416017543</v>
      </c>
      <c r="J43" s="144">
        <f>I43*(1+'Escalators &amp; overheads'!H$5)*(1-'Escalators &amp; overheads'!H$8)</f>
        <v>1824.7079461717819</v>
      </c>
      <c r="K43" s="144">
        <f>J43*(1+'Escalators &amp; overheads'!I$5)*(1-'Escalators &amp; overheads'!I$8)</f>
        <v>1881.0143094173118</v>
      </c>
    </row>
    <row r="44" spans="1:11" s="129" customFormat="1" ht="45">
      <c r="A44" s="129" t="str">
        <f>'EGX Service assumptions'!B46</f>
        <v>EGX_48</v>
      </c>
      <c r="B44" s="129" t="str">
        <f>VLOOKUP($A44,'EGX Service assumptions'!$B:$AY,'EGX Service assumptions'!D$3,FALSE)</f>
        <v>Connection application and management services</v>
      </c>
      <c r="C44" s="129" t="str">
        <f>VLOOKUP($A44,'EGX Service assumptions'!$B:$AY,'EGX Service assumptions'!E$3,FALSE)</f>
        <v>Temporary disconnections and reconnections (which may involve a line drop)</v>
      </c>
      <c r="D44" s="143" t="str">
        <f>VLOOKUP($A44,'EGX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4" s="143" t="str">
        <f>VLOOKUP($A44,'EGX Service assumptions'!$B:$AY,'EGX Service assumptions'!G$3,FALSE)</f>
        <v>Dismantling - MULTIPHASE - AFTER HOURS - Traffic Control</v>
      </c>
      <c r="F44" s="129" t="str">
        <f>VLOOKUP($A44,'EGX Service assumptions'!$B:$AY,'EGX Service assumptions'!K$3,FALSE)</f>
        <v>Yes</v>
      </c>
      <c r="G44" s="168">
        <f>VLOOKUP($A44,'EGX Service assumptions'!$B:$AY,'EGX Service assumptions'!$AY$3,FALSE)</f>
        <v>1865.3415718500291</v>
      </c>
      <c r="H44" s="144">
        <f>G44*(1+'Escalators &amp; overheads'!F$5)*(1-'Escalators &amp; overheads'!F$8)</f>
        <v>1926.0535712799933</v>
      </c>
      <c r="I44" s="144">
        <f>H44*(1+'Escalators &amp; overheads'!G$5)*(1-'Escalators &amp; overheads'!G$8)</f>
        <v>1989.6867250945661</v>
      </c>
      <c r="J44" s="144">
        <f>I44*(1+'Escalators &amp; overheads'!H$5)*(1-'Escalators &amp; overheads'!H$8)</f>
        <v>2055.9583679378761</v>
      </c>
      <c r="K44" s="144">
        <f>J44*(1+'Escalators &amp; overheads'!I$5)*(1-'Escalators &amp; overheads'!I$8)</f>
        <v>2119.4005965562519</v>
      </c>
    </row>
    <row r="45" spans="1:11" s="129" customFormat="1" ht="30">
      <c r="A45" s="129" t="str">
        <f>'EGX Service assumptions'!B47</f>
        <v>EGX_49</v>
      </c>
      <c r="B45" s="129" t="str">
        <f>VLOOKUP($A45,'EGX Service assumptions'!$B:$AY,'EGX Service assumptions'!D$3,FALSE)</f>
        <v>Connection application and management services</v>
      </c>
      <c r="C45" s="129" t="str">
        <f>VLOOKUP($A45,'EGX Service assumptions'!$B:$AY,'EGX Service assumptions'!E$3,FALSE)</f>
        <v>Temporary connection</v>
      </c>
      <c r="D45" s="143" t="str">
        <f>VLOOKUP($A45,'EGX Service assumptions'!$B:$AY,'EGX Service assumptions'!F$3,FALSE)</f>
        <v>Customer requested temporary connection (short term) and the recovery of the temporary builders supply. Excludes work on metering equipment.</v>
      </c>
      <c r="E45" s="143" t="str">
        <f>VLOOKUP($A45,'EGX Service assumptions'!$B:$AY,'EGX Service assumptions'!G$3,FALSE)</f>
        <v>BUSINESS HOURS - NO CT</v>
      </c>
      <c r="F45" s="129" t="str">
        <f>VLOOKUP($A45,'EGX Service assumptions'!$B:$AY,'EGX Service assumptions'!K$3,FALSE)</f>
        <v>No</v>
      </c>
      <c r="G45" s="168">
        <f>VLOOKUP($A45,'EGX Service assumptions'!$B:$AY,'EGX Service assumptions'!$AY$3,FALSE)</f>
        <v>898.89774844524504</v>
      </c>
      <c r="H45" s="144">
        <f>G45*(1+'Escalators &amp; overheads'!F$5)*(1-'Escalators &amp; overheads'!F$8)</f>
        <v>928.15452394136923</v>
      </c>
      <c r="I45" s="144">
        <f>H45*(1+'Escalators &amp; overheads'!G$5)*(1-'Escalators &amp; overheads'!G$8)</f>
        <v>958.8189875192968</v>
      </c>
      <c r="J45" s="144">
        <f>I45*(1+'Escalators &amp; overheads'!H$5)*(1-'Escalators &amp; overheads'!H$8)</f>
        <v>990.75492431318719</v>
      </c>
      <c r="K45" s="144">
        <f>J45*(1+'Escalators &amp; overheads'!I$5)*(1-'Escalators &amp; overheads'!I$8)</f>
        <v>1021.3273820989461</v>
      </c>
    </row>
    <row r="46" spans="1:11" s="129" customFormat="1" ht="30">
      <c r="A46" s="129" t="str">
        <f>'EGX Service assumptions'!B48</f>
        <v>EGX_50</v>
      </c>
      <c r="B46" s="129" t="str">
        <f>VLOOKUP($A46,'EGX Service assumptions'!$B:$AY,'EGX Service assumptions'!D$3,FALSE)</f>
        <v>Connection application and management services</v>
      </c>
      <c r="C46" s="129" t="str">
        <f>VLOOKUP($A46,'EGX Service assumptions'!$B:$AY,'EGX Service assumptions'!E$3,FALSE)</f>
        <v>Temporary connection</v>
      </c>
      <c r="D46" s="143" t="str">
        <f>VLOOKUP($A46,'EGX Service assumptions'!$B:$AY,'EGX Service assumptions'!F$3,FALSE)</f>
        <v>Customer requested temporary connection (short term) and the recovery of the temporary builders supply. Excludes work on metering equipment.</v>
      </c>
      <c r="E46" s="143" t="str">
        <f>VLOOKUP($A46,'EGX Service assumptions'!$B:$AY,'EGX Service assumptions'!G$3,FALSE)</f>
        <v>AFTER HOURS - NO CT</v>
      </c>
      <c r="F46" s="129" t="str">
        <f>VLOOKUP($A46,'EGX Service assumptions'!$B:$AY,'EGX Service assumptions'!K$3,FALSE)</f>
        <v>No</v>
      </c>
      <c r="G46" s="168">
        <f>VLOOKUP($A46,'EGX Service assumptions'!$B:$AY,'EGX Service assumptions'!$AY$3,FALSE)</f>
        <v>1258.8611674879432</v>
      </c>
      <c r="H46" s="144">
        <f>G46*(1+'Escalators &amp; overheads'!F$5)*(1-'Escalators &amp; overheads'!F$8)</f>
        <v>1299.8338127322841</v>
      </c>
      <c r="I46" s="144">
        <f>H46*(1+'Escalators &amp; overheads'!G$5)*(1-'Escalators &amp; overheads'!G$8)</f>
        <v>1342.7778544621347</v>
      </c>
      <c r="J46" s="144">
        <f>I46*(1+'Escalators &amp; overheads'!H$5)*(1-'Escalators &amp; overheads'!H$8)</f>
        <v>1387.5025305965605</v>
      </c>
      <c r="K46" s="144">
        <f>J46*(1+'Escalators &amp; overheads'!I$5)*(1-'Escalators &amp; overheads'!I$8)</f>
        <v>1430.3177228336349</v>
      </c>
    </row>
    <row r="47" spans="1:11" s="129" customFormat="1" ht="30">
      <c r="A47" s="129" t="str">
        <f>'EGX Service assumptions'!B49</f>
        <v>EGX_51</v>
      </c>
      <c r="B47" s="129" t="str">
        <f>VLOOKUP($A47,'EGX Service assumptions'!$B:$AY,'EGX Service assumptions'!D$3,FALSE)</f>
        <v>Connection application and management services</v>
      </c>
      <c r="C47" s="129" t="str">
        <f>VLOOKUP($A47,'EGX Service assumptions'!$B:$AY,'EGX Service assumptions'!E$3,FALSE)</f>
        <v>Temporary connection</v>
      </c>
      <c r="D47" s="143" t="str">
        <f>VLOOKUP($A47,'EGX Service assumptions'!$B:$AY,'EGX Service assumptions'!F$3,FALSE)</f>
        <v>Customer requested temporary connection (short term) and the recovery of the temporary builders supply. Excludes work on metering equipment.</v>
      </c>
      <c r="E47" s="143" t="str">
        <f>VLOOKUP($A47,'EGX Service assumptions'!$B:$AY,'EGX Service assumptions'!G$3,FALSE)</f>
        <v>BUSINESS HOURS - CT</v>
      </c>
      <c r="F47" s="129" t="str">
        <f>VLOOKUP($A47,'EGX Service assumptions'!$B:$AY,'EGX Service assumptions'!K$3,FALSE)</f>
        <v>No</v>
      </c>
      <c r="G47" s="168">
        <f>VLOOKUP($A47,'EGX Service assumptions'!$B:$AY,'EGX Service assumptions'!$AY$3,FALSE)</f>
        <v>1498.162914075408</v>
      </c>
      <c r="H47" s="144">
        <f>G47*(1+'Escalators &amp; overheads'!F$5)*(1-'Escalators &amp; overheads'!F$8)</f>
        <v>1546.9242065689484</v>
      </c>
      <c r="I47" s="144">
        <f>H47*(1+'Escalators &amp; overheads'!G$5)*(1-'Escalators &amp; overheads'!G$8)</f>
        <v>1598.0316458654945</v>
      </c>
      <c r="J47" s="144">
        <f>I47*(1+'Escalators &amp; overheads'!H$5)*(1-'Escalators &amp; overheads'!H$8)</f>
        <v>1651.2582071886452</v>
      </c>
      <c r="K47" s="144">
        <f>J47*(1+'Escalators &amp; overheads'!I$5)*(1-'Escalators &amp; overheads'!I$8)</f>
        <v>1702.2123034982435</v>
      </c>
    </row>
    <row r="48" spans="1:11" s="129" customFormat="1" ht="30">
      <c r="A48" s="129" t="str">
        <f>'EGX Service assumptions'!B50</f>
        <v>EGX_52</v>
      </c>
      <c r="B48" s="129" t="str">
        <f>VLOOKUP($A48,'EGX Service assumptions'!$B:$AY,'EGX Service assumptions'!D$3,FALSE)</f>
        <v>Connection application and management services</v>
      </c>
      <c r="C48" s="129" t="str">
        <f>VLOOKUP($A48,'EGX Service assumptions'!$B:$AY,'EGX Service assumptions'!E$3,FALSE)</f>
        <v>Temporary connection</v>
      </c>
      <c r="D48" s="143" t="str">
        <f>VLOOKUP($A48,'EGX Service assumptions'!$B:$AY,'EGX Service assumptions'!F$3,FALSE)</f>
        <v>Customer requested temporary connection (short term) and the recovery of the temporary builders supply. Excludes work on metering equipment.</v>
      </c>
      <c r="E48" s="143" t="str">
        <f>VLOOKUP($A48,'EGX Service assumptions'!$B:$AY,'EGX Service assumptions'!G$3,FALSE)</f>
        <v>AFTER HOURS - CT</v>
      </c>
      <c r="F48" s="129" t="str">
        <f>VLOOKUP($A48,'EGX Service assumptions'!$B:$AY,'EGX Service assumptions'!K$3,FALSE)</f>
        <v>No</v>
      </c>
      <c r="G48" s="168">
        <f>VLOOKUP($A48,'EGX Service assumptions'!$B:$AY,'EGX Service assumptions'!$AY$3,FALSE)</f>
        <v>2098.1019458132382</v>
      </c>
      <c r="H48" s="144">
        <f>G48*(1+'Escalators &amp; overheads'!F$5)*(1-'Escalators &amp; overheads'!F$8)</f>
        <v>2166.3896878871396</v>
      </c>
      <c r="I48" s="144">
        <f>H48*(1+'Escalators &amp; overheads'!G$5)*(1-'Escalators &amp; overheads'!G$8)</f>
        <v>2237.963090770224</v>
      </c>
      <c r="J48" s="144">
        <f>I48*(1+'Escalators &amp; overheads'!H$5)*(1-'Escalators &amp; overheads'!H$8)</f>
        <v>2312.5042176609336</v>
      </c>
      <c r="K48" s="144">
        <f>J48*(1+'Escalators &amp; overheads'!I$5)*(1-'Escalators &amp; overheads'!I$8)</f>
        <v>2383.8628713893909</v>
      </c>
    </row>
    <row r="49" spans="1:11" s="129" customFormat="1" ht="60">
      <c r="A49" s="129" t="str">
        <f>'EGX Service assumptions'!B51</f>
        <v>EGX_53</v>
      </c>
      <c r="B49" s="129" t="str">
        <f>VLOOKUP($A49,'EGX Service assumptions'!$B:$AY,'EGX Service assumptions'!D$3,FALSE)</f>
        <v>Connection application and management services</v>
      </c>
      <c r="C49" s="129" t="str">
        <f>VLOOKUP($A49,'EGX Service assumptions'!$B:$AY,'EGX Service assumptions'!E$3,FALSE)</f>
        <v>Supply Abolishment</v>
      </c>
      <c r="D49" s="143" t="str">
        <f>VLOOKUP($A49,'EGX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49" s="143" t="str">
        <f>VLOOKUP($A49,'EGX Service assumptions'!$B:$AY,'EGX Service assumptions'!G$3,FALSE)</f>
        <v>SERVICE ONLY - BUSINESS HOURS - CT (Complex)</v>
      </c>
      <c r="F49" s="129" t="str">
        <f>VLOOKUP($A49,'EGX Service assumptions'!$B:$AY,'EGX Service assumptions'!K$3,FALSE)</f>
        <v>No</v>
      </c>
      <c r="G49" s="168">
        <f>VLOOKUP($A49,'EGX Service assumptions'!$B:$AY,'EGX Service assumptions'!$AY$3,FALSE)</f>
        <v>449.44887422262252</v>
      </c>
      <c r="H49" s="144">
        <f>G49*(1+'Escalators &amp; overheads'!F$5)*(1-'Escalators &amp; overheads'!F$8)</f>
        <v>464.07726197068462</v>
      </c>
      <c r="I49" s="144">
        <f>H49*(1+'Escalators &amp; overheads'!G$5)*(1-'Escalators &amp; overheads'!G$8)</f>
        <v>479.4094937596484</v>
      </c>
      <c r="J49" s="144">
        <f>I49*(1+'Escalators &amp; overheads'!H$5)*(1-'Escalators &amp; overheads'!H$8)</f>
        <v>495.37746215659359</v>
      </c>
      <c r="K49" s="144">
        <f>J49*(1+'Escalators &amp; overheads'!I$5)*(1-'Escalators &amp; overheads'!I$8)</f>
        <v>510.66369104947307</v>
      </c>
    </row>
    <row r="50" spans="1:11" s="129" customFormat="1" ht="60">
      <c r="A50" s="129" t="str">
        <f>'EGX Service assumptions'!B52</f>
        <v>EGX_54</v>
      </c>
      <c r="B50" s="129" t="str">
        <f>VLOOKUP($A50,'EGX Service assumptions'!$B:$AY,'EGX Service assumptions'!D$3,FALSE)</f>
        <v>Connection application and management services</v>
      </c>
      <c r="C50" s="129" t="str">
        <f>VLOOKUP($A50,'EGX Service assumptions'!$B:$AY,'EGX Service assumptions'!E$3,FALSE)</f>
        <v>Supply Abolishment</v>
      </c>
      <c r="D50" s="143" t="str">
        <f>VLOOKUP($A50,'EGX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0" s="143" t="str">
        <f>VLOOKUP($A50,'EGX Service assumptions'!$B:$AY,'EGX Service assumptions'!G$3,FALSE)</f>
        <v>SERVICE ONLY - BUSINESS HOURS - CT (Complex) - Traffic control</v>
      </c>
      <c r="F50" s="129" t="str">
        <f>VLOOKUP($A50,'EGX Service assumptions'!$B:$AY,'EGX Service assumptions'!K$3,FALSE)</f>
        <v>Yes</v>
      </c>
      <c r="G50" s="168">
        <f>VLOOKUP($A50,'EGX Service assumptions'!$B:$AY,'EGX Service assumptions'!$AY$3,FALSE)</f>
        <v>1055.9292785847083</v>
      </c>
      <c r="H50" s="144">
        <f>G50*(1+'Escalators &amp; overheads'!F$5)*(1-'Escalators &amp; overheads'!F$8)</f>
        <v>1090.297020518394</v>
      </c>
      <c r="I50" s="144">
        <f>H50*(1+'Escalators &amp; overheads'!G$5)*(1-'Escalators &amp; overheads'!G$8)</f>
        <v>1126.3183643920797</v>
      </c>
      <c r="J50" s="144">
        <f>I50*(1+'Escalators &amp; overheads'!H$5)*(1-'Escalators &amp; overheads'!H$8)</f>
        <v>1163.8332994979091</v>
      </c>
      <c r="K50" s="144">
        <f>J50*(1+'Escalators &amp; overheads'!I$5)*(1-'Escalators &amp; overheads'!I$8)</f>
        <v>1199.7465647720901</v>
      </c>
    </row>
    <row r="51" spans="1:11" s="129" customFormat="1" ht="60">
      <c r="A51" s="129" t="str">
        <f>'EGX Service assumptions'!B53</f>
        <v>EGX_55</v>
      </c>
      <c r="B51" s="129" t="str">
        <f>VLOOKUP($A51,'EGX Service assumptions'!$B:$AY,'EGX Service assumptions'!D$3,FALSE)</f>
        <v>Connection application and management services</v>
      </c>
      <c r="C51" s="129" t="str">
        <f>VLOOKUP($A51,'EGX Service assumptions'!$B:$AY,'EGX Service assumptions'!E$3,FALSE)</f>
        <v>Supply Abolishment</v>
      </c>
      <c r="D51" s="143" t="str">
        <f>VLOOKUP($A51,'EGX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1" s="143" t="str">
        <f>VLOOKUP($A51,'EGX Service assumptions'!$B:$AY,'EGX Service assumptions'!G$3,FALSE)</f>
        <v>SERVICE ONLY - BUSINESS HOURS - NO CT (Simple)</v>
      </c>
      <c r="F51" s="129" t="str">
        <f>VLOOKUP($A51,'EGX Service assumptions'!$B:$AY,'EGX Service assumptions'!K$3,FALSE)</f>
        <v>No</v>
      </c>
      <c r="G51" s="168">
        <f>VLOOKUP($A51,'EGX Service assumptions'!$B:$AY,'EGX Service assumptions'!$AY$3,FALSE)</f>
        <v>374.54072851885201</v>
      </c>
      <c r="H51" s="144">
        <f>G51*(1+'Escalators &amp; overheads'!F$5)*(1-'Escalators &amp; overheads'!F$8)</f>
        <v>386.73105164223711</v>
      </c>
      <c r="I51" s="144">
        <f>H51*(1+'Escalators &amp; overheads'!G$5)*(1-'Escalators &amp; overheads'!G$8)</f>
        <v>399.50791146637363</v>
      </c>
      <c r="J51" s="144">
        <f>I51*(1+'Escalators &amp; overheads'!H$5)*(1-'Escalators &amp; overheads'!H$8)</f>
        <v>412.8145517971613</v>
      </c>
      <c r="K51" s="144">
        <f>J51*(1+'Escalators &amp; overheads'!I$5)*(1-'Escalators &amp; overheads'!I$8)</f>
        <v>425.55307587456088</v>
      </c>
    </row>
    <row r="52" spans="1:11" s="129" customFormat="1" ht="60">
      <c r="A52" s="129" t="str">
        <f>'EGX Service assumptions'!B54</f>
        <v>EGX_56</v>
      </c>
      <c r="B52" s="129" t="str">
        <f>VLOOKUP($A52,'EGX Service assumptions'!$B:$AY,'EGX Service assumptions'!D$3,FALSE)</f>
        <v>Connection application and management services</v>
      </c>
      <c r="C52" s="129" t="str">
        <f>VLOOKUP($A52,'EGX Service assumptions'!$B:$AY,'EGX Service assumptions'!E$3,FALSE)</f>
        <v>Supply Abolishment</v>
      </c>
      <c r="D52" s="143" t="str">
        <f>VLOOKUP($A52,'EGX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2" s="143" t="str">
        <f>VLOOKUP($A52,'EGX Service assumptions'!$B:$AY,'EGX Service assumptions'!G$3,FALSE)</f>
        <v>SERVICE ONLY - BUSINESS HOURS - NO CT (Simple) - Traffic control</v>
      </c>
      <c r="F52" s="129" t="str">
        <f>VLOOKUP($A52,'EGX Service assumptions'!$B:$AY,'EGX Service assumptions'!K$3,FALSE)</f>
        <v>Yes</v>
      </c>
      <c r="G52" s="168">
        <f>VLOOKUP($A52,'EGX Service assumptions'!$B:$AY,'EGX Service assumptions'!$AY$3,FALSE)</f>
        <v>981.02113288093778</v>
      </c>
      <c r="H52" s="144">
        <f>G52*(1+'Escalators &amp; overheads'!F$5)*(1-'Escalators &amp; overheads'!F$8)</f>
        <v>1012.9508101899463</v>
      </c>
      <c r="I52" s="144">
        <f>H52*(1+'Escalators &amp; overheads'!G$5)*(1-'Escalators &amp; overheads'!G$8)</f>
        <v>1046.416782098805</v>
      </c>
      <c r="J52" s="144">
        <f>I52*(1+'Escalators &amp; overheads'!H$5)*(1-'Escalators &amp; overheads'!H$8)</f>
        <v>1081.270389138477</v>
      </c>
      <c r="K52" s="144">
        <f>J52*(1+'Escalators &amp; overheads'!I$5)*(1-'Escalators &amp; overheads'!I$8)</f>
        <v>1114.6359495971778</v>
      </c>
    </row>
    <row r="53" spans="1:11" s="129" customFormat="1" ht="60">
      <c r="A53" s="129" t="str">
        <f>'EGX Service assumptions'!B55</f>
        <v>EGX_57</v>
      </c>
      <c r="B53" s="129" t="str">
        <f>VLOOKUP($A53,'EGX Service assumptions'!$B:$AY,'EGX Service assumptions'!D$3,FALSE)</f>
        <v>Connection application and management services</v>
      </c>
      <c r="C53" s="129" t="str">
        <f>VLOOKUP($A53,'EGX Service assumptions'!$B:$AY,'EGX Service assumptions'!E$3,FALSE)</f>
        <v>Supply Abolishment</v>
      </c>
      <c r="D53" s="143" t="str">
        <f>VLOOKUP($A53,'EGX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3" s="143" t="str">
        <f>VLOOKUP($A53,'EGX Service assumptions'!$B:$AY,'EGX Service assumptions'!G$3,FALSE)</f>
        <v>SERVICE ONLY - AFTER HOURS - CT (Complex)</v>
      </c>
      <c r="F53" s="129" t="str">
        <f>VLOOKUP($A53,'EGX Service assumptions'!$B:$AY,'EGX Service assumptions'!K$3,FALSE)</f>
        <v>No</v>
      </c>
      <c r="G53" s="168">
        <f>VLOOKUP($A53,'EGX Service assumptions'!$B:$AY,'EGX Service assumptions'!$AY$3,FALSE)</f>
        <v>629.43058374397151</v>
      </c>
      <c r="H53" s="144">
        <f>G53*(1+'Escalators &amp; overheads'!F$5)*(1-'Escalators &amp; overheads'!F$8)</f>
        <v>649.91690636614192</v>
      </c>
      <c r="I53" s="144">
        <f>H53*(1+'Escalators &amp; overheads'!G$5)*(1-'Escalators &amp; overheads'!G$8)</f>
        <v>671.38892723106721</v>
      </c>
      <c r="J53" s="144">
        <f>I53*(1+'Escalators &amp; overheads'!H$5)*(1-'Escalators &amp; overheads'!H$8)</f>
        <v>693.75126529828015</v>
      </c>
      <c r="K53" s="144">
        <f>J53*(1+'Escalators &amp; overheads'!I$5)*(1-'Escalators &amp; overheads'!I$8)</f>
        <v>715.15886141681733</v>
      </c>
    </row>
    <row r="54" spans="1:11" s="129" customFormat="1" ht="60">
      <c r="A54" s="129" t="str">
        <f>'EGX Service assumptions'!B56</f>
        <v>EGX_58</v>
      </c>
      <c r="B54" s="129" t="str">
        <f>VLOOKUP($A54,'EGX Service assumptions'!$B:$AY,'EGX Service assumptions'!D$3,FALSE)</f>
        <v>Connection application and management services</v>
      </c>
      <c r="C54" s="129" t="str">
        <f>VLOOKUP($A54,'EGX Service assumptions'!$B:$AY,'EGX Service assumptions'!E$3,FALSE)</f>
        <v>Supply Abolishment</v>
      </c>
      <c r="D54" s="143" t="str">
        <f>VLOOKUP($A54,'EGX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4" s="143" t="str">
        <f>VLOOKUP($A54,'EGX Service assumptions'!$B:$AY,'EGX Service assumptions'!G$3,FALSE)</f>
        <v>SERVICE ONLY - AFTER HOURS - CT (Complex) - Traffic control</v>
      </c>
      <c r="F54" s="129" t="str">
        <f>VLOOKUP($A54,'EGX Service assumptions'!$B:$AY,'EGX Service assumptions'!K$3,FALSE)</f>
        <v>Yes</v>
      </c>
      <c r="G54" s="168">
        <f>VLOOKUP($A54,'EGX Service assumptions'!$B:$AY,'EGX Service assumptions'!$AY$3,FALSE)</f>
        <v>1235.9109881060572</v>
      </c>
      <c r="H54" s="144">
        <f>G54*(1+'Escalators &amp; overheads'!F$5)*(1-'Escalators &amp; overheads'!F$8)</f>
        <v>1276.1366649138508</v>
      </c>
      <c r="I54" s="144">
        <f>H54*(1+'Escalators &amp; overheads'!G$5)*(1-'Escalators &amp; overheads'!G$8)</f>
        <v>1318.2977978634983</v>
      </c>
      <c r="J54" s="144">
        <f>I54*(1+'Escalators &amp; overheads'!H$5)*(1-'Escalators &amp; overheads'!H$8)</f>
        <v>1362.2071026395954</v>
      </c>
      <c r="K54" s="144">
        <f>J54*(1+'Escalators &amp; overheads'!I$5)*(1-'Escalators &amp; overheads'!I$8)</f>
        <v>1404.241735139434</v>
      </c>
    </row>
    <row r="55" spans="1:11" s="129" customFormat="1" ht="60">
      <c r="A55" s="129" t="str">
        <f>'EGX Service assumptions'!B57</f>
        <v>EGX_59</v>
      </c>
      <c r="B55" s="129" t="str">
        <f>VLOOKUP($A55,'EGX Service assumptions'!$B:$AY,'EGX Service assumptions'!D$3,FALSE)</f>
        <v>Connection application and management services</v>
      </c>
      <c r="C55" s="129" t="str">
        <f>VLOOKUP($A55,'EGX Service assumptions'!$B:$AY,'EGX Service assumptions'!E$3,FALSE)</f>
        <v>Supply Abolishment</v>
      </c>
      <c r="D55" s="143" t="str">
        <f>VLOOKUP($A55,'EGX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5" s="143" t="str">
        <f>VLOOKUP($A55,'EGX Service assumptions'!$B:$AY,'EGX Service assumptions'!G$3,FALSE)</f>
        <v>SERVICE ONLY- AFTER HOURS - NO CT (Simple)</v>
      </c>
      <c r="F55" s="129" t="str">
        <f>VLOOKUP($A55,'EGX Service assumptions'!$B:$AY,'EGX Service assumptions'!K$3,FALSE)</f>
        <v>No</v>
      </c>
      <c r="G55" s="168">
        <f>VLOOKUP($A55,'EGX Service assumptions'!$B:$AY,'EGX Service assumptions'!$AY$3,FALSE)</f>
        <v>524.52548645330967</v>
      </c>
      <c r="H55" s="144">
        <f>G55*(1+'Escalators &amp; overheads'!F$5)*(1-'Escalators &amp; overheads'!F$8)</f>
        <v>541.59742197178502</v>
      </c>
      <c r="I55" s="144">
        <f>H55*(1+'Escalators &amp; overheads'!G$5)*(1-'Escalators &amp; overheads'!G$8)</f>
        <v>559.49077269255611</v>
      </c>
      <c r="J55" s="144">
        <f>I55*(1+'Escalators &amp; overheads'!H$5)*(1-'Escalators &amp; overheads'!H$8)</f>
        <v>578.12605441523351</v>
      </c>
      <c r="K55" s="144">
        <f>J55*(1+'Escalators &amp; overheads'!I$5)*(1-'Escalators &amp; overheads'!I$8)</f>
        <v>595.96571784734783</v>
      </c>
    </row>
    <row r="56" spans="1:11" s="129" customFormat="1" ht="60">
      <c r="A56" s="129" t="str">
        <f>'EGX Service assumptions'!B58</f>
        <v>EGX_60</v>
      </c>
      <c r="B56" s="129" t="str">
        <f>VLOOKUP($A56,'EGX Service assumptions'!$B:$AY,'EGX Service assumptions'!D$3,FALSE)</f>
        <v>Connection application and management services</v>
      </c>
      <c r="C56" s="129" t="str">
        <f>VLOOKUP($A56,'EGX Service assumptions'!$B:$AY,'EGX Service assumptions'!E$3,FALSE)</f>
        <v>Supply Abolishment</v>
      </c>
      <c r="D56" s="143"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6" s="143" t="str">
        <f>VLOOKUP($A56,'EGX Service assumptions'!$B:$AY,'EGX Service assumptions'!G$3,FALSE)</f>
        <v>SERVICE ONLY- AFTER HOURS - NO CT (Simple) - Traffic control</v>
      </c>
      <c r="F56" s="129" t="str">
        <f>VLOOKUP($A56,'EGX Service assumptions'!$B:$AY,'EGX Service assumptions'!K$3,FALSE)</f>
        <v>Yes</v>
      </c>
      <c r="G56" s="168">
        <f>VLOOKUP($A56,'EGX Service assumptions'!$B:$AY,'EGX Service assumptions'!$AY$3,FALSE)</f>
        <v>1131.0058908153956</v>
      </c>
      <c r="H56" s="144">
        <f>G56*(1+'Escalators &amp; overheads'!F$5)*(1-'Escalators &amp; overheads'!F$8)</f>
        <v>1167.8171805194943</v>
      </c>
      <c r="I56" s="144">
        <f>H56*(1+'Escalators &amp; overheads'!G$5)*(1-'Escalators &amp; overheads'!G$8)</f>
        <v>1206.3996433249874</v>
      </c>
      <c r="J56" s="144">
        <f>I56*(1+'Escalators &amp; overheads'!H$5)*(1-'Escalators &amp; overheads'!H$8)</f>
        <v>1246.5818917565489</v>
      </c>
      <c r="K56" s="144">
        <f>J56*(1+'Escalators &amp; overheads'!I$5)*(1-'Escalators &amp; overheads'!I$8)</f>
        <v>1285.0485915699644</v>
      </c>
    </row>
    <row r="57" spans="1:11" s="129" customFormat="1" ht="60">
      <c r="A57" s="129" t="str">
        <f>'EGX Service assumptions'!B59</f>
        <v>EGX_61</v>
      </c>
      <c r="B57" s="129" t="str">
        <f>VLOOKUP($A57,'EGX Service assumptions'!$B:$AY,'EGX Service assumptions'!D$3,FALSE)</f>
        <v>Connection application and management services</v>
      </c>
      <c r="C57" s="129" t="str">
        <f>VLOOKUP($A57,'EGX Service assumptions'!$B:$AY,'EGX Service assumptions'!E$3,FALSE)</f>
        <v>Supply Abolishment</v>
      </c>
      <c r="D57" s="143"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7" s="143" t="str">
        <f>VLOOKUP($A57,'EGX Service assumptions'!$B:$AY,'EGX Service assumptions'!G$3,FALSE)</f>
        <v>SERVICE ONLY - ANYTIME - CT (Complex)</v>
      </c>
      <c r="F57" s="129" t="str">
        <f>VLOOKUP($A57,'EGX Service assumptions'!$B:$AY,'EGX Service assumptions'!K$3,FALSE)</f>
        <v>No</v>
      </c>
      <c r="G57" s="168">
        <f>VLOOKUP($A57,'EGX Service assumptions'!$B:$AY,'EGX Service assumptions'!$AY$3,FALSE)</f>
        <v>629.43058374397151</v>
      </c>
      <c r="H57" s="144">
        <f>G57*(1+'Escalators &amp; overheads'!F$5)*(1-'Escalators &amp; overheads'!F$8)</f>
        <v>649.91690636614192</v>
      </c>
      <c r="I57" s="144">
        <f>H57*(1+'Escalators &amp; overheads'!G$5)*(1-'Escalators &amp; overheads'!G$8)</f>
        <v>671.38892723106721</v>
      </c>
      <c r="J57" s="144">
        <f>I57*(1+'Escalators &amp; overheads'!H$5)*(1-'Escalators &amp; overheads'!H$8)</f>
        <v>693.75126529828015</v>
      </c>
      <c r="K57" s="144">
        <f>J57*(1+'Escalators &amp; overheads'!I$5)*(1-'Escalators &amp; overheads'!I$8)</f>
        <v>715.15886141681733</v>
      </c>
    </row>
    <row r="58" spans="1:11" s="129" customFormat="1" ht="60">
      <c r="A58" s="129" t="str">
        <f>'EGX Service assumptions'!B60</f>
        <v>EGX_62</v>
      </c>
      <c r="B58" s="129" t="str">
        <f>VLOOKUP($A58,'EGX Service assumptions'!$B:$AY,'EGX Service assumptions'!D$3,FALSE)</f>
        <v>Connection application and management services</v>
      </c>
      <c r="C58" s="129" t="str">
        <f>VLOOKUP($A58,'EGX Service assumptions'!$B:$AY,'EGX Service assumptions'!E$3,FALSE)</f>
        <v>Supply Abolishment</v>
      </c>
      <c r="D58" s="143"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8" s="143" t="str">
        <f>VLOOKUP($A58,'EGX Service assumptions'!$B:$AY,'EGX Service assumptions'!G$3,FALSE)</f>
        <v>SERVICE ONLY - ANYTIME - CT (Complex) - Traffic control</v>
      </c>
      <c r="F58" s="129" t="str">
        <f>VLOOKUP($A58,'EGX Service assumptions'!$B:$AY,'EGX Service assumptions'!K$3,FALSE)</f>
        <v>Yes</v>
      </c>
      <c r="G58" s="168">
        <f>VLOOKUP($A58,'EGX Service assumptions'!$B:$AY,'EGX Service assumptions'!$AY$3,FALSE)</f>
        <v>1235.9109881060572</v>
      </c>
      <c r="H58" s="144">
        <f>G58*(1+'Escalators &amp; overheads'!F$5)*(1-'Escalators &amp; overheads'!F$8)</f>
        <v>1276.1366649138508</v>
      </c>
      <c r="I58" s="144">
        <f>H58*(1+'Escalators &amp; overheads'!G$5)*(1-'Escalators &amp; overheads'!G$8)</f>
        <v>1318.2977978634983</v>
      </c>
      <c r="J58" s="144">
        <f>I58*(1+'Escalators &amp; overheads'!H$5)*(1-'Escalators &amp; overheads'!H$8)</f>
        <v>1362.2071026395954</v>
      </c>
      <c r="K58" s="144">
        <f>J58*(1+'Escalators &amp; overheads'!I$5)*(1-'Escalators &amp; overheads'!I$8)</f>
        <v>1404.241735139434</v>
      </c>
    </row>
    <row r="59" spans="1:11" s="129" customFormat="1" ht="60">
      <c r="A59" s="129" t="str">
        <f>'EGX Service assumptions'!B61</f>
        <v>EGX_63</v>
      </c>
      <c r="B59" s="129" t="str">
        <f>VLOOKUP($A59,'EGX Service assumptions'!$B:$AY,'EGX Service assumptions'!D$3,FALSE)</f>
        <v>Connection application and management services</v>
      </c>
      <c r="C59" s="129" t="str">
        <f>VLOOKUP($A59,'EGX Service assumptions'!$B:$AY,'EGX Service assumptions'!E$3,FALSE)</f>
        <v>Supply Abolishment</v>
      </c>
      <c r="D59" s="143"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9" s="143" t="str">
        <f>VLOOKUP($A59,'EGX Service assumptions'!$B:$AY,'EGX Service assumptions'!G$3,FALSE)</f>
        <v>SERVICE ONLY - ANYTIME - NO CT (Simple)</v>
      </c>
      <c r="F59" s="129" t="str">
        <f>VLOOKUP($A59,'EGX Service assumptions'!$B:$AY,'EGX Service assumptions'!K$3,FALSE)</f>
        <v>No</v>
      </c>
      <c r="G59" s="168">
        <f>VLOOKUP($A59,'EGX Service assumptions'!$B:$AY,'EGX Service assumptions'!$AY$3,FALSE)</f>
        <v>524.52548645330967</v>
      </c>
      <c r="H59" s="144">
        <f>G59*(1+'Escalators &amp; overheads'!F$5)*(1-'Escalators &amp; overheads'!F$8)</f>
        <v>541.59742197178502</v>
      </c>
      <c r="I59" s="144">
        <f>H59*(1+'Escalators &amp; overheads'!G$5)*(1-'Escalators &amp; overheads'!G$8)</f>
        <v>559.49077269255611</v>
      </c>
      <c r="J59" s="144">
        <f>I59*(1+'Escalators &amp; overheads'!H$5)*(1-'Escalators &amp; overheads'!H$8)</f>
        <v>578.12605441523351</v>
      </c>
      <c r="K59" s="144">
        <f>J59*(1+'Escalators &amp; overheads'!I$5)*(1-'Escalators &amp; overheads'!I$8)</f>
        <v>595.96571784734783</v>
      </c>
    </row>
    <row r="60" spans="1:11" s="129" customFormat="1" ht="60">
      <c r="A60" s="129" t="str">
        <f>'EGX Service assumptions'!B62</f>
        <v>EGX_64</v>
      </c>
      <c r="B60" s="129" t="str">
        <f>VLOOKUP($A60,'EGX Service assumptions'!$B:$AY,'EGX Service assumptions'!D$3,FALSE)</f>
        <v>Connection application and management services</v>
      </c>
      <c r="C60" s="129" t="str">
        <f>VLOOKUP($A60,'EGX Service assumptions'!$B:$AY,'EGX Service assumptions'!E$3,FALSE)</f>
        <v>Supply Abolishment</v>
      </c>
      <c r="D60" s="143"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0" s="143" t="str">
        <f>VLOOKUP($A60,'EGX Service assumptions'!$B:$AY,'EGX Service assumptions'!G$3,FALSE)</f>
        <v>SERVICE ONLY - ANYTIME - NO CT (Simple) - Traffic control</v>
      </c>
      <c r="F60" s="129" t="str">
        <f>VLOOKUP($A60,'EGX Service assumptions'!$B:$AY,'EGX Service assumptions'!K$3,FALSE)</f>
        <v>Yes</v>
      </c>
      <c r="G60" s="168">
        <f>VLOOKUP($A60,'EGX Service assumptions'!$B:$AY,'EGX Service assumptions'!$AY$3,FALSE)</f>
        <v>1131.0058908153956</v>
      </c>
      <c r="H60" s="144">
        <f>G60*(1+'Escalators &amp; overheads'!F$5)*(1-'Escalators &amp; overheads'!F$8)</f>
        <v>1167.8171805194943</v>
      </c>
      <c r="I60" s="144">
        <f>H60*(1+'Escalators &amp; overheads'!G$5)*(1-'Escalators &amp; overheads'!G$8)</f>
        <v>1206.3996433249874</v>
      </c>
      <c r="J60" s="144">
        <f>I60*(1+'Escalators &amp; overheads'!H$5)*(1-'Escalators &amp; overheads'!H$8)</f>
        <v>1246.5818917565489</v>
      </c>
      <c r="K60" s="144">
        <f>J60*(1+'Escalators &amp; overheads'!I$5)*(1-'Escalators &amp; overheads'!I$8)</f>
        <v>1285.0485915699644</v>
      </c>
    </row>
    <row r="61" spans="1:11" s="129" customFormat="1" ht="60">
      <c r="A61" s="129" t="str">
        <f>'EGX Service assumptions'!B63</f>
        <v>EGX_65</v>
      </c>
      <c r="B61" s="129" t="str">
        <f>VLOOKUP($A61,'EGX Service assumptions'!$B:$AY,'EGX Service assumptions'!D$3,FALSE)</f>
        <v>Connection application and management services</v>
      </c>
      <c r="C61" s="129" t="str">
        <f>VLOOKUP($A61,'EGX Service assumptions'!$B:$AY,'EGX Service assumptions'!E$3,FALSE)</f>
        <v>Supply Abolishment</v>
      </c>
      <c r="D61" s="143"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1" s="143" t="str">
        <f>VLOOKUP($A61,'EGX Service assumptions'!$B:$AY,'EGX Service assumptions'!G$3,FALSE)</f>
        <v xml:space="preserve">METER ONLY (Per NMI) - BUSINESS HOURS - CT </v>
      </c>
      <c r="F61" s="129" t="str">
        <f>VLOOKUP($A61,'EGX Service assumptions'!$B:$AY,'EGX Service assumptions'!K$3,FALSE)</f>
        <v>No</v>
      </c>
      <c r="G61" s="168">
        <f>VLOOKUP($A61,'EGX Service assumptions'!$B:$AY,'EGX Service assumptions'!$AY$3,FALSE)</f>
        <v>299.63258281508166</v>
      </c>
      <c r="H61" s="144">
        <f>G61*(1+'Escalators &amp; overheads'!F$5)*(1-'Escalators &amp; overheads'!F$8)</f>
        <v>309.38484131378976</v>
      </c>
      <c r="I61" s="144">
        <f>H61*(1+'Escalators &amp; overheads'!G$5)*(1-'Escalators &amp; overheads'!G$8)</f>
        <v>319.60632917309891</v>
      </c>
      <c r="J61" s="144">
        <f>I61*(1+'Escalators &amp; overheads'!H$5)*(1-'Escalators &amp; overheads'!H$8)</f>
        <v>330.25164143772906</v>
      </c>
      <c r="K61" s="144">
        <f>J61*(1+'Escalators &amp; overheads'!I$5)*(1-'Escalators &amp; overheads'!I$8)</f>
        <v>340.44246069964873</v>
      </c>
    </row>
    <row r="62" spans="1:11" s="129" customFormat="1" ht="60">
      <c r="A62" s="129" t="str">
        <f>'EGX Service assumptions'!B64</f>
        <v>EGX_66</v>
      </c>
      <c r="B62" s="129" t="str">
        <f>VLOOKUP($A62,'EGX Service assumptions'!$B:$AY,'EGX Service assumptions'!D$3,FALSE)</f>
        <v>Connection application and management services</v>
      </c>
      <c r="C62" s="129" t="str">
        <f>VLOOKUP($A62,'EGX Service assumptions'!$B:$AY,'EGX Service assumptions'!E$3,FALSE)</f>
        <v>Supply Abolishment</v>
      </c>
      <c r="D62" s="143"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v>
      </c>
      <c r="E62" s="143" t="str">
        <f>VLOOKUP($A62,'EGX Service assumptions'!$B:$AY,'EGX Service assumptions'!G$3,FALSE)</f>
        <v xml:space="preserve">METER ONLY (Per NMI) - BUSINESS HOURS - NO CT </v>
      </c>
      <c r="F62" s="129" t="str">
        <f>VLOOKUP($A62,'EGX Service assumptions'!$B:$AY,'EGX Service assumptions'!K$3,FALSE)</f>
        <v>No</v>
      </c>
      <c r="G62" s="168">
        <f>VLOOKUP($A62,'EGX Service assumptions'!$B:$AY,'EGX Service assumptions'!$AY$3,FALSE)</f>
        <v>74.908145703770415</v>
      </c>
      <c r="H62" s="144">
        <f>G62*(1+'Escalators &amp; overheads'!F$5)*(1-'Escalators &amp; overheads'!F$8)</f>
        <v>77.346210328447441</v>
      </c>
      <c r="I62" s="144">
        <f>H62*(1+'Escalators &amp; overheads'!G$5)*(1-'Escalators &amp; overheads'!G$8)</f>
        <v>79.901582293274728</v>
      </c>
      <c r="J62" s="144">
        <f>I62*(1+'Escalators &amp; overheads'!H$5)*(1-'Escalators &amp; overheads'!H$8)</f>
        <v>82.562910359432266</v>
      </c>
      <c r="K62" s="144">
        <f>J62*(1+'Escalators &amp; overheads'!I$5)*(1-'Escalators &amp; overheads'!I$8)</f>
        <v>85.110615174912184</v>
      </c>
    </row>
    <row r="63" spans="1:11" s="129" customFormat="1" ht="60">
      <c r="A63" s="129" t="str">
        <f>'EGX Service assumptions'!B65</f>
        <v>EGX_67</v>
      </c>
      <c r="B63" s="129" t="str">
        <f>VLOOKUP($A63,'EGX Service assumptions'!$B:$AY,'EGX Service assumptions'!D$3,FALSE)</f>
        <v>Connection application and management services</v>
      </c>
      <c r="C63" s="129" t="str">
        <f>VLOOKUP($A63,'EGX Service assumptions'!$B:$AY,'EGX Service assumptions'!E$3,FALSE)</f>
        <v>Supply Abolishment</v>
      </c>
      <c r="D63" s="143"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3" s="143" t="str">
        <f>VLOOKUP($A63,'EGX Service assumptions'!$B:$AY,'EGX Service assumptions'!G$3,FALSE)</f>
        <v xml:space="preserve">METER ONLY (Per NMI) - AFTER HOURS- CT </v>
      </c>
      <c r="F63" s="129" t="str">
        <f>VLOOKUP($A63,'EGX Service assumptions'!$B:$AY,'EGX Service assumptions'!K$3,FALSE)</f>
        <v>No</v>
      </c>
      <c r="G63" s="168">
        <f>VLOOKUP($A63,'EGX Service assumptions'!$B:$AY,'EGX Service assumptions'!$AY$3,FALSE)</f>
        <v>419.62038916264771</v>
      </c>
      <c r="H63" s="144">
        <f>G63*(1+'Escalators &amp; overheads'!F$5)*(1-'Escalators &amp; overheads'!F$8)</f>
        <v>433.27793757742796</v>
      </c>
      <c r="I63" s="144">
        <f>H63*(1+'Escalators &amp; overheads'!G$5)*(1-'Escalators &amp; overheads'!G$8)</f>
        <v>447.59261815404489</v>
      </c>
      <c r="J63" s="144">
        <f>I63*(1+'Escalators &amp; overheads'!H$5)*(1-'Escalators &amp; overheads'!H$8)</f>
        <v>462.50084353218676</v>
      </c>
      <c r="K63" s="144">
        <f>J63*(1+'Escalators &amp; overheads'!I$5)*(1-'Escalators &amp; overheads'!I$8)</f>
        <v>476.77257427787822</v>
      </c>
    </row>
    <row r="64" spans="1:11" s="129" customFormat="1" ht="60">
      <c r="A64" s="129" t="str">
        <f>'EGX Service assumptions'!B66</f>
        <v>EGX_68</v>
      </c>
      <c r="B64" s="129" t="str">
        <f>VLOOKUP($A64,'EGX Service assumptions'!$B:$AY,'EGX Service assumptions'!D$3,FALSE)</f>
        <v>Connection application and management services</v>
      </c>
      <c r="C64" s="129" t="str">
        <f>VLOOKUP($A64,'EGX Service assumptions'!$B:$AY,'EGX Service assumptions'!E$3,FALSE)</f>
        <v>Supply Abolishment</v>
      </c>
      <c r="D64" s="143"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4" s="143" t="str">
        <f>VLOOKUP($A64,'EGX Service assumptions'!$B:$AY,'EGX Service assumptions'!G$3,FALSE)</f>
        <v>METER ONLY (Per NMI) - AFTER HOURS - NO CT</v>
      </c>
      <c r="F64" s="129" t="str">
        <f>VLOOKUP($A64,'EGX Service assumptions'!$B:$AY,'EGX Service assumptions'!K$3,FALSE)</f>
        <v>No</v>
      </c>
      <c r="G64" s="168">
        <f>VLOOKUP($A64,'EGX Service assumptions'!$B:$AY,'EGX Service assumptions'!$AY$3,FALSE)</f>
        <v>104.90509729066193</v>
      </c>
      <c r="H64" s="144">
        <f>G64*(1+'Escalators &amp; overheads'!F$5)*(1-'Escalators &amp; overheads'!F$8)</f>
        <v>108.31948439435699</v>
      </c>
      <c r="I64" s="144">
        <f>H64*(1+'Escalators &amp; overheads'!G$5)*(1-'Escalators &amp; overheads'!G$8)</f>
        <v>111.89815453851122</v>
      </c>
      <c r="J64" s="144">
        <f>I64*(1+'Escalators &amp; overheads'!H$5)*(1-'Escalators &amp; overheads'!H$8)</f>
        <v>115.62521088304669</v>
      </c>
      <c r="K64" s="144">
        <f>J64*(1+'Escalators &amp; overheads'!I$5)*(1-'Escalators &amp; overheads'!I$8)</f>
        <v>119.19314356946956</v>
      </c>
    </row>
    <row r="65" spans="1:11" s="129" customFormat="1" ht="60">
      <c r="A65" s="129" t="str">
        <f>'EGX Service assumptions'!B67</f>
        <v>EGX_69</v>
      </c>
      <c r="B65" s="129" t="str">
        <f>VLOOKUP($A65,'EGX Service assumptions'!$B:$AY,'EGX Service assumptions'!D$3,FALSE)</f>
        <v>Connection application and management services</v>
      </c>
      <c r="C65" s="129" t="str">
        <f>VLOOKUP($A65,'EGX Service assumptions'!$B:$AY,'EGX Service assumptions'!E$3,FALSE)</f>
        <v>Supply Abolishment</v>
      </c>
      <c r="D65" s="143"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5" s="143" t="str">
        <f>VLOOKUP($A65,'EGX Service assumptions'!$B:$AY,'EGX Service assumptions'!G$3,FALSE)</f>
        <v xml:space="preserve">METER ONLY (Per NMI) - ANYTIME - CT </v>
      </c>
      <c r="F65" s="129" t="str">
        <f>VLOOKUP($A65,'EGX Service assumptions'!$B:$AY,'EGX Service assumptions'!K$3,FALSE)</f>
        <v>No</v>
      </c>
      <c r="G65" s="168">
        <f>VLOOKUP($A65,'EGX Service assumptions'!$B:$AY,'EGX Service assumptions'!$AY$3,FALSE)</f>
        <v>419.62038916264771</v>
      </c>
      <c r="H65" s="144">
        <f>G65*(1+'Escalators &amp; overheads'!F$5)*(1-'Escalators &amp; overheads'!F$8)</f>
        <v>433.27793757742796</v>
      </c>
      <c r="I65" s="144">
        <f>H65*(1+'Escalators &amp; overheads'!G$5)*(1-'Escalators &amp; overheads'!G$8)</f>
        <v>447.59261815404489</v>
      </c>
      <c r="J65" s="144">
        <f>I65*(1+'Escalators &amp; overheads'!H$5)*(1-'Escalators &amp; overheads'!H$8)</f>
        <v>462.50084353218676</v>
      </c>
      <c r="K65" s="144">
        <f>J65*(1+'Escalators &amp; overheads'!I$5)*(1-'Escalators &amp; overheads'!I$8)</f>
        <v>476.77257427787822</v>
      </c>
    </row>
    <row r="66" spans="1:11" s="129" customFormat="1" ht="60">
      <c r="A66" s="129" t="str">
        <f>'EGX Service assumptions'!B68</f>
        <v>EGX_70</v>
      </c>
      <c r="B66" s="129" t="str">
        <f>VLOOKUP($A66,'EGX Service assumptions'!$B:$AY,'EGX Service assumptions'!D$3,FALSE)</f>
        <v>Connection application and management services</v>
      </c>
      <c r="C66" s="129" t="str">
        <f>VLOOKUP($A66,'EGX Service assumptions'!$B:$AY,'EGX Service assumptions'!E$3,FALSE)</f>
        <v>Supply Abolishment</v>
      </c>
      <c r="D66" s="143"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6" s="143" t="str">
        <f>VLOOKUP($A66,'EGX Service assumptions'!$B:$AY,'EGX Service assumptions'!G$3,FALSE)</f>
        <v xml:space="preserve">METER ONLY (Per NMI) - ANYTIME - NO CT </v>
      </c>
      <c r="F66" s="129" t="str">
        <f>VLOOKUP($A66,'EGX Service assumptions'!$B:$AY,'EGX Service assumptions'!K$3,FALSE)</f>
        <v>No</v>
      </c>
      <c r="G66" s="168">
        <f>VLOOKUP($A66,'EGX Service assumptions'!$B:$AY,'EGX Service assumptions'!$AY$3,FALSE)</f>
        <v>104.90509729066193</v>
      </c>
      <c r="H66" s="144">
        <f>G66*(1+'Escalators &amp; overheads'!F$5)*(1-'Escalators &amp; overheads'!F$8)</f>
        <v>108.31948439435699</v>
      </c>
      <c r="I66" s="144">
        <f>H66*(1+'Escalators &amp; overheads'!G$5)*(1-'Escalators &amp; overheads'!G$8)</f>
        <v>111.89815453851122</v>
      </c>
      <c r="J66" s="144">
        <f>I66*(1+'Escalators &amp; overheads'!H$5)*(1-'Escalators &amp; overheads'!H$8)</f>
        <v>115.62521088304669</v>
      </c>
      <c r="K66" s="144">
        <f>J66*(1+'Escalators &amp; overheads'!I$5)*(1-'Escalators &amp; overheads'!I$8)</f>
        <v>119.19314356946956</v>
      </c>
    </row>
    <row r="67" spans="1:11" s="129" customFormat="1">
      <c r="A67" s="129" t="str">
        <f>'EGX Service assumptions'!B69</f>
        <v>NEW1</v>
      </c>
      <c r="B67" s="129" t="str">
        <f>VLOOKUP($A67,'EGX Service assumptions'!$B:$AY,'EGX Service assumptions'!D$3,FALSE)</f>
        <v>Connection application and management services</v>
      </c>
      <c r="C67" s="129" t="str">
        <f>VLOOKUP($A67,'EGX Service assumptions'!$B:$AY,'EGX Service assumptions'!E$3,FALSE)</f>
        <v>Supply Abolishment</v>
      </c>
      <c r="D67" s="143" t="str">
        <f>VLOOKUP($A67,'EGX Service assumptions'!$B:$AY,'EGX Service assumptions'!F$3,FALSE)</f>
        <v>Request to de-energise an unmetered supply point.</v>
      </c>
      <c r="E67" s="143" t="str">
        <f>VLOOKUP($A67,'EGX Service assumptions'!$B:$AY,'EGX Service assumptions'!G$3,FALSE)</f>
        <v>BUSINESS HOURS</v>
      </c>
      <c r="F67" s="129" t="str">
        <f>VLOOKUP($A67,'EGX Service assumptions'!$B:$AY,'EGX Service assumptions'!K$3,FALSE)</f>
        <v>No</v>
      </c>
      <c r="G67" s="168">
        <f>VLOOKUP($A67,'EGX Service assumptions'!$B:$AY,'EGX Service assumptions'!$AY$3,FALSE)</f>
        <v>374.54072851885201</v>
      </c>
      <c r="H67" s="144">
        <f>G67*(1+'Escalators &amp; overheads'!F$5)*(1-'Escalators &amp; overheads'!F$8)</f>
        <v>386.73105164223711</v>
      </c>
      <c r="I67" s="144">
        <f>H67*(1+'Escalators &amp; overheads'!G$5)*(1-'Escalators &amp; overheads'!G$8)</f>
        <v>399.50791146637363</v>
      </c>
      <c r="J67" s="144">
        <f>I67*(1+'Escalators &amp; overheads'!H$5)*(1-'Escalators &amp; overheads'!H$8)</f>
        <v>412.8145517971613</v>
      </c>
      <c r="K67" s="144">
        <f>J67*(1+'Escalators &amp; overheads'!I$5)*(1-'Escalators &amp; overheads'!I$8)</f>
        <v>425.55307587456088</v>
      </c>
    </row>
    <row r="68" spans="1:11" s="129" customFormat="1">
      <c r="A68" s="129" t="str">
        <f>'EGX Service assumptions'!B70</f>
        <v>NEW2</v>
      </c>
      <c r="B68" s="129" t="str">
        <f>VLOOKUP($A68,'EGX Service assumptions'!$B:$AY,'EGX Service assumptions'!D$3,FALSE)</f>
        <v>Connection application and management services</v>
      </c>
      <c r="C68" s="129" t="str">
        <f>VLOOKUP($A68,'EGX Service assumptions'!$B:$AY,'EGX Service assumptions'!E$3,FALSE)</f>
        <v>Supply Abolishment</v>
      </c>
      <c r="D68" s="143" t="str">
        <f>VLOOKUP($A68,'EGX Service assumptions'!$B:$AY,'EGX Service assumptions'!F$3,FALSE)</f>
        <v>Request to de-energise an unmetered supply point.</v>
      </c>
      <c r="E68" s="143" t="str">
        <f>VLOOKUP($A68,'EGX Service assumptions'!$B:$AY,'EGX Service assumptions'!G$3,FALSE)</f>
        <v>AFTER HOURS</v>
      </c>
      <c r="F68" s="129" t="str">
        <f>VLOOKUP($A68,'EGX Service assumptions'!$B:$AY,'EGX Service assumptions'!K$3,FALSE)</f>
        <v>No</v>
      </c>
      <c r="G68" s="168">
        <f>VLOOKUP($A68,'EGX Service assumptions'!$B:$AY,'EGX Service assumptions'!$AY$3,FALSE)</f>
        <v>524.52548645330967</v>
      </c>
      <c r="H68" s="144">
        <f>G68*(1+'Escalators &amp; overheads'!F$5)*(1-'Escalators &amp; overheads'!F$8)</f>
        <v>541.59742197178502</v>
      </c>
      <c r="I68" s="144">
        <f>H68*(1+'Escalators &amp; overheads'!G$5)*(1-'Escalators &amp; overheads'!G$8)</f>
        <v>559.49077269255611</v>
      </c>
      <c r="J68" s="144">
        <f>I68*(1+'Escalators &amp; overheads'!H$5)*(1-'Escalators &amp; overheads'!H$8)</f>
        <v>578.12605441523351</v>
      </c>
      <c r="K68" s="144">
        <f>J68*(1+'Escalators &amp; overheads'!I$5)*(1-'Escalators &amp; overheads'!I$8)</f>
        <v>595.96571784734783</v>
      </c>
    </row>
    <row r="69" spans="1:11" s="129" customFormat="1">
      <c r="A69" s="129" t="str">
        <f>'EGX Service assumptions'!B71</f>
        <v>NEW3</v>
      </c>
      <c r="B69" s="129" t="str">
        <f>VLOOKUP($A69,'EGX Service assumptions'!$B:$AY,'EGX Service assumptions'!D$3,FALSE)</f>
        <v>Connection application and management services</v>
      </c>
      <c r="C69" s="129" t="str">
        <f>VLOOKUP($A69,'EGX Service assumptions'!$B:$AY,'EGX Service assumptions'!E$3,FALSE)</f>
        <v>Supply Abolishment</v>
      </c>
      <c r="D69" s="143" t="str">
        <f>VLOOKUP($A69,'EGX Service assumptions'!$B:$AY,'EGX Service assumptions'!F$3,FALSE)</f>
        <v>Request to de-energise an unmetered supply point.</v>
      </c>
      <c r="E69" s="143" t="str">
        <f>VLOOKUP($A69,'EGX Service assumptions'!$B:$AY,'EGX Service assumptions'!G$3,FALSE)</f>
        <v>BUSINESS HOURS - TRAFFIC CONTROL</v>
      </c>
      <c r="F69" s="129" t="str">
        <f>VLOOKUP($A69,'EGX Service assumptions'!$B:$AY,'EGX Service assumptions'!K$3,FALSE)</f>
        <v>Yes</v>
      </c>
      <c r="G69" s="168">
        <f>VLOOKUP($A69,'EGX Service assumptions'!$B:$AY,'EGX Service assumptions'!$AY$3,FALSE)</f>
        <v>981.02113288093778</v>
      </c>
      <c r="H69" s="144">
        <f>G69*(1+'Escalators &amp; overheads'!F$5)*(1-'Escalators &amp; overheads'!F$8)</f>
        <v>1012.9508101899463</v>
      </c>
      <c r="I69" s="144">
        <f>H69*(1+'Escalators &amp; overheads'!G$5)*(1-'Escalators &amp; overheads'!G$8)</f>
        <v>1046.416782098805</v>
      </c>
      <c r="J69" s="144">
        <f>I69*(1+'Escalators &amp; overheads'!H$5)*(1-'Escalators &amp; overheads'!H$8)</f>
        <v>1081.270389138477</v>
      </c>
      <c r="K69" s="144">
        <f>J69*(1+'Escalators &amp; overheads'!I$5)*(1-'Escalators &amp; overheads'!I$8)</f>
        <v>1114.6359495971778</v>
      </c>
    </row>
    <row r="70" spans="1:11" s="129" customFormat="1">
      <c r="A70" s="129" t="str">
        <f>'EGX Service assumptions'!B72</f>
        <v>NEW4</v>
      </c>
      <c r="B70" s="129" t="str">
        <f>VLOOKUP($A70,'EGX Service assumptions'!$B:$AY,'EGX Service assumptions'!D$3,FALSE)</f>
        <v>Connection application and management services</v>
      </c>
      <c r="C70" s="129" t="str">
        <f>VLOOKUP($A70,'EGX Service assumptions'!$B:$AY,'EGX Service assumptions'!E$3,FALSE)</f>
        <v>Supply Abolishment</v>
      </c>
      <c r="D70" s="143" t="str">
        <f>VLOOKUP($A70,'EGX Service assumptions'!$B:$AY,'EGX Service assumptions'!F$3,FALSE)</f>
        <v>Request to de-energise an unmetered supply point.</v>
      </c>
      <c r="E70" s="143" t="str">
        <f>VLOOKUP($A70,'EGX Service assumptions'!$B:$AY,'EGX Service assumptions'!G$3,FALSE)</f>
        <v>AFTER HOURS - TRAFFIC CONTROL</v>
      </c>
      <c r="F70" s="129" t="str">
        <f>VLOOKUP($A70,'EGX Service assumptions'!$B:$AY,'EGX Service assumptions'!K$3,FALSE)</f>
        <v>Yes</v>
      </c>
      <c r="G70" s="168">
        <f>VLOOKUP($A70,'EGX Service assumptions'!$B:$AY,'EGX Service assumptions'!$AY$3,FALSE)</f>
        <v>1131.0058908153956</v>
      </c>
      <c r="H70" s="144">
        <f>G70*(1+'Escalators &amp; overheads'!F$5)*(1-'Escalators &amp; overheads'!F$8)</f>
        <v>1167.8171805194943</v>
      </c>
      <c r="I70" s="144">
        <f>H70*(1+'Escalators &amp; overheads'!G$5)*(1-'Escalators &amp; overheads'!G$8)</f>
        <v>1206.3996433249874</v>
      </c>
      <c r="J70" s="144">
        <f>I70*(1+'Escalators &amp; overheads'!H$5)*(1-'Escalators &amp; overheads'!H$8)</f>
        <v>1246.5818917565489</v>
      </c>
      <c r="K70" s="144">
        <f>J70*(1+'Escalators &amp; overheads'!I$5)*(1-'Escalators &amp; overheads'!I$8)</f>
        <v>1285.0485915699644</v>
      </c>
    </row>
    <row r="71" spans="1:11" s="129" customFormat="1" ht="30">
      <c r="A71" s="129" t="str">
        <f>'EGX Service assumptions'!B73</f>
        <v>EGX_71</v>
      </c>
      <c r="B71" s="129" t="str">
        <f>VLOOKUP($A71,'EGX Service assumptions'!$B:$AY,'EGX Service assumptions'!D$3,FALSE)</f>
        <v>Connection application and management services</v>
      </c>
      <c r="C71" s="129" t="str">
        <f>VLOOKUP($A71,'EGX Service assumptions'!$B:$AY,'EGX Service assumptions'!E$3,FALSE)</f>
        <v>Supply enhancement</v>
      </c>
      <c r="D71" s="143" t="str">
        <f>VLOOKUP($A71,'EGX Service assumptions'!$B:$AY,'EGX Service assumptions'!F$3,FALSE)</f>
        <v>Service upgrade. For example, an upgrade from single phase to multi phase and/or increase capacity. Excludes work on metering equipment (if required). Overhead</v>
      </c>
      <c r="E71" s="143" t="str">
        <f>VLOOKUP($A71,'EGX Service assumptions'!$B:$AY,'EGX Service assumptions'!G$3,FALSE)</f>
        <v xml:space="preserve">BUSINESS HOURS - SINGLE TO MULTI PHASE </v>
      </c>
      <c r="F71" s="129" t="str">
        <f>VLOOKUP($A71,'EGX Service assumptions'!$B:$AY,'EGX Service assumptions'!K$3,FALSE)</f>
        <v>No</v>
      </c>
      <c r="G71" s="168">
        <f>VLOOKUP($A71,'EGX Service assumptions'!$B:$AY,'EGX Service assumptions'!$AY$3,FALSE)</f>
        <v>952.7889783126534</v>
      </c>
      <c r="H71" s="144">
        <f>G71*(1+'Escalators &amp; overheads'!F$5)*(1-'Escalators &amp; overheads'!F$8)</f>
        <v>983.79977267929758</v>
      </c>
      <c r="I71" s="144">
        <f>H71*(1+'Escalators &amp; overheads'!G$5)*(1-'Escalators &amp; overheads'!G$8)</f>
        <v>1016.3026496455078</v>
      </c>
      <c r="J71" s="144">
        <f>I71*(1+'Escalators &amp; overheads'!H$5)*(1-'Escalators &amp; overheads'!H$8)</f>
        <v>1050.1532279142125</v>
      </c>
      <c r="K71" s="144">
        <f>J71*(1+'Escalators &amp; overheads'!I$5)*(1-'Escalators &amp; overheads'!I$8)</f>
        <v>1082.5585831045914</v>
      </c>
    </row>
    <row r="72" spans="1:11" s="129" customFormat="1" ht="30">
      <c r="A72" s="129" t="str">
        <f>'EGX Service assumptions'!B74</f>
        <v>EGX_72</v>
      </c>
      <c r="B72" s="129" t="str">
        <f>VLOOKUP($A72,'EGX Service assumptions'!$B:$AY,'EGX Service assumptions'!D$3,FALSE)</f>
        <v>Connection application and management services</v>
      </c>
      <c r="C72" s="129" t="str">
        <f>VLOOKUP($A72,'EGX Service assumptions'!$B:$AY,'EGX Service assumptions'!E$3,FALSE)</f>
        <v>Supply enhancement</v>
      </c>
      <c r="D72" s="143" t="str">
        <f>VLOOKUP($A72,'EGX Service assumptions'!$B:$AY,'EGX Service assumptions'!F$3,FALSE)</f>
        <v>Service upgrade. For example, an upgrade from single phase to multi phase and/or increase capacity. Excludes work on metering equipment (if required). Overhead</v>
      </c>
      <c r="E72" s="143" t="str">
        <f>VLOOKUP($A72,'EGX Service assumptions'!$B:$AY,'EGX Service assumptions'!G$3,FALSE)</f>
        <v>BUSINESS HOURS - SINGLE TO MULTI PHASE - Traffic control</v>
      </c>
      <c r="F72" s="129" t="str">
        <f>VLOOKUP($A72,'EGX Service assumptions'!$B:$AY,'EGX Service assumptions'!K$3,FALSE)</f>
        <v>Yes</v>
      </c>
      <c r="G72" s="168">
        <f>VLOOKUP($A72,'EGX Service assumptions'!$B:$AY,'EGX Service assumptions'!$AY$3,FALSE)</f>
        <v>1559.2693826747391</v>
      </c>
      <c r="H72" s="144">
        <f>G72*(1+'Escalators &amp; overheads'!F$5)*(1-'Escalators &amp; overheads'!F$8)</f>
        <v>1610.0195312270066</v>
      </c>
      <c r="I72" s="144">
        <f>H72*(1+'Escalators &amp; overheads'!G$5)*(1-'Escalators &amp; overheads'!G$8)</f>
        <v>1663.2115202779389</v>
      </c>
      <c r="J72" s="144">
        <f>I72*(1+'Escalators &amp; overheads'!H$5)*(1-'Escalators &amp; overheads'!H$8)</f>
        <v>1718.6090652555279</v>
      </c>
      <c r="K72" s="144">
        <f>J72*(1+'Escalators &amp; overheads'!I$5)*(1-'Escalators &amp; overheads'!I$8)</f>
        <v>1771.6414568272082</v>
      </c>
    </row>
    <row r="73" spans="1:11" s="129" customFormat="1" ht="30">
      <c r="A73" s="129" t="str">
        <f>'EGX Service assumptions'!B75</f>
        <v>EGX_73</v>
      </c>
      <c r="B73" s="129" t="str">
        <f>VLOOKUP($A73,'EGX Service assumptions'!$B:$AY,'EGX Service assumptions'!D$3,FALSE)</f>
        <v>Connection application and management services</v>
      </c>
      <c r="C73" s="129" t="str">
        <f>VLOOKUP($A73,'EGX Service assumptions'!$B:$AY,'EGX Service assumptions'!E$3,FALSE)</f>
        <v>Supply enhancement</v>
      </c>
      <c r="D73" s="143" t="str">
        <f>VLOOKUP($A73,'EGX Service assumptions'!$B:$AY,'EGX Service assumptions'!F$3,FALSE)</f>
        <v>Service upgrade. For example, an upgrade from single phase to multi phase and/or increase capacity. Excludes work on metering equipment (if required). Overhead</v>
      </c>
      <c r="E73" s="143" t="str">
        <f>VLOOKUP($A73,'EGX Service assumptions'!$B:$AY,'EGX Service assumptions'!G$3,FALSE)</f>
        <v xml:space="preserve">BUSINESS HOURS - MULTIPHASE INCREASE CAPACITY </v>
      </c>
      <c r="F73" s="129" t="str">
        <f>VLOOKUP($A73,'EGX Service assumptions'!$B:$AY,'EGX Service assumptions'!K$3,FALSE)</f>
        <v>No</v>
      </c>
      <c r="G73" s="168">
        <f>VLOOKUP($A73,'EGX Service assumptions'!$B:$AY,'EGX Service assumptions'!$AY$3,FALSE)</f>
        <v>1027.6971240164237</v>
      </c>
      <c r="H73" s="144">
        <f>G73*(1+'Escalators &amp; overheads'!F$5)*(1-'Escalators &amp; overheads'!F$8)</f>
        <v>1061.1459830077449</v>
      </c>
      <c r="I73" s="144">
        <f>H73*(1+'Escalators &amp; overheads'!G$5)*(1-'Escalators &amp; overheads'!G$8)</f>
        <v>1096.2042319387824</v>
      </c>
      <c r="J73" s="144">
        <f>I73*(1+'Escalators &amp; overheads'!H$5)*(1-'Escalators &amp; overheads'!H$8)</f>
        <v>1132.7161382736449</v>
      </c>
      <c r="K73" s="144">
        <f>J73*(1+'Escalators &amp; overheads'!I$5)*(1-'Escalators &amp; overheads'!I$8)</f>
        <v>1167.6691982795037</v>
      </c>
    </row>
    <row r="74" spans="1:11" s="129" customFormat="1" ht="30">
      <c r="A74" s="129" t="str">
        <f>'EGX Service assumptions'!B76</f>
        <v>EGX_74</v>
      </c>
      <c r="B74" s="129" t="str">
        <f>VLOOKUP($A74,'EGX Service assumptions'!$B:$AY,'EGX Service assumptions'!D$3,FALSE)</f>
        <v>Connection application and management services</v>
      </c>
      <c r="C74" s="129" t="str">
        <f>VLOOKUP($A74,'EGX Service assumptions'!$B:$AY,'EGX Service assumptions'!E$3,FALSE)</f>
        <v>Supply enhancement</v>
      </c>
      <c r="D74" s="143" t="str">
        <f>VLOOKUP($A74,'EGX Service assumptions'!$B:$AY,'EGX Service assumptions'!F$3,FALSE)</f>
        <v>Service upgrade. For example, an upgrade from single phase to multi phase and/or increase capacity. Excludes work on metering equipment (if required). Overhead</v>
      </c>
      <c r="E74" s="143" t="str">
        <f>VLOOKUP($A74,'EGX Service assumptions'!$B:$AY,'EGX Service assumptions'!G$3,FALSE)</f>
        <v>BUSINESS HOURS - MULTIPHASE INCREASE CAPACITY - Traffic control</v>
      </c>
      <c r="F74" s="129" t="str">
        <f>VLOOKUP($A74,'EGX Service assumptions'!$B:$AY,'EGX Service assumptions'!K$3,FALSE)</f>
        <v>Yes</v>
      </c>
      <c r="G74" s="168">
        <f>VLOOKUP($A74,'EGX Service assumptions'!$B:$AY,'EGX Service assumptions'!$AY$3,FALSE)</f>
        <v>1634.1775283785096</v>
      </c>
      <c r="H74" s="144">
        <f>G74*(1+'Escalators &amp; overheads'!F$5)*(1-'Escalators &amp; overheads'!F$8)</f>
        <v>1687.3657415554542</v>
      </c>
      <c r="I74" s="144">
        <f>H74*(1+'Escalators &amp; overheads'!G$5)*(1-'Escalators &amp; overheads'!G$8)</f>
        <v>1743.1131025712136</v>
      </c>
      <c r="J74" s="144">
        <f>I74*(1+'Escalators &amp; overheads'!H$5)*(1-'Escalators &amp; overheads'!H$8)</f>
        <v>1801.17197561496</v>
      </c>
      <c r="K74" s="144">
        <f>J74*(1+'Escalators &amp; overheads'!I$5)*(1-'Escalators &amp; overheads'!I$8)</f>
        <v>1856.7520720021203</v>
      </c>
    </row>
    <row r="75" spans="1:11" s="129" customFormat="1" ht="30">
      <c r="A75" s="129" t="str">
        <f>'EGX Service assumptions'!B77</f>
        <v>EGX_75</v>
      </c>
      <c r="B75" s="129" t="str">
        <f>VLOOKUP($A75,'EGX Service assumptions'!$B:$AY,'EGX Service assumptions'!D$3,FALSE)</f>
        <v>Connection application and management services</v>
      </c>
      <c r="C75" s="129" t="str">
        <f>VLOOKUP($A75,'EGX Service assumptions'!$B:$AY,'EGX Service assumptions'!E$3,FALSE)</f>
        <v>Supply enhancement</v>
      </c>
      <c r="D75" s="143" t="str">
        <f>VLOOKUP($A75,'EGX Service assumptions'!$B:$AY,'EGX Service assumptions'!F$3,FALSE)</f>
        <v>Service upgrade. For example, an upgrade from single phase to multi phase and/or increase capacity. Excludes work on metering equipment (if required). Overhead</v>
      </c>
      <c r="E75" s="143" t="str">
        <f>VLOOKUP($A75,'EGX Service assumptions'!$B:$AY,'EGX Service assumptions'!G$3,FALSE)</f>
        <v xml:space="preserve">AFTER HOURS - SINGLE TO MULTI PHASE </v>
      </c>
      <c r="F75" s="129" t="str">
        <f>VLOOKUP($A75,'EGX Service assumptions'!$B:$AY,'EGX Service assumptions'!K$3,FALSE)</f>
        <v>No</v>
      </c>
      <c r="G75" s="168">
        <f>VLOOKUP($A75,'EGX Service assumptions'!$B:$AY,'EGX Service assumptions'!$AY$3,FALSE)</f>
        <v>1252.7584941815685</v>
      </c>
      <c r="H75" s="144">
        <f>G75*(1+'Escalators &amp; overheads'!F$5)*(1-'Escalators &amp; overheads'!F$8)</f>
        <v>1293.5325133383931</v>
      </c>
      <c r="I75" s="144">
        <f>H75*(1+'Escalators &amp; overheads'!G$5)*(1-'Escalators &amp; overheads'!G$8)</f>
        <v>1336.2683720978725</v>
      </c>
      <c r="J75" s="144">
        <f>I75*(1+'Escalators &amp; overheads'!H$5)*(1-'Escalators &amp; overheads'!H$8)</f>
        <v>1380.7762331503568</v>
      </c>
      <c r="K75" s="144">
        <f>J75*(1+'Escalators &amp; overheads'!I$5)*(1-'Escalators &amp; overheads'!I$8)</f>
        <v>1423.3838670501652</v>
      </c>
    </row>
    <row r="76" spans="1:11" s="129" customFormat="1" ht="30">
      <c r="A76" s="129" t="str">
        <f>'EGX Service assumptions'!B78</f>
        <v>EGX_76</v>
      </c>
      <c r="B76" s="129" t="str">
        <f>VLOOKUP($A76,'EGX Service assumptions'!$B:$AY,'EGX Service assumptions'!D$3,FALSE)</f>
        <v>Connection application and management services</v>
      </c>
      <c r="C76" s="129" t="str">
        <f>VLOOKUP($A76,'EGX Service assumptions'!$B:$AY,'EGX Service assumptions'!E$3,FALSE)</f>
        <v>Supply enhancement</v>
      </c>
      <c r="D76" s="143" t="str">
        <f>VLOOKUP($A76,'EGX Service assumptions'!$B:$AY,'EGX Service assumptions'!F$3,FALSE)</f>
        <v>Service upgrade. For example, an upgrade from single phase to multi phase and/or increase capacity. Excludes work on metering equipment (if required). Overhead</v>
      </c>
      <c r="E76" s="143" t="str">
        <f>VLOOKUP($A76,'EGX Service assumptions'!$B:$AY,'EGX Service assumptions'!G$3,FALSE)</f>
        <v>AFTER HOURS - SINGLE TO MULTI PHASE - Traffic control</v>
      </c>
      <c r="F76" s="129" t="str">
        <f>VLOOKUP($A76,'EGX Service assumptions'!$B:$AY,'EGX Service assumptions'!K$3,FALSE)</f>
        <v>Yes</v>
      </c>
      <c r="G76" s="168">
        <f>VLOOKUP($A76,'EGX Service assumptions'!$B:$AY,'EGX Service assumptions'!$AY$3,FALSE)</f>
        <v>1859.2388985436544</v>
      </c>
      <c r="H76" s="144">
        <f>G76*(1+'Escalators &amp; overheads'!F$5)*(1-'Escalators &amp; overheads'!F$8)</f>
        <v>1919.7522718861023</v>
      </c>
      <c r="I76" s="144">
        <f>H76*(1+'Escalators &amp; overheads'!G$5)*(1-'Escalators &amp; overheads'!G$8)</f>
        <v>1983.1772427303038</v>
      </c>
      <c r="J76" s="144">
        <f>I76*(1+'Escalators &amp; overheads'!H$5)*(1-'Escalators &amp; overheads'!H$8)</f>
        <v>2049.2320704916724</v>
      </c>
      <c r="K76" s="144">
        <f>J76*(1+'Escalators &amp; overheads'!I$5)*(1-'Escalators &amp; overheads'!I$8)</f>
        <v>2112.466740772782</v>
      </c>
    </row>
    <row r="77" spans="1:11" s="129" customFormat="1" ht="30">
      <c r="A77" s="129" t="str">
        <f>'EGX Service assumptions'!B79</f>
        <v>EGX_77</v>
      </c>
      <c r="B77" s="129" t="str">
        <f>VLOOKUP($A77,'EGX Service assumptions'!$B:$AY,'EGX Service assumptions'!D$3,FALSE)</f>
        <v>Connection application and management services</v>
      </c>
      <c r="C77" s="129" t="str">
        <f>VLOOKUP($A77,'EGX Service assumptions'!$B:$AY,'EGX Service assumptions'!E$3,FALSE)</f>
        <v>Supply enhancement</v>
      </c>
      <c r="D77" s="143" t="str">
        <f>VLOOKUP($A77,'EGX Service assumptions'!$B:$AY,'EGX Service assumptions'!F$3,FALSE)</f>
        <v>Service upgrade. For example, an upgrade from single phase to multi phase and/or increase capacity. Excludes work on metering equipment (if required). Overhead</v>
      </c>
      <c r="E77" s="143" t="str">
        <f>VLOOKUP($A77,'EGX Service assumptions'!$B:$AY,'EGX Service assumptions'!G$3,FALSE)</f>
        <v>AFTER HOURS - MULTIPHASE INCREASE CAPACITY</v>
      </c>
      <c r="F77" s="129" t="str">
        <f>VLOOKUP($A77,'EGX Service assumptions'!$B:$AY,'EGX Service assumptions'!K$3,FALSE)</f>
        <v>No</v>
      </c>
      <c r="G77" s="168">
        <f>VLOOKUP($A77,'EGX Service assumptions'!$B:$AY,'EGX Service assumptions'!$AY$3,FALSE)</f>
        <v>1357.6635914722301</v>
      </c>
      <c r="H77" s="144">
        <f>G77*(1+'Escalators &amp; overheads'!F$5)*(1-'Escalators &amp; overheads'!F$8)</f>
        <v>1401.8519977327496</v>
      </c>
      <c r="I77" s="144">
        <f>H77*(1+'Escalators &amp; overheads'!G$5)*(1-'Escalators &amp; overheads'!G$8)</f>
        <v>1448.1665266363832</v>
      </c>
      <c r="J77" s="144">
        <f>I77*(1+'Escalators &amp; overheads'!H$5)*(1-'Escalators &amp; overheads'!H$8)</f>
        <v>1496.4014440334029</v>
      </c>
      <c r="K77" s="144">
        <f>J77*(1+'Escalators &amp; overheads'!I$5)*(1-'Escalators &amp; overheads'!I$8)</f>
        <v>1542.5770106196342</v>
      </c>
    </row>
    <row r="78" spans="1:11" s="129" customFormat="1" ht="30">
      <c r="A78" s="129" t="str">
        <f>'EGX Service assumptions'!B80</f>
        <v>EGX_78</v>
      </c>
      <c r="B78" s="129" t="str">
        <f>VLOOKUP($A78,'EGX Service assumptions'!$B:$AY,'EGX Service assumptions'!D$3,FALSE)</f>
        <v>Connection application and management services</v>
      </c>
      <c r="C78" s="129" t="str">
        <f>VLOOKUP($A78,'EGX Service assumptions'!$B:$AY,'EGX Service assumptions'!E$3,FALSE)</f>
        <v>Supply enhancement</v>
      </c>
      <c r="D78" s="143" t="str">
        <f>VLOOKUP($A78,'EGX Service assumptions'!$B:$AY,'EGX Service assumptions'!F$3,FALSE)</f>
        <v>Service upgrade. For example, an upgrade from single phase to multi phase and/or increase capacity. Excludes work on metering equipment (if required). Overhead</v>
      </c>
      <c r="E78" s="143" t="str">
        <f>VLOOKUP($A78,'EGX Service assumptions'!$B:$AY,'EGX Service assumptions'!G$3,FALSE)</f>
        <v>AFTER HOURS - MULTIPHASE INCREASE CAPACITY - Traffic control</v>
      </c>
      <c r="F78" s="129" t="str">
        <f>VLOOKUP($A78,'EGX Service assumptions'!$B:$AY,'EGX Service assumptions'!K$3,FALSE)</f>
        <v>Yes</v>
      </c>
      <c r="G78" s="168">
        <f>VLOOKUP($A78,'EGX Service assumptions'!$B:$AY,'EGX Service assumptions'!$AY$3,FALSE)</f>
        <v>1964.143995834316</v>
      </c>
      <c r="H78" s="144">
        <f>G78*(1+'Escalators &amp; overheads'!F$5)*(1-'Escalators &amp; overheads'!F$8)</f>
        <v>2028.0717562804591</v>
      </c>
      <c r="I78" s="144">
        <f>H78*(1+'Escalators &amp; overheads'!G$5)*(1-'Escalators &amp; overheads'!G$8)</f>
        <v>2095.0753972688149</v>
      </c>
      <c r="J78" s="144">
        <f>I78*(1+'Escalators &amp; overheads'!H$5)*(1-'Escalators &amp; overheads'!H$8)</f>
        <v>2164.8572813747187</v>
      </c>
      <c r="K78" s="144">
        <f>J78*(1+'Escalators &amp; overheads'!I$5)*(1-'Escalators &amp; overheads'!I$8)</f>
        <v>2231.6598843422512</v>
      </c>
    </row>
    <row r="79" spans="1:11" s="129" customFormat="1" ht="30">
      <c r="A79" s="129" t="str">
        <f>'EGX Service assumptions'!B81</f>
        <v>EGX_79</v>
      </c>
      <c r="B79" s="129" t="str">
        <f>VLOOKUP($A79,'EGX Service assumptions'!$B:$AY,'EGX Service assumptions'!D$3,FALSE)</f>
        <v>Connection application and management services</v>
      </c>
      <c r="C79" s="129" t="str">
        <f>VLOOKUP($A79,'EGX Service assumptions'!$B:$AY,'EGX Service assumptions'!E$3,FALSE)</f>
        <v>Supply enhancement</v>
      </c>
      <c r="D79" s="143" t="str">
        <f>VLOOKUP($A79,'EGX Service assumptions'!$B:$AY,'EGX Service assumptions'!F$3,FALSE)</f>
        <v>Service upgrade. For example, an upgrade from single phase to multi phase and/or increase capacity. Excludes work on metering equipment (if required). Underground</v>
      </c>
      <c r="E79" s="143" t="str">
        <f>VLOOKUP($A79,'EGX Service assumptions'!$B:$AY,'EGX Service assumptions'!G$3,FALSE)</f>
        <v xml:space="preserve">BUSINESS HOURS - SINGLE TO MULTI PHASE </v>
      </c>
      <c r="F79" s="129" t="str">
        <f>VLOOKUP($A79,'EGX Service assumptions'!$B:$AY,'EGX Service assumptions'!K$3,FALSE)</f>
        <v>No</v>
      </c>
      <c r="G79" s="168">
        <f>VLOOKUP($A79,'EGX Service assumptions'!$B:$AY,'EGX Service assumptions'!$AY$3,FALSE)</f>
        <v>224.72443711131126</v>
      </c>
      <c r="H79" s="144">
        <f>G79*(1+'Escalators &amp; overheads'!F$5)*(1-'Escalators &amp; overheads'!F$8)</f>
        <v>232.03863098534231</v>
      </c>
      <c r="I79" s="144">
        <f>H79*(1+'Escalators &amp; overheads'!G$5)*(1-'Escalators &amp; overheads'!G$8)</f>
        <v>239.7047468798242</v>
      </c>
      <c r="J79" s="144">
        <f>I79*(1+'Escalators &amp; overheads'!H$5)*(1-'Escalators &amp; overheads'!H$8)</f>
        <v>247.6887310782968</v>
      </c>
      <c r="K79" s="144">
        <f>J79*(1+'Escalators &amp; overheads'!I$5)*(1-'Escalators &amp; overheads'!I$8)</f>
        <v>255.33184552473654</v>
      </c>
    </row>
    <row r="80" spans="1:11" s="129" customFormat="1" ht="30">
      <c r="A80" s="129" t="str">
        <f>'EGX Service assumptions'!B82</f>
        <v>EGX_80</v>
      </c>
      <c r="B80" s="129" t="str">
        <f>VLOOKUP($A80,'EGX Service assumptions'!$B:$AY,'EGX Service assumptions'!D$3,FALSE)</f>
        <v>Connection application and management services</v>
      </c>
      <c r="C80" s="129" t="str">
        <f>VLOOKUP($A80,'EGX Service assumptions'!$B:$AY,'EGX Service assumptions'!E$3,FALSE)</f>
        <v>Supply enhancement</v>
      </c>
      <c r="D80" s="143" t="str">
        <f>VLOOKUP($A80,'EGX Service assumptions'!$B:$AY,'EGX Service assumptions'!F$3,FALSE)</f>
        <v>Service upgrade. For example, an upgrade from single phase to multi phase and/or increase capacity. Excludes work on metering equipment (if required). Underground</v>
      </c>
      <c r="E80" s="143" t="str">
        <f>VLOOKUP($A80,'EGX Service assumptions'!$B:$AY,'EGX Service assumptions'!G$3,FALSE)</f>
        <v>BUSINESS HOURS - SINGLE TO MULTI PHASE - Traffic control</v>
      </c>
      <c r="F80" s="129" t="str">
        <f>VLOOKUP($A80,'EGX Service assumptions'!$B:$AY,'EGX Service assumptions'!K$3,FALSE)</f>
        <v>Yes</v>
      </c>
      <c r="G80" s="168">
        <f>VLOOKUP($A80,'EGX Service assumptions'!$B:$AY,'EGX Service assumptions'!$AY$3,FALSE)</f>
        <v>831.20484147339698</v>
      </c>
      <c r="H80" s="144">
        <f>G80*(1+'Escalators &amp; overheads'!F$5)*(1-'Escalators &amp; overheads'!F$8)</f>
        <v>858.25838953305151</v>
      </c>
      <c r="I80" s="144">
        <f>H80*(1+'Escalators &amp; overheads'!G$5)*(1-'Escalators &amp; overheads'!G$8)</f>
        <v>886.61361751225547</v>
      </c>
      <c r="J80" s="144">
        <f>I80*(1+'Escalators &amp; overheads'!H$5)*(1-'Escalators &amp; overheads'!H$8)</f>
        <v>916.14456841961237</v>
      </c>
      <c r="K80" s="144">
        <f>J80*(1+'Escalators &amp; overheads'!I$5)*(1-'Escalators &amp; overheads'!I$8)</f>
        <v>944.41471924735345</v>
      </c>
    </row>
    <row r="81" spans="1:11" ht="30">
      <c r="A81" s="129" t="str">
        <f>'EGX Service assumptions'!B83</f>
        <v>EGX_81</v>
      </c>
      <c r="B81" s="129" t="str">
        <f>VLOOKUP($A81,'EGX Service assumptions'!$B:$AY,'EGX Service assumptions'!D$3,FALSE)</f>
        <v>Connection application and management services</v>
      </c>
      <c r="C81" s="129" t="str">
        <f>VLOOKUP($A81,'EGX Service assumptions'!$B:$AY,'EGX Service assumptions'!E$3,FALSE)</f>
        <v>Supply enhancement</v>
      </c>
      <c r="D81" s="143" t="str">
        <f>VLOOKUP($A81,'EGX Service assumptions'!$B:$AY,'EGX Service assumptions'!F$3,FALSE)</f>
        <v>Service upgrade. For example, an upgrade from single phase to multi phase and/or increase capacity. Excludes work on metering equipment (if required). Underground</v>
      </c>
      <c r="E81" s="143" t="str">
        <f>VLOOKUP($A81,'EGX Service assumptions'!$B:$AY,'EGX Service assumptions'!G$3,FALSE)</f>
        <v xml:space="preserve">BUSINESS HOURS - MULTIPHASE INCREASE CAPACITY </v>
      </c>
      <c r="F81" s="129" t="str">
        <f>VLOOKUP($A81,'EGX Service assumptions'!$B:$AY,'EGX Service assumptions'!K$3,FALSE)</f>
        <v>No</v>
      </c>
      <c r="G81" s="168">
        <f>VLOOKUP($A81,'EGX Service assumptions'!$B:$AY,'EGX Service assumptions'!$AY$3,FALSE)</f>
        <v>224.72443711131126</v>
      </c>
      <c r="H81" s="144">
        <f>G81*(1+'Escalators &amp; overheads'!F$5)*(1-'Escalators &amp; overheads'!F$8)</f>
        <v>232.03863098534231</v>
      </c>
      <c r="I81" s="144">
        <f>H81*(1+'Escalators &amp; overheads'!G$5)*(1-'Escalators &amp; overheads'!G$8)</f>
        <v>239.7047468798242</v>
      </c>
      <c r="J81" s="144">
        <f>I81*(1+'Escalators &amp; overheads'!H$5)*(1-'Escalators &amp; overheads'!H$8)</f>
        <v>247.6887310782968</v>
      </c>
      <c r="K81" s="144">
        <f>J81*(1+'Escalators &amp; overheads'!I$5)*(1-'Escalators &amp; overheads'!I$8)</f>
        <v>255.33184552473654</v>
      </c>
    </row>
    <row r="82" spans="1:11" ht="30">
      <c r="A82" s="129" t="str">
        <f>'EGX Service assumptions'!B84</f>
        <v>EGX_82</v>
      </c>
      <c r="B82" s="129" t="str">
        <f>VLOOKUP($A82,'EGX Service assumptions'!$B:$AY,'EGX Service assumptions'!D$3,FALSE)</f>
        <v>Connection application and management services</v>
      </c>
      <c r="C82" s="129" t="str">
        <f>VLOOKUP($A82,'EGX Service assumptions'!$B:$AY,'EGX Service assumptions'!E$3,FALSE)</f>
        <v>Supply enhancement</v>
      </c>
      <c r="D82" s="143" t="str">
        <f>VLOOKUP($A82,'EGX Service assumptions'!$B:$AY,'EGX Service assumptions'!F$3,FALSE)</f>
        <v>Service upgrade. For example, an upgrade from single phase to multi phase and/or increase capacity. Excludes work on metering equipment (if required). Underground</v>
      </c>
      <c r="E82" s="143" t="str">
        <f>VLOOKUP($A82,'EGX Service assumptions'!$B:$AY,'EGX Service assumptions'!G$3,FALSE)</f>
        <v>BUSINESS HOURS - MULTIPHASE INCREASE CAPACITY - Traffic control</v>
      </c>
      <c r="F82" s="129" t="str">
        <f>VLOOKUP($A82,'EGX Service assumptions'!$B:$AY,'EGX Service assumptions'!K$3,FALSE)</f>
        <v>Yes</v>
      </c>
      <c r="G82" s="168">
        <f>VLOOKUP($A82,'EGX Service assumptions'!$B:$AY,'EGX Service assumptions'!$AY$3,FALSE)</f>
        <v>831.20484147339698</v>
      </c>
      <c r="H82" s="144">
        <f>G82*(1+'Escalators &amp; overheads'!F$5)*(1-'Escalators &amp; overheads'!F$8)</f>
        <v>858.25838953305151</v>
      </c>
      <c r="I82" s="144">
        <f>H82*(1+'Escalators &amp; overheads'!G$5)*(1-'Escalators &amp; overheads'!G$8)</f>
        <v>886.61361751225547</v>
      </c>
      <c r="J82" s="144">
        <f>I82*(1+'Escalators &amp; overheads'!H$5)*(1-'Escalators &amp; overheads'!H$8)</f>
        <v>916.14456841961237</v>
      </c>
      <c r="K82" s="144">
        <f>J82*(1+'Escalators &amp; overheads'!I$5)*(1-'Escalators &amp; overheads'!I$8)</f>
        <v>944.41471924735345</v>
      </c>
    </row>
    <row r="83" spans="1:11" ht="30">
      <c r="A83" s="129" t="str">
        <f>'EGX Service assumptions'!B85</f>
        <v>EGX_83</v>
      </c>
      <c r="B83" s="129" t="str">
        <f>VLOOKUP($A83,'EGX Service assumptions'!$B:$AY,'EGX Service assumptions'!D$3,FALSE)</f>
        <v>Connection application and management services</v>
      </c>
      <c r="C83" s="129" t="str">
        <f>VLOOKUP($A83,'EGX Service assumptions'!$B:$AY,'EGX Service assumptions'!E$3,FALSE)</f>
        <v>Supply enhancement</v>
      </c>
      <c r="D83" s="143" t="str">
        <f>VLOOKUP($A83,'EGX Service assumptions'!$B:$AY,'EGX Service assumptions'!F$3,FALSE)</f>
        <v>Service upgrade. For example, an upgrade from single phase to multi phase and/or increase capacity. Excludes work on metering equipment (if required). Underground</v>
      </c>
      <c r="E83" s="143" t="str">
        <f>VLOOKUP($A83,'EGX Service assumptions'!$B:$AY,'EGX Service assumptions'!G$3,FALSE)</f>
        <v xml:space="preserve">AFTER HOURS - SINGLE TO MULTI PHASE </v>
      </c>
      <c r="F83" s="129" t="str">
        <f>VLOOKUP($A83,'EGX Service assumptions'!$B:$AY,'EGX Service assumptions'!K$3,FALSE)</f>
        <v>No</v>
      </c>
      <c r="G83" s="168">
        <f>VLOOKUP($A83,'EGX Service assumptions'!$B:$AY,'EGX Service assumptions'!$AY$3,FALSE)</f>
        <v>314.71529187198576</v>
      </c>
      <c r="H83" s="144">
        <f>G83*(1+'Escalators &amp; overheads'!F$5)*(1-'Escalators &amp; overheads'!F$8)</f>
        <v>324.95845318307096</v>
      </c>
      <c r="I83" s="144">
        <f>H83*(1+'Escalators &amp; overheads'!G$5)*(1-'Escalators &amp; overheads'!G$8)</f>
        <v>335.69446361553361</v>
      </c>
      <c r="J83" s="144">
        <f>I83*(1+'Escalators &amp; overheads'!H$5)*(1-'Escalators &amp; overheads'!H$8)</f>
        <v>346.87563264914007</v>
      </c>
      <c r="K83" s="144">
        <f>J83*(1+'Escalators &amp; overheads'!I$5)*(1-'Escalators &amp; overheads'!I$8)</f>
        <v>357.57943070840867</v>
      </c>
    </row>
    <row r="84" spans="1:11" ht="30">
      <c r="A84" s="129" t="str">
        <f>'EGX Service assumptions'!B86</f>
        <v>EGX_84</v>
      </c>
      <c r="B84" s="129" t="str">
        <f>VLOOKUP($A84,'EGX Service assumptions'!$B:$AY,'EGX Service assumptions'!D$3,FALSE)</f>
        <v>Connection application and management services</v>
      </c>
      <c r="C84" s="129" t="str">
        <f>VLOOKUP($A84,'EGX Service assumptions'!$B:$AY,'EGX Service assumptions'!E$3,FALSE)</f>
        <v>Supply enhancement</v>
      </c>
      <c r="D84" s="143" t="str">
        <f>VLOOKUP($A84,'EGX Service assumptions'!$B:$AY,'EGX Service assumptions'!F$3,FALSE)</f>
        <v>Service upgrade. For example, an upgrade from single phase to multi phase and/or increase capacity. Excludes work on metering equipment (if required). Underground</v>
      </c>
      <c r="E84" s="143" t="str">
        <f>VLOOKUP($A84,'EGX Service assumptions'!$B:$AY,'EGX Service assumptions'!G$3,FALSE)</f>
        <v>AFTER HOURS - SINGLE TO MULTI PHASE - Traffic control</v>
      </c>
      <c r="F84" s="129" t="str">
        <f>VLOOKUP($A84,'EGX Service assumptions'!$B:$AY,'EGX Service assumptions'!K$3,FALSE)</f>
        <v>Yes</v>
      </c>
      <c r="G84" s="168">
        <f>VLOOKUP($A84,'EGX Service assumptions'!$B:$AY,'EGX Service assumptions'!$AY$3,FALSE)</f>
        <v>921.19569623407153</v>
      </c>
      <c r="H84" s="144">
        <f>G84*(1+'Escalators &amp; overheads'!F$5)*(1-'Escalators &amp; overheads'!F$8)</f>
        <v>951.17821173078016</v>
      </c>
      <c r="I84" s="144">
        <f>H84*(1+'Escalators &amp; overheads'!G$5)*(1-'Escalators &amp; overheads'!G$8)</f>
        <v>982.60333424796488</v>
      </c>
      <c r="J84" s="144">
        <f>I84*(1+'Escalators &amp; overheads'!H$5)*(1-'Escalators &amp; overheads'!H$8)</f>
        <v>1015.3314699904555</v>
      </c>
      <c r="K84" s="144">
        <f>J84*(1+'Escalators &amp; overheads'!I$5)*(1-'Escalators &amp; overheads'!I$8)</f>
        <v>1046.6623044310254</v>
      </c>
    </row>
    <row r="85" spans="1:11" ht="30">
      <c r="A85" s="129" t="str">
        <f>'EGX Service assumptions'!B87</f>
        <v>EGX_85</v>
      </c>
      <c r="B85" s="129" t="str">
        <f>VLOOKUP($A85,'EGX Service assumptions'!$B:$AY,'EGX Service assumptions'!D$3,FALSE)</f>
        <v>Connection application and management services</v>
      </c>
      <c r="C85" s="129" t="str">
        <f>VLOOKUP($A85,'EGX Service assumptions'!$B:$AY,'EGX Service assumptions'!E$3,FALSE)</f>
        <v>Supply enhancement</v>
      </c>
      <c r="D85" s="143" t="str">
        <f>VLOOKUP($A85,'EGX Service assumptions'!$B:$AY,'EGX Service assumptions'!F$3,FALSE)</f>
        <v>Service upgrade. For example, an upgrade from single phase to multi phase and/or increase capacity. Excludes work on metering equipment (if required). Underground</v>
      </c>
      <c r="E85" s="143" t="str">
        <f>VLOOKUP($A85,'EGX Service assumptions'!$B:$AY,'EGX Service assumptions'!G$3,FALSE)</f>
        <v>AFTER HOURS - MULTIPHASE INCREASE CAPACITY</v>
      </c>
      <c r="F85" s="129" t="str">
        <f>VLOOKUP($A85,'EGX Service assumptions'!$B:$AY,'EGX Service assumptions'!K$3,FALSE)</f>
        <v>No</v>
      </c>
      <c r="G85" s="168">
        <f>VLOOKUP($A85,'EGX Service assumptions'!$B:$AY,'EGX Service assumptions'!$AY$3,FALSE)</f>
        <v>314.71529187198576</v>
      </c>
      <c r="H85" s="144">
        <f>G85*(1+'Escalators &amp; overheads'!F$5)*(1-'Escalators &amp; overheads'!F$8)</f>
        <v>324.95845318307096</v>
      </c>
      <c r="I85" s="144">
        <f>H85*(1+'Escalators &amp; overheads'!G$5)*(1-'Escalators &amp; overheads'!G$8)</f>
        <v>335.69446361553361</v>
      </c>
      <c r="J85" s="144">
        <f>I85*(1+'Escalators &amp; overheads'!H$5)*(1-'Escalators &amp; overheads'!H$8)</f>
        <v>346.87563264914007</v>
      </c>
      <c r="K85" s="144">
        <f>J85*(1+'Escalators &amp; overheads'!I$5)*(1-'Escalators &amp; overheads'!I$8)</f>
        <v>357.57943070840867</v>
      </c>
    </row>
    <row r="86" spans="1:11" ht="30">
      <c r="A86" s="129" t="str">
        <f>'EGX Service assumptions'!B88</f>
        <v>EGX_86</v>
      </c>
      <c r="B86" s="129" t="str">
        <f>VLOOKUP($A86,'EGX Service assumptions'!$B:$AY,'EGX Service assumptions'!D$3,FALSE)</f>
        <v>Connection application and management services</v>
      </c>
      <c r="C86" s="129" t="str">
        <f>VLOOKUP($A86,'EGX Service assumptions'!$B:$AY,'EGX Service assumptions'!E$3,FALSE)</f>
        <v>Supply enhancement</v>
      </c>
      <c r="D86" s="143" t="str">
        <f>VLOOKUP($A86,'EGX Service assumptions'!$B:$AY,'EGX Service assumptions'!F$3,FALSE)</f>
        <v>Service upgrade. For example, an upgrade from single phase to multi phase and/or increase capacity. Excludes work on metering equipment (if required). Underground</v>
      </c>
      <c r="E86" s="143" t="str">
        <f>VLOOKUP($A86,'EGX Service assumptions'!$B:$AY,'EGX Service assumptions'!G$3,FALSE)</f>
        <v>AFTER HOURS - MULTIPHASE INCREASE CAPACITY - Traffic control</v>
      </c>
      <c r="F86" s="129" t="str">
        <f>VLOOKUP($A86,'EGX Service assumptions'!$B:$AY,'EGX Service assumptions'!K$3,FALSE)</f>
        <v>Yes</v>
      </c>
      <c r="G86" s="168">
        <f>VLOOKUP($A86,'EGX Service assumptions'!$B:$AY,'EGX Service assumptions'!$AY$3,FALSE)</f>
        <v>921.19569623407153</v>
      </c>
      <c r="H86" s="144">
        <f>G86*(1+'Escalators &amp; overheads'!F$5)*(1-'Escalators &amp; overheads'!F$8)</f>
        <v>951.17821173078016</v>
      </c>
      <c r="I86" s="144">
        <f>H86*(1+'Escalators &amp; overheads'!G$5)*(1-'Escalators &amp; overheads'!G$8)</f>
        <v>982.60333424796488</v>
      </c>
      <c r="J86" s="144">
        <f>I86*(1+'Escalators &amp; overheads'!H$5)*(1-'Escalators &amp; overheads'!H$8)</f>
        <v>1015.3314699904555</v>
      </c>
      <c r="K86" s="144">
        <f>J86*(1+'Escalators &amp; overheads'!I$5)*(1-'Escalators &amp; overheads'!I$8)</f>
        <v>1046.6623044310254</v>
      </c>
    </row>
    <row r="87" spans="1:11" ht="60">
      <c r="A87" s="129" t="str">
        <f>'EGX Service assumptions'!B89</f>
        <v>EGX_87</v>
      </c>
      <c r="B87" s="129" t="str">
        <f>VLOOKUP($A87,'EGX Service assumptions'!$B:$AY,'EGX Service assumptions'!D$3,FALSE)</f>
        <v>Connection application and management services</v>
      </c>
      <c r="C87" s="129" t="str">
        <f>VLOOKUP($A87,'EGX Service assumptions'!$B:$AY,'EGX Service assumptions'!E$3,FALSE)</f>
        <v>Point of attachment relocation</v>
      </c>
      <c r="D87" s="143" t="str">
        <f>VLOOKUP($A87,'EGX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7" s="143" t="str">
        <f>VLOOKUP($A87,'EGX Service assumptions'!$B:$AY,'EGX Service assumptions'!G$3,FALSE)</f>
        <v>BUSINESS HOURS - SINGLE PHASE</v>
      </c>
      <c r="F87" s="129" t="str">
        <f>VLOOKUP($A87,'EGX Service assumptions'!$B:$AY,'EGX Service assumptions'!K$3,FALSE)</f>
        <v>No</v>
      </c>
      <c r="G87" s="168">
        <f>VLOOKUP($A87,'EGX Service assumptions'!$B:$AY,'EGX Service assumptions'!$AY$3,FALSE)</f>
        <v>628.00042505435476</v>
      </c>
      <c r="H87" s="144">
        <f>G87*(1+'Escalators &amp; overheads'!F$5)*(1-'Escalators &amp; overheads'!F$8)</f>
        <v>648.44019974403955</v>
      </c>
      <c r="I87" s="144">
        <f>H87*(1+'Escalators &amp; overheads'!G$5)*(1-'Escalators &amp; overheads'!G$8)</f>
        <v>669.86343302536682</v>
      </c>
      <c r="J87" s="144">
        <f>I87*(1+'Escalators &amp; overheads'!H$5)*(1-'Escalators &amp; overheads'!H$8)</f>
        <v>692.17496057759524</v>
      </c>
      <c r="K87" s="144">
        <f>J87*(1+'Escalators &amp; overheads'!I$5)*(1-'Escalators &amp; overheads'!I$8)</f>
        <v>713.533915495016</v>
      </c>
    </row>
    <row r="88" spans="1:11" ht="60">
      <c r="A88" s="129" t="str">
        <f>'EGX Service assumptions'!B90</f>
        <v>EGX_88</v>
      </c>
      <c r="B88" s="129" t="str">
        <f>VLOOKUP($A88,'EGX Service assumptions'!$B:$AY,'EGX Service assumptions'!D$3,FALSE)</f>
        <v>Connection application and management services</v>
      </c>
      <c r="C88" s="129" t="str">
        <f>VLOOKUP($A88,'EGX Service assumptions'!$B:$AY,'EGX Service assumptions'!E$3,FALSE)</f>
        <v>Point of attachment relocation</v>
      </c>
      <c r="D88" s="143" t="str">
        <f>VLOOKUP($A88,'EGX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8" s="143" t="str">
        <f>VLOOKUP($A88,'EGX Service assumptions'!$B:$AY,'EGX Service assumptions'!G$3,FALSE)</f>
        <v>BUSINESS HOURS - SINGLE PHASE - Traffic Control</v>
      </c>
      <c r="F88" s="129" t="str">
        <f>VLOOKUP($A88,'EGX Service assumptions'!$B:$AY,'EGX Service assumptions'!K$3,FALSE)</f>
        <v>Yes</v>
      </c>
      <c r="G88" s="168">
        <f>VLOOKUP($A88,'EGX Service assumptions'!$B:$AY,'EGX Service assumptions'!$AY$3,FALSE)</f>
        <v>1234.4808294164404</v>
      </c>
      <c r="H88" s="144">
        <f>G88*(1+'Escalators &amp; overheads'!F$5)*(1-'Escalators &amp; overheads'!F$8)</f>
        <v>1274.6599582917488</v>
      </c>
      <c r="I88" s="144">
        <f>H88*(1+'Escalators &amp; overheads'!G$5)*(1-'Escalators &amp; overheads'!G$8)</f>
        <v>1316.7723036577981</v>
      </c>
      <c r="J88" s="144">
        <f>I88*(1+'Escalators &amp; overheads'!H$5)*(1-'Escalators &amp; overheads'!H$8)</f>
        <v>1360.6307979189107</v>
      </c>
      <c r="K88" s="144">
        <f>J88*(1+'Escalators &amp; overheads'!I$5)*(1-'Escalators &amp; overheads'!I$8)</f>
        <v>1402.6167892176327</v>
      </c>
    </row>
    <row r="89" spans="1:11" ht="60">
      <c r="A89" s="129" t="str">
        <f>'EGX Service assumptions'!B91</f>
        <v>EGX_89</v>
      </c>
      <c r="B89" s="129" t="str">
        <f>VLOOKUP($A89,'EGX Service assumptions'!$B:$AY,'EGX Service assumptions'!D$3,FALSE)</f>
        <v>Connection application and management services</v>
      </c>
      <c r="C89" s="129" t="str">
        <f>VLOOKUP($A89,'EGX Service assumptions'!$B:$AY,'EGX Service assumptions'!E$3,FALSE)</f>
        <v>Point of attachment relocation</v>
      </c>
      <c r="D89" s="143" t="str">
        <f>VLOOKUP($A89,'EGX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9" s="143" t="str">
        <f>VLOOKUP($A89,'EGX Service assumptions'!$B:$AY,'EGX Service assumptions'!G$3,FALSE)</f>
        <v xml:space="preserve">AFTER HOURS - SINGLE PHASE  </v>
      </c>
      <c r="F89" s="129" t="str">
        <f>VLOOKUP($A89,'EGX Service assumptions'!$B:$AY,'EGX Service assumptions'!K$3,FALSE)</f>
        <v>No</v>
      </c>
      <c r="G89" s="168">
        <f>VLOOKUP($A89,'EGX Service assumptions'!$B:$AY,'EGX Service assumptions'!$AY$3,FALSE)</f>
        <v>825.98030552783871</v>
      </c>
      <c r="H89" s="144">
        <f>G89*(1+'Escalators &amp; overheads'!F$5)*(1-'Escalators &amp; overheads'!F$8)</f>
        <v>852.86380857904271</v>
      </c>
      <c r="I89" s="144">
        <f>H89*(1+'Escalators &amp; overheads'!G$5)*(1-'Escalators &amp; overheads'!G$8)</f>
        <v>881.0408098439276</v>
      </c>
      <c r="J89" s="144">
        <f>I89*(1+'Escalators &amp; overheads'!H$5)*(1-'Escalators &amp; overheads'!H$8)</f>
        <v>910.38614403345048</v>
      </c>
      <c r="K89" s="144">
        <f>J89*(1+'Escalators &amp; overheads'!I$5)*(1-'Escalators &amp; overheads'!I$8)</f>
        <v>938.47860289909465</v>
      </c>
    </row>
    <row r="90" spans="1:11" ht="60">
      <c r="A90" s="129" t="str">
        <f>'EGX Service assumptions'!B92</f>
        <v>EGX_90</v>
      </c>
      <c r="B90" s="129" t="str">
        <f>VLOOKUP($A90,'EGX Service assumptions'!$B:$AY,'EGX Service assumptions'!D$3,FALSE)</f>
        <v>Connection application and management services</v>
      </c>
      <c r="C90" s="129" t="str">
        <f>VLOOKUP($A90,'EGX Service assumptions'!$B:$AY,'EGX Service assumptions'!E$3,FALSE)</f>
        <v>Point of attachment relocation</v>
      </c>
      <c r="D90" s="143"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0" s="143" t="str">
        <f>VLOOKUP($A90,'EGX Service assumptions'!$B:$AY,'EGX Service assumptions'!G$3,FALSE)</f>
        <v>AFTER HOURS - SINGLE PHASE  - Traffic Control</v>
      </c>
      <c r="F90" s="129" t="str">
        <f>VLOOKUP($A90,'EGX Service assumptions'!$B:$AY,'EGX Service assumptions'!K$3,FALSE)</f>
        <v>Yes</v>
      </c>
      <c r="G90" s="168">
        <f>VLOOKUP($A90,'EGX Service assumptions'!$B:$AY,'EGX Service assumptions'!$AY$3,FALSE)</f>
        <v>1432.4607098899244</v>
      </c>
      <c r="H90" s="144">
        <f>G90*(1+'Escalators &amp; overheads'!F$5)*(1-'Escalators &amp; overheads'!F$8)</f>
        <v>1479.0835671267516</v>
      </c>
      <c r="I90" s="144">
        <f>H90*(1+'Escalators &amp; overheads'!G$5)*(1-'Escalators &amp; overheads'!G$8)</f>
        <v>1527.9496804763587</v>
      </c>
      <c r="J90" s="144">
        <f>I90*(1+'Escalators &amp; overheads'!H$5)*(1-'Escalators &amp; overheads'!H$8)</f>
        <v>1578.8419813747657</v>
      </c>
      <c r="K90" s="144">
        <f>J90*(1+'Escalators &amp; overheads'!I$5)*(1-'Escalators &amp; overheads'!I$8)</f>
        <v>1627.5614766217111</v>
      </c>
    </row>
    <row r="91" spans="1:11" ht="60">
      <c r="A91" s="129" t="str">
        <f>'EGX Service assumptions'!B93</f>
        <v>EGX_91</v>
      </c>
      <c r="B91" s="129" t="str">
        <f>VLOOKUP($A91,'EGX Service assumptions'!$B:$AY,'EGX Service assumptions'!D$3,FALSE)</f>
        <v>Connection application and management services</v>
      </c>
      <c r="C91" s="129" t="str">
        <f>VLOOKUP($A91,'EGX Service assumptions'!$B:$AY,'EGX Service assumptions'!E$3,FALSE)</f>
        <v>Point of attachment relocation</v>
      </c>
      <c r="D91" s="143"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1" s="143" t="str">
        <f>VLOOKUP($A91,'EGX Service assumptions'!$B:$AY,'EGX Service assumptions'!G$3,FALSE)</f>
        <v>BUSINESS HOURS - MULTI PHASE</v>
      </c>
      <c r="F91" s="129" t="str">
        <f>VLOOKUP($A91,'EGX Service assumptions'!$B:$AY,'EGX Service assumptions'!K$3,FALSE)</f>
        <v>No</v>
      </c>
      <c r="G91" s="168">
        <f>VLOOKUP($A91,'EGX Service assumptions'!$B:$AY,'EGX Service assumptions'!$AY$3,FALSE)</f>
        <v>931.0536526356467</v>
      </c>
      <c r="H91" s="144">
        <f>G91*(1+'Escalators &amp; overheads'!F$5)*(1-'Escalators &amp; overheads'!F$8)</f>
        <v>961.35701888294443</v>
      </c>
      <c r="I91" s="144">
        <f>H91*(1+'Escalators &amp; overheads'!G$5)*(1-'Escalators &amp; overheads'!G$8)</f>
        <v>993.11842986625527</v>
      </c>
      <c r="J91" s="144">
        <f>I91*(1+'Escalators &amp; overheads'!H$5)*(1-'Escalators &amp; overheads'!H$8)</f>
        <v>1026.1967979606482</v>
      </c>
      <c r="K91" s="144">
        <f>J91*(1+'Escalators &amp; overheads'!I$5)*(1-'Escalators &amp; overheads'!I$8)</f>
        <v>1057.8629118659428</v>
      </c>
    </row>
    <row r="92" spans="1:11" ht="60">
      <c r="A92" s="129" t="str">
        <f>'EGX Service assumptions'!B94</f>
        <v>EGX_92</v>
      </c>
      <c r="B92" s="129" t="str">
        <f>VLOOKUP($A92,'EGX Service assumptions'!$B:$AY,'EGX Service assumptions'!D$3,FALSE)</f>
        <v>Connection application and management services</v>
      </c>
      <c r="C92" s="129" t="str">
        <f>VLOOKUP($A92,'EGX Service assumptions'!$B:$AY,'EGX Service assumptions'!E$3,FALSE)</f>
        <v>Point of attachment relocation</v>
      </c>
      <c r="D92" s="143"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2" s="143" t="str">
        <f>VLOOKUP($A92,'EGX Service assumptions'!$B:$AY,'EGX Service assumptions'!G$3,FALSE)</f>
        <v>BUSINESS HOURS - MULTI PHASE - Traffic Control</v>
      </c>
      <c r="F92" s="129" t="str">
        <f>VLOOKUP($A92,'EGX Service assumptions'!$B:$AY,'EGX Service assumptions'!K$3,FALSE)</f>
        <v>Yes</v>
      </c>
      <c r="G92" s="168">
        <f>VLOOKUP($A92,'EGX Service assumptions'!$B:$AY,'EGX Service assumptions'!$AY$3,FALSE)</f>
        <v>1537.5340569977325</v>
      </c>
      <c r="H92" s="144">
        <f>G92*(1+'Escalators &amp; overheads'!F$5)*(1-'Escalators &amp; overheads'!F$8)</f>
        <v>1587.5767774306537</v>
      </c>
      <c r="I92" s="144">
        <f>H92*(1+'Escalators &amp; overheads'!G$5)*(1-'Escalators &amp; overheads'!G$8)</f>
        <v>1640.0273004986868</v>
      </c>
      <c r="J92" s="144">
        <f>I92*(1+'Escalators &amp; overheads'!H$5)*(1-'Escalators &amp; overheads'!H$8)</f>
        <v>1694.652635301964</v>
      </c>
      <c r="K92" s="144">
        <f>J92*(1+'Escalators &amp; overheads'!I$5)*(1-'Escalators &amp; overheads'!I$8)</f>
        <v>1746.9457855885601</v>
      </c>
    </row>
    <row r="93" spans="1:11" ht="60">
      <c r="A93" s="129" t="str">
        <f>'EGX Service assumptions'!B95</f>
        <v>EGX_93</v>
      </c>
      <c r="B93" s="129" t="str">
        <f>VLOOKUP($A93,'EGX Service assumptions'!$B:$AY,'EGX Service assumptions'!D$3,FALSE)</f>
        <v>Connection application and management services</v>
      </c>
      <c r="C93" s="129" t="str">
        <f>VLOOKUP($A93,'EGX Service assumptions'!$B:$AY,'EGX Service assumptions'!E$3,FALSE)</f>
        <v>Point of attachment relocation</v>
      </c>
      <c r="D93" s="143"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3" s="143" t="str">
        <f>VLOOKUP($A93,'EGX Service assumptions'!$B:$AY,'EGX Service assumptions'!G$3,FALSE)</f>
        <v xml:space="preserve">AFTER HOURS - MULTIPHASE  </v>
      </c>
      <c r="F93" s="129" t="str">
        <f>VLOOKUP($A93,'EGX Service assumptions'!$B:$AY,'EGX Service assumptions'!K$3,FALSE)</f>
        <v>No</v>
      </c>
      <c r="G93" s="168">
        <f>VLOOKUP($A93,'EGX Service assumptions'!$B:$AY,'EGX Service assumptions'!$AY$3,FALSE)</f>
        <v>1175.8287775846816</v>
      </c>
      <c r="H93" s="144">
        <f>G93*(1+'Escalators &amp; overheads'!F$5)*(1-'Escalators &amp; overheads'!F$8)</f>
        <v>1214.0989352607664</v>
      </c>
      <c r="I93" s="144">
        <f>H93*(1+'Escalators &amp; overheads'!G$5)*(1-'Escalators &amp; overheads'!G$8)</f>
        <v>1254.2104593873848</v>
      </c>
      <c r="J93" s="144">
        <f>I93*(1+'Escalators &amp; overheads'!H$5)*(1-'Escalators &amp; overheads'!H$8)</f>
        <v>1295.9851702333417</v>
      </c>
      <c r="K93" s="144">
        <f>J93*(1+'Escalators &amp; overheads'!I$5)*(1-'Escalators &amp; overheads'!I$8)</f>
        <v>1335.9763435655309</v>
      </c>
    </row>
    <row r="94" spans="1:11" ht="60">
      <c r="A94" s="129" t="str">
        <f>'EGX Service assumptions'!B96</f>
        <v>EGX_94</v>
      </c>
      <c r="B94" s="129" t="str">
        <f>VLOOKUP($A94,'EGX Service assumptions'!$B:$AY,'EGX Service assumptions'!D$3,FALSE)</f>
        <v>Connection application and management services</v>
      </c>
      <c r="C94" s="129" t="str">
        <f>VLOOKUP($A94,'EGX Service assumptions'!$B:$AY,'EGX Service assumptions'!E$3,FALSE)</f>
        <v>Point of attachment relocation</v>
      </c>
      <c r="D94" s="143"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4" s="143" t="str">
        <f>VLOOKUP($A94,'EGX Service assumptions'!$B:$AY,'EGX Service assumptions'!G$3,FALSE)</f>
        <v>AFTER HOURS - MULTIPHASE - Traffic Control</v>
      </c>
      <c r="F94" s="129" t="str">
        <f>VLOOKUP($A94,'EGX Service assumptions'!$B:$AY,'EGX Service assumptions'!K$3,FALSE)</f>
        <v>Yes</v>
      </c>
      <c r="G94" s="168">
        <f>VLOOKUP($A94,'EGX Service assumptions'!$B:$AY,'EGX Service assumptions'!$AY$3,FALSE)</f>
        <v>1782.3091819467672</v>
      </c>
      <c r="H94" s="144">
        <f>G94*(1+'Escalators &amp; overheads'!F$5)*(1-'Escalators &amp; overheads'!F$8)</f>
        <v>1840.3186938084757</v>
      </c>
      <c r="I94" s="144">
        <f>H94*(1+'Escalators &amp; overheads'!G$5)*(1-'Escalators &amp; overheads'!G$8)</f>
        <v>1901.1193300198163</v>
      </c>
      <c r="J94" s="144">
        <f>I94*(1+'Escalators &amp; overheads'!H$5)*(1-'Escalators &amp; overheads'!H$8)</f>
        <v>1964.4410075746573</v>
      </c>
      <c r="K94" s="144">
        <f>J94*(1+'Escalators &amp; overheads'!I$5)*(1-'Escalators &amp; overheads'!I$8)</f>
        <v>2025.0592172881477</v>
      </c>
    </row>
    <row r="95" spans="1:11" ht="75">
      <c r="A95" s="129" t="str">
        <f>'EGX Service assumptions'!B97</f>
        <v>EGX_95</v>
      </c>
      <c r="B95" s="129" t="str">
        <f>VLOOKUP($A95,'EGX Service assumptions'!$B:$AY,'EGX Service assumptions'!D$3,FALSE)</f>
        <v>Network Ancillary services</v>
      </c>
      <c r="C95" s="129" t="str">
        <f>VLOOKUP($A95,'EGX Service assumptions'!$B:$AY,'EGX Service assumptions'!E$3,FALSE)</f>
        <v>Re-arrange connection assets at customer's request</v>
      </c>
      <c r="D95" s="143" t="str">
        <f>VLOOKUP($A95,'EGX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5" s="143" t="str">
        <f>VLOOKUP($A95,'EGX Service assumptions'!$B:$AY,'EGX Service assumptions'!G$3,FALSE)</f>
        <v>BUSINESS HOURS - SINGLE PHASE</v>
      </c>
      <c r="F95" s="129" t="str">
        <f>VLOOKUP($A95,'EGX Service assumptions'!$B:$AY,'EGX Service assumptions'!K$3,FALSE)</f>
        <v>No</v>
      </c>
      <c r="G95" s="168">
        <f>VLOOKUP($A95,'EGX Service assumptions'!$B:$AY,'EGX Service assumptions'!$AY$3,FALSE)</f>
        <v>749.08145703770401</v>
      </c>
      <c r="H95" s="144">
        <f>G95*(1+'Escalators &amp; overheads'!F$5)*(1-'Escalators &amp; overheads'!F$8)</f>
        <v>773.46210328447421</v>
      </c>
      <c r="I95" s="144">
        <f>H95*(1+'Escalators &amp; overheads'!G$5)*(1-'Escalators &amp; overheads'!G$8)</f>
        <v>799.01582293274726</v>
      </c>
      <c r="J95" s="144">
        <f>I95*(1+'Escalators &amp; overheads'!H$5)*(1-'Escalators &amp; overheads'!H$8)</f>
        <v>825.6291035943226</v>
      </c>
      <c r="K95" s="144">
        <f>J95*(1+'Escalators &amp; overheads'!I$5)*(1-'Escalators &amp; overheads'!I$8)</f>
        <v>851.10615174912175</v>
      </c>
    </row>
    <row r="96" spans="1:11" ht="75">
      <c r="A96" s="129" t="str">
        <f>'EGX Service assumptions'!B98</f>
        <v>EGX_96</v>
      </c>
      <c r="B96" s="129" t="str">
        <f>VLOOKUP($A96,'EGX Service assumptions'!$B:$AY,'EGX Service assumptions'!D$3,FALSE)</f>
        <v>Network Ancillary services</v>
      </c>
      <c r="C96" s="129" t="str">
        <f>VLOOKUP($A96,'EGX Service assumptions'!$B:$AY,'EGX Service assumptions'!E$3,FALSE)</f>
        <v>Re-arrange connection assets at customer's request</v>
      </c>
      <c r="D96" s="143" t="str">
        <f>VLOOKUP($A96,'EGX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6" s="143" t="str">
        <f>VLOOKUP($A96,'EGX Service assumptions'!$B:$AY,'EGX Service assumptions'!G$3,FALSE)</f>
        <v>BUSINESS HOURS - SINGLE PHASE - Traffic Control</v>
      </c>
      <c r="F96" s="129" t="str">
        <f>VLOOKUP($A96,'EGX Service assumptions'!$B:$AY,'EGX Service assumptions'!K$3,FALSE)</f>
        <v>Yes</v>
      </c>
      <c r="G96" s="168">
        <f>VLOOKUP($A96,'EGX Service assumptions'!$B:$AY,'EGX Service assumptions'!$AY$3,FALSE)</f>
        <v>1355.5618613997899</v>
      </c>
      <c r="H96" s="144">
        <f>G96*(1+'Escalators &amp; overheads'!F$5)*(1-'Escalators &amp; overheads'!F$8)</f>
        <v>1399.6818618321836</v>
      </c>
      <c r="I96" s="144">
        <f>H96*(1+'Escalators &amp; overheads'!G$5)*(1-'Escalators &amp; overheads'!G$8)</f>
        <v>1445.9246935651786</v>
      </c>
      <c r="J96" s="144">
        <f>I96*(1+'Escalators &amp; overheads'!H$5)*(1-'Escalators &amp; overheads'!H$8)</f>
        <v>1494.0849409356381</v>
      </c>
      <c r="K96" s="144">
        <f>J96*(1+'Escalators &amp; overheads'!I$5)*(1-'Escalators &amp; overheads'!I$8)</f>
        <v>1540.1890254717387</v>
      </c>
    </row>
    <row r="97" spans="1:11" ht="75">
      <c r="A97" s="129" t="str">
        <f>'EGX Service assumptions'!B99</f>
        <v>EGX_97</v>
      </c>
      <c r="B97" s="129" t="str">
        <f>VLOOKUP($A97,'EGX Service assumptions'!$B:$AY,'EGX Service assumptions'!D$3,FALSE)</f>
        <v>Network Ancillary services</v>
      </c>
      <c r="C97" s="129" t="str">
        <f>VLOOKUP($A97,'EGX Service assumptions'!$B:$AY,'EGX Service assumptions'!E$3,FALSE)</f>
        <v>Re-arrange connection assets at customer's request</v>
      </c>
      <c r="D97" s="143" t="str">
        <f>VLOOKUP($A97,'EGX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7" s="143" t="str">
        <f>VLOOKUP($A97,'EGX Service assumptions'!$B:$AY,'EGX Service assumptions'!G$3,FALSE)</f>
        <v xml:space="preserve">AFTER HOURS - SINGLE PHASE  </v>
      </c>
      <c r="F97" s="129" t="str">
        <f>VLOOKUP($A97,'EGX Service assumptions'!$B:$AY,'EGX Service assumptions'!K$3,FALSE)</f>
        <v>No</v>
      </c>
      <c r="G97" s="168">
        <f>VLOOKUP($A97,'EGX Service assumptions'!$B:$AY,'EGX Service assumptions'!$AY$3,FALSE)</f>
        <v>1049.0509729066193</v>
      </c>
      <c r="H97" s="144">
        <f>G97*(1+'Escalators &amp; overheads'!F$5)*(1-'Escalators &amp; overheads'!F$8)</f>
        <v>1083.19484394357</v>
      </c>
      <c r="I97" s="144">
        <f>H97*(1+'Escalators &amp; overheads'!G$5)*(1-'Escalators &amp; overheads'!G$8)</f>
        <v>1118.9815453851122</v>
      </c>
      <c r="J97" s="144">
        <f>I97*(1+'Escalators &amp; overheads'!H$5)*(1-'Escalators &amp; overheads'!H$8)</f>
        <v>1156.252108830467</v>
      </c>
      <c r="K97" s="144">
        <f>J97*(1+'Escalators &amp; overheads'!I$5)*(1-'Escalators &amp; overheads'!I$8)</f>
        <v>1191.9314356946957</v>
      </c>
    </row>
    <row r="98" spans="1:11" ht="75">
      <c r="A98" s="129" t="str">
        <f>'EGX Service assumptions'!B100</f>
        <v>EGX_98</v>
      </c>
      <c r="B98" s="129" t="str">
        <f>VLOOKUP($A98,'EGX Service assumptions'!$B:$AY,'EGX Service assumptions'!D$3,FALSE)</f>
        <v>Network Ancillary services</v>
      </c>
      <c r="C98" s="129" t="str">
        <f>VLOOKUP($A98,'EGX Service assumptions'!$B:$AY,'EGX Service assumptions'!E$3,FALSE)</f>
        <v>Re-arrange connection assets at customer's request</v>
      </c>
      <c r="D98" s="143"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8" s="143" t="str">
        <f>VLOOKUP($A98,'EGX Service assumptions'!$B:$AY,'EGX Service assumptions'!G$3,FALSE)</f>
        <v>AFTER HOURS - SINGLE PHASE - Traffic control</v>
      </c>
      <c r="F98" s="129" t="str">
        <f>VLOOKUP($A98,'EGX Service assumptions'!$B:$AY,'EGX Service assumptions'!K$3,FALSE)</f>
        <v>Yes</v>
      </c>
      <c r="G98" s="168">
        <f>VLOOKUP($A98,'EGX Service assumptions'!$B:$AY,'EGX Service assumptions'!$AY$3,FALSE)</f>
        <v>1655.531377268705</v>
      </c>
      <c r="H98" s="144">
        <f>G98*(1+'Escalators &amp; overheads'!F$5)*(1-'Escalators &amp; overheads'!F$8)</f>
        <v>1709.4146024912789</v>
      </c>
      <c r="I98" s="144">
        <f>H98*(1+'Escalators &amp; overheads'!G$5)*(1-'Escalators &amp; overheads'!G$8)</f>
        <v>1765.890416017543</v>
      </c>
      <c r="J98" s="144">
        <f>I98*(1+'Escalators &amp; overheads'!H$5)*(1-'Escalators &amp; overheads'!H$8)</f>
        <v>1824.7079461717819</v>
      </c>
      <c r="K98" s="144">
        <f>J98*(1+'Escalators &amp; overheads'!I$5)*(1-'Escalators &amp; overheads'!I$8)</f>
        <v>1881.0143094173118</v>
      </c>
    </row>
    <row r="99" spans="1:11" ht="75">
      <c r="A99" s="129" t="str">
        <f>'EGX Service assumptions'!B101</f>
        <v>EGX_99</v>
      </c>
      <c r="B99" s="129" t="str">
        <f>VLOOKUP($A99,'EGX Service assumptions'!$B:$AY,'EGX Service assumptions'!D$3,FALSE)</f>
        <v>Network Ancillary services</v>
      </c>
      <c r="C99" s="129" t="str">
        <f>VLOOKUP($A99,'EGX Service assumptions'!$B:$AY,'EGX Service assumptions'!E$3,FALSE)</f>
        <v>Re-arrange connection assets at customer's request</v>
      </c>
      <c r="D99" s="143"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9" s="143" t="str">
        <f>VLOOKUP($A99,'EGX Service assumptions'!$B:$AY,'EGX Service assumptions'!G$3,FALSE)</f>
        <v>BUSINESS HOURS - MULTI PHASE</v>
      </c>
      <c r="F99" s="129" t="str">
        <f>VLOOKUP($A99,'EGX Service assumptions'!$B:$AY,'EGX Service assumptions'!K$3,FALSE)</f>
        <v>No</v>
      </c>
      <c r="G99" s="168">
        <f>VLOOKUP($A99,'EGX Service assumptions'!$B:$AY,'EGX Service assumptions'!$AY$3,FALSE)</f>
        <v>823.98960274147453</v>
      </c>
      <c r="H99" s="144">
        <f>G99*(1+'Escalators &amp; overheads'!F$5)*(1-'Escalators &amp; overheads'!F$8)</f>
        <v>850.80831361292178</v>
      </c>
      <c r="I99" s="144">
        <f>H99*(1+'Escalators &amp; overheads'!G$5)*(1-'Escalators &amp; overheads'!G$8)</f>
        <v>878.91740522602208</v>
      </c>
      <c r="J99" s="144">
        <f>I99*(1+'Escalators &amp; overheads'!H$5)*(1-'Escalators &amp; overheads'!H$8)</f>
        <v>908.19201395375489</v>
      </c>
      <c r="K99" s="144">
        <f>J99*(1+'Escalators &amp; overheads'!I$5)*(1-'Escalators &amp; overheads'!I$8)</f>
        <v>936.216766924034</v>
      </c>
    </row>
    <row r="100" spans="1:11" ht="75">
      <c r="A100" s="129" t="str">
        <f>'EGX Service assumptions'!B102</f>
        <v>EGX_100</v>
      </c>
      <c r="B100" s="129" t="str">
        <f>VLOOKUP($A100,'EGX Service assumptions'!$B:$AY,'EGX Service assumptions'!D$3,FALSE)</f>
        <v>Network Ancillary services</v>
      </c>
      <c r="C100" s="129" t="str">
        <f>VLOOKUP($A100,'EGX Service assumptions'!$B:$AY,'EGX Service assumptions'!E$3,FALSE)</f>
        <v>Re-arrange connection assets at customer's request</v>
      </c>
      <c r="D100" s="143"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0" s="143" t="str">
        <f>VLOOKUP($A100,'EGX Service assumptions'!$B:$AY,'EGX Service assumptions'!G$3,FALSE)</f>
        <v>BUSINESS HOURS - MULTI PHASE - Traffic Control</v>
      </c>
      <c r="F100" s="129" t="str">
        <f>VLOOKUP($A100,'EGX Service assumptions'!$B:$AY,'EGX Service assumptions'!K$3,FALSE)</f>
        <v>Yes</v>
      </c>
      <c r="G100" s="168">
        <f>VLOOKUP($A100,'EGX Service assumptions'!$B:$AY,'EGX Service assumptions'!$AY$3,FALSE)</f>
        <v>1430.4700071035604</v>
      </c>
      <c r="H100" s="144">
        <f>G100*(1+'Escalators &amp; overheads'!F$5)*(1-'Escalators &amp; overheads'!F$8)</f>
        <v>1477.0280721606312</v>
      </c>
      <c r="I100" s="144">
        <f>H100*(1+'Escalators &amp; overheads'!G$5)*(1-'Escalators &amp; overheads'!G$8)</f>
        <v>1525.8262758584535</v>
      </c>
      <c r="J100" s="144">
        <f>I100*(1+'Escalators &amp; overheads'!H$5)*(1-'Escalators &amp; overheads'!H$8)</f>
        <v>1576.6478512950705</v>
      </c>
      <c r="K100" s="144">
        <f>J100*(1+'Escalators &amp; overheads'!I$5)*(1-'Escalators &amp; overheads'!I$8)</f>
        <v>1625.2996406466509</v>
      </c>
    </row>
    <row r="101" spans="1:11" ht="75">
      <c r="A101" s="129" t="str">
        <f>'EGX Service assumptions'!B103</f>
        <v>EGX_101</v>
      </c>
      <c r="B101" s="129" t="str">
        <f>VLOOKUP($A101,'EGX Service assumptions'!$B:$AY,'EGX Service assumptions'!D$3,FALSE)</f>
        <v>Network Ancillary services</v>
      </c>
      <c r="C101" s="129" t="str">
        <f>VLOOKUP($A101,'EGX Service assumptions'!$B:$AY,'EGX Service assumptions'!E$3,FALSE)</f>
        <v>Re-arrange connection assets at customer's request</v>
      </c>
      <c r="D101" s="143"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1" s="143" t="str">
        <f>VLOOKUP($A101,'EGX Service assumptions'!$B:$AY,'EGX Service assumptions'!G$3,FALSE)</f>
        <v xml:space="preserve">AFTER HOURS - MULTIPHASE  </v>
      </c>
      <c r="F101" s="129" t="str">
        <f>VLOOKUP($A101,'EGX Service assumptions'!$B:$AY,'EGX Service assumptions'!K$3,FALSE)</f>
        <v>No</v>
      </c>
      <c r="G101" s="168">
        <f>VLOOKUP($A101,'EGX Service assumptions'!$B:$AY,'EGX Service assumptions'!$AY$3,FALSE)</f>
        <v>1153.9560701972812</v>
      </c>
      <c r="H101" s="144">
        <f>G101*(1+'Escalators &amp; overheads'!F$5)*(1-'Escalators &amp; overheads'!F$8)</f>
        <v>1191.5143283379268</v>
      </c>
      <c r="I101" s="144">
        <f>H101*(1+'Escalators &amp; overheads'!G$5)*(1-'Escalators &amp; overheads'!G$8)</f>
        <v>1230.8796999236233</v>
      </c>
      <c r="J101" s="144">
        <f>I101*(1+'Escalators &amp; overheads'!H$5)*(1-'Escalators &amp; overheads'!H$8)</f>
        <v>1271.8773197135135</v>
      </c>
      <c r="K101" s="144">
        <f>J101*(1+'Escalators &amp; overheads'!I$5)*(1-'Escalators &amp; overheads'!I$8)</f>
        <v>1311.124579264165</v>
      </c>
    </row>
    <row r="102" spans="1:11" ht="75">
      <c r="A102" s="129" t="str">
        <f>'EGX Service assumptions'!B104</f>
        <v>EGX_102</v>
      </c>
      <c r="B102" s="129" t="str">
        <f>VLOOKUP($A102,'EGX Service assumptions'!$B:$AY,'EGX Service assumptions'!D$3,FALSE)</f>
        <v>Network Ancillary services</v>
      </c>
      <c r="C102" s="129" t="str">
        <f>VLOOKUP($A102,'EGX Service assumptions'!$B:$AY,'EGX Service assumptions'!E$3,FALSE)</f>
        <v>Re-arrange connection assets at customer's request</v>
      </c>
      <c r="D102" s="143"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2" s="143" t="str">
        <f>VLOOKUP($A102,'EGX Service assumptions'!$B:$AY,'EGX Service assumptions'!G$3,FALSE)</f>
        <v>AFTER HOURS - MULTIPHASE - Traffic Control</v>
      </c>
      <c r="F102" s="129" t="str">
        <f>VLOOKUP($A102,'EGX Service assumptions'!$B:$AY,'EGX Service assumptions'!K$3,FALSE)</f>
        <v>Yes</v>
      </c>
      <c r="G102" s="168">
        <f>VLOOKUP($A102,'EGX Service assumptions'!$B:$AY,'EGX Service assumptions'!$AY$3,FALSE)</f>
        <v>1760.4364745593671</v>
      </c>
      <c r="H102" s="144">
        <f>G102*(1+'Escalators &amp; overheads'!F$5)*(1-'Escalators &amp; overheads'!F$8)</f>
        <v>1817.7340868856363</v>
      </c>
      <c r="I102" s="144">
        <f>H102*(1+'Escalators &amp; overheads'!G$5)*(1-'Escalators &amp; overheads'!G$8)</f>
        <v>1877.7885705560548</v>
      </c>
      <c r="J102" s="144">
        <f>I102*(1+'Escalators &amp; overheads'!H$5)*(1-'Escalators &amp; overheads'!H$8)</f>
        <v>1940.3331570548294</v>
      </c>
      <c r="K102" s="144">
        <f>J102*(1+'Escalators &amp; overheads'!I$5)*(1-'Escalators &amp; overheads'!I$8)</f>
        <v>2000.2074529867823</v>
      </c>
    </row>
    <row r="103" spans="1:11">
      <c r="A103" s="129" t="str">
        <f>'EGX Service assumptions'!B105</f>
        <v>EGX_103</v>
      </c>
      <c r="B103" s="129" t="str">
        <f>VLOOKUP($A103,'EGX Service assumptions'!$B:$AY,'EGX Service assumptions'!D$3,FALSE)</f>
        <v>Network Ancillary services</v>
      </c>
      <c r="C103" s="129" t="str">
        <f>VLOOKUP($A103,'EGX Service assumptions'!$B:$AY,'EGX Service assumptions'!E$3,FALSE)</f>
        <v>Faults/Emergency response</v>
      </c>
      <c r="D103" s="143" t="str">
        <f>VLOOKUP($A103,'EGX Service assumptions'!$B:$AY,'EGX Service assumptions'!F$3,FALSE)</f>
        <v>Attending loss of Supply - customer fault</v>
      </c>
      <c r="E103" s="143" t="str">
        <f>VLOOKUP($A103,'EGX Service assumptions'!$B:$AY,'EGX Service assumptions'!G$3,FALSE)</f>
        <v>BUSINESS HOURS</v>
      </c>
      <c r="F103" s="129" t="str">
        <f>VLOOKUP($A103,'EGX Service assumptions'!$B:$AY,'EGX Service assumptions'!K$3,FALSE)</f>
        <v>No</v>
      </c>
      <c r="G103" s="168">
        <f>VLOOKUP($A103,'EGX Service assumptions'!$B:$AY,'EGX Service assumptions'!$AY$3,FALSE)</f>
        <v>299.63258281508166</v>
      </c>
      <c r="H103" s="144">
        <f>G103*(1+'Escalators &amp; overheads'!F$5)*(1-'Escalators &amp; overheads'!F$8)</f>
        <v>309.38484131378976</v>
      </c>
      <c r="I103" s="144">
        <f>H103*(1+'Escalators &amp; overheads'!G$5)*(1-'Escalators &amp; overheads'!G$8)</f>
        <v>319.60632917309891</v>
      </c>
      <c r="J103" s="144">
        <f>I103*(1+'Escalators &amp; overheads'!H$5)*(1-'Escalators &amp; overheads'!H$8)</f>
        <v>330.25164143772906</v>
      </c>
      <c r="K103" s="144">
        <f>J103*(1+'Escalators &amp; overheads'!I$5)*(1-'Escalators &amp; overheads'!I$8)</f>
        <v>340.44246069964873</v>
      </c>
    </row>
    <row r="104" spans="1:11">
      <c r="A104" s="129" t="str">
        <f>'EGX Service assumptions'!B106</f>
        <v>EGX_104</v>
      </c>
      <c r="B104" s="129" t="str">
        <f>VLOOKUP($A104,'EGX Service assumptions'!$B:$AY,'EGX Service assumptions'!D$3,FALSE)</f>
        <v>Network Ancillary services</v>
      </c>
      <c r="C104" s="129" t="str">
        <f>VLOOKUP($A104,'EGX Service assumptions'!$B:$AY,'EGX Service assumptions'!E$3,FALSE)</f>
        <v>Faults/Emergency response</v>
      </c>
      <c r="D104" s="143" t="str">
        <f>VLOOKUP($A104,'EGX Service assumptions'!$B:$AY,'EGX Service assumptions'!F$3,FALSE)</f>
        <v>Attending loss of Supply - customer fault</v>
      </c>
      <c r="E104" s="143" t="str">
        <f>VLOOKUP($A104,'EGX Service assumptions'!$B:$AY,'EGX Service assumptions'!G$3,FALSE)</f>
        <v>AFTER HOURS</v>
      </c>
      <c r="F104" s="129" t="str">
        <f>VLOOKUP($A104,'EGX Service assumptions'!$B:$AY,'EGX Service assumptions'!K$3,FALSE)</f>
        <v>No</v>
      </c>
      <c r="G104" s="168">
        <f>VLOOKUP($A104,'EGX Service assumptions'!$B:$AY,'EGX Service assumptions'!$AY$3,FALSE)</f>
        <v>419.62038916264771</v>
      </c>
      <c r="H104" s="144">
        <f>G104*(1+'Escalators &amp; overheads'!F$5)*(1-'Escalators &amp; overheads'!F$8)</f>
        <v>433.27793757742796</v>
      </c>
      <c r="I104" s="144">
        <f>H104*(1+'Escalators &amp; overheads'!G$5)*(1-'Escalators &amp; overheads'!G$8)</f>
        <v>447.59261815404489</v>
      </c>
      <c r="J104" s="144">
        <f>I104*(1+'Escalators &amp; overheads'!H$5)*(1-'Escalators &amp; overheads'!H$8)</f>
        <v>462.50084353218676</v>
      </c>
      <c r="K104" s="144">
        <f>J104*(1+'Escalators &amp; overheads'!I$5)*(1-'Escalators &amp; overheads'!I$8)</f>
        <v>476.77257427787822</v>
      </c>
    </row>
    <row r="105" spans="1:11">
      <c r="A105" s="129" t="str">
        <f>'EGX Service assumptions'!B107</f>
        <v>EGX_105a</v>
      </c>
      <c r="B105" s="129" t="str">
        <f>VLOOKUP($A105,'EGX Service assumptions'!$B:$AY,'EGX Service assumptions'!D$3,FALSE)</f>
        <v>Auxiliary metering services</v>
      </c>
      <c r="C105" s="129" t="str">
        <f>VLOOKUP($A105,'EGX Service assumptions'!$B:$AY,'EGX Service assumptions'!E$3,FALSE)</f>
        <v xml:space="preserve">Removal of a meter (Type 5 &amp; 6)
</v>
      </c>
      <c r="D105" s="143" t="str">
        <f>VLOOKUP($A105,'EGX Service assumptions'!$B:$AY,'EGX Service assumptions'!F$3,FALSE)</f>
        <v>Removal of Meter</v>
      </c>
      <c r="E105" s="143" t="str">
        <f>VLOOKUP($A105,'EGX Service assumptions'!$B:$AY,'EGX Service assumptions'!G$3,FALSE)</f>
        <v>BUSINESS HOURS - NO CT</v>
      </c>
      <c r="F105" s="129" t="str">
        <f>VLOOKUP($A105,'EGX Service assumptions'!$B:$AY,'EGX Service assumptions'!K$3,FALSE)</f>
        <v>No</v>
      </c>
      <c r="G105" s="168">
        <f>VLOOKUP($A105,'EGX Service assumptions'!$B:$AY,'EGX Service assumptions'!$AY$3,FALSE)</f>
        <v>119.93942402004514</v>
      </c>
      <c r="H105" s="144">
        <f>G105*(1+'Escalators &amp; overheads'!F$5)*(1-'Escalators &amp; overheads'!F$8)</f>
        <v>123.84313921763933</v>
      </c>
      <c r="I105" s="144">
        <f>H105*(1+'Escalators &amp; overheads'!G$5)*(1-'Escalators &amp; overheads'!G$8)</f>
        <v>127.93468144897948</v>
      </c>
      <c r="J105" s="144">
        <f>I105*(1+'Escalators &amp; overheads'!H$5)*(1-'Escalators &amp; overheads'!H$8)</f>
        <v>132.19587564067135</v>
      </c>
      <c r="K105" s="144">
        <f>J105*(1+'Escalators &amp; overheads'!I$5)*(1-'Escalators &amp; overheads'!I$8)</f>
        <v>136.27514159060095</v>
      </c>
    </row>
    <row r="106" spans="1:11">
      <c r="A106" s="129" t="str">
        <f>'EGX Service assumptions'!B108</f>
        <v>EGX_106a</v>
      </c>
      <c r="B106" s="129" t="str">
        <f>VLOOKUP($A106,'EGX Service assumptions'!$B:$AY,'EGX Service assumptions'!D$3,FALSE)</f>
        <v>Auxiliary metering services</v>
      </c>
      <c r="C106" s="129" t="str">
        <f>VLOOKUP($A106,'EGX Service assumptions'!$B:$AY,'EGX Service assumptions'!E$3,FALSE)</f>
        <v xml:space="preserve">Removal of a meter (Type 5 &amp; 6)
</v>
      </c>
      <c r="D106" s="143" t="str">
        <f>VLOOKUP($A106,'EGX Service assumptions'!$B:$AY,'EGX Service assumptions'!F$3,FALSE)</f>
        <v>Removal of Meter</v>
      </c>
      <c r="E106" s="143" t="str">
        <f>VLOOKUP($A106,'EGX Service assumptions'!$B:$AY,'EGX Service assumptions'!G$3,FALSE)</f>
        <v>BUSINESS HOURS - CT</v>
      </c>
      <c r="F106" s="129" t="str">
        <f>VLOOKUP($A106,'EGX Service assumptions'!$B:$AY,'EGX Service assumptions'!K$3,FALSE)</f>
        <v>No</v>
      </c>
      <c r="G106" s="168">
        <f>VLOOKUP($A106,'EGX Service assumptions'!$B:$AY,'EGX Service assumptions'!$AY$3,FALSE)</f>
        <v>119.93942402004514</v>
      </c>
      <c r="H106" s="144">
        <f>G106*(1+'Escalators &amp; overheads'!F$5)*(1-'Escalators &amp; overheads'!F$8)</f>
        <v>123.84313921763933</v>
      </c>
      <c r="I106" s="144">
        <f>H106*(1+'Escalators &amp; overheads'!G$5)*(1-'Escalators &amp; overheads'!G$8)</f>
        <v>127.93468144897948</v>
      </c>
      <c r="J106" s="144">
        <f>I106*(1+'Escalators &amp; overheads'!H$5)*(1-'Escalators &amp; overheads'!H$8)</f>
        <v>132.19587564067135</v>
      </c>
      <c r="K106" s="144">
        <f>J106*(1+'Escalators &amp; overheads'!I$5)*(1-'Escalators &amp; overheads'!I$8)</f>
        <v>136.27514159060095</v>
      </c>
    </row>
    <row r="107" spans="1:11">
      <c r="A107" s="129" t="str">
        <f>'EGX Service assumptions'!B109</f>
        <v>EGX_105</v>
      </c>
      <c r="B107" s="129" t="str">
        <f>VLOOKUP($A107,'EGX Service assumptions'!$B:$AY,'EGX Service assumptions'!D$3,FALSE)</f>
        <v>Auxiliary metering services</v>
      </c>
      <c r="C107" s="129" t="str">
        <f>VLOOKUP($A107,'EGX Service assumptions'!$B:$AY,'EGX Service assumptions'!E$3,FALSE)</f>
        <v xml:space="preserve">Removal of a meter (Type 5 &amp; 6)
</v>
      </c>
      <c r="D107" s="143" t="str">
        <f>VLOOKUP($A107,'EGX Service assumptions'!$B:$AY,'EGX Service assumptions'!F$3,FALSE)</f>
        <v>Removal of Meter</v>
      </c>
      <c r="E107" s="143" t="str">
        <f>VLOOKUP($A107,'EGX Service assumptions'!$B:$AY,'EGX Service assumptions'!G$3,FALSE)</f>
        <v>AFTER HOURS - NO CT</v>
      </c>
      <c r="F107" s="129" t="str">
        <f>VLOOKUP($A107,'EGX Service assumptions'!$B:$AY,'EGX Service assumptions'!K$3,FALSE)</f>
        <v>No</v>
      </c>
      <c r="G107" s="168">
        <f>VLOOKUP($A107,'EGX Service assumptions'!$B:$AY,'EGX Service assumptions'!$AY$3,FALSE)</f>
        <v>158.39422882140479</v>
      </c>
      <c r="H107" s="144">
        <f>G107*(1+'Escalators &amp; overheads'!F$5)*(1-'Escalators &amp; overheads'!F$8)</f>
        <v>163.54954754427936</v>
      </c>
      <c r="I107" s="144">
        <f>H107*(1+'Escalators &amp; overheads'!G$5)*(1-'Escalators &amp; overheads'!G$8)</f>
        <v>168.95291413302519</v>
      </c>
      <c r="J107" s="144">
        <f>I107*(1+'Escalators &amp; overheads'!H$5)*(1-'Escalators &amp; overheads'!H$8)</f>
        <v>174.58032624848175</v>
      </c>
      <c r="K107" s="144">
        <f>J107*(1+'Escalators &amp; overheads'!I$5)*(1-'Escalators &amp; overheads'!I$8)</f>
        <v>179.96748055221204</v>
      </c>
    </row>
    <row r="108" spans="1:11">
      <c r="A108" s="129" t="str">
        <f>'EGX Service assumptions'!B110</f>
        <v>EGX_106</v>
      </c>
      <c r="B108" s="129" t="str">
        <f>VLOOKUP($A108,'EGX Service assumptions'!$B:$AY,'EGX Service assumptions'!D$3,FALSE)</f>
        <v>Auxiliary metering services</v>
      </c>
      <c r="C108" s="129" t="str">
        <f>VLOOKUP($A108,'EGX Service assumptions'!$B:$AY,'EGX Service assumptions'!E$3,FALSE)</f>
        <v xml:space="preserve">Removal of a meter (Type 5 &amp; 6)
</v>
      </c>
      <c r="D108" s="143" t="str">
        <f>VLOOKUP($A108,'EGX Service assumptions'!$B:$AY,'EGX Service assumptions'!F$3,FALSE)</f>
        <v>Removal of Meter</v>
      </c>
      <c r="E108" s="143" t="str">
        <f>VLOOKUP($A108,'EGX Service assumptions'!$B:$AY,'EGX Service assumptions'!G$3,FALSE)</f>
        <v>AFTER HOURS - CT</v>
      </c>
      <c r="F108" s="129" t="str">
        <f>VLOOKUP($A108,'EGX Service assumptions'!$B:$AY,'EGX Service assumptions'!K$3,FALSE)</f>
        <v>No</v>
      </c>
      <c r="G108" s="168">
        <f>VLOOKUP($A108,'EGX Service assumptions'!$B:$AY,'EGX Service assumptions'!$AY$3,FALSE)</f>
        <v>158.39422882140479</v>
      </c>
      <c r="H108" s="144">
        <f>G108*(1+'Escalators &amp; overheads'!F$5)*(1-'Escalators &amp; overheads'!F$8)</f>
        <v>163.54954754427936</v>
      </c>
      <c r="I108" s="144">
        <f>H108*(1+'Escalators &amp; overheads'!G$5)*(1-'Escalators &amp; overheads'!G$8)</f>
        <v>168.95291413302519</v>
      </c>
      <c r="J108" s="144">
        <f>I108*(1+'Escalators &amp; overheads'!H$5)*(1-'Escalators &amp; overheads'!H$8)</f>
        <v>174.58032624848175</v>
      </c>
      <c r="K108" s="144">
        <f>J108*(1+'Escalators &amp; overheads'!I$5)*(1-'Escalators &amp; overheads'!I$8)</f>
        <v>179.96748055221204</v>
      </c>
    </row>
    <row r="109" spans="1:11">
      <c r="A109" s="129" t="str">
        <f>'EGX Service assumptions'!B111</f>
        <v>EGX_107</v>
      </c>
      <c r="B109" s="129" t="str">
        <f>VLOOKUP($A109,'EGX Service assumptions'!$B:$AY,'EGX Service assumptions'!D$3,FALSE)</f>
        <v>Auxiliary metering services</v>
      </c>
      <c r="C109" s="129" t="str">
        <f>VLOOKUP($A109,'EGX Service assumptions'!$B:$AY,'EGX Service assumptions'!E$3,FALSE)</f>
        <v>Meter test</v>
      </c>
      <c r="D109" s="143" t="str">
        <f>VLOOKUP($A109,'EGX Service assumptions'!$B:$AY,'EGX Service assumptions'!F$3,FALSE)</f>
        <v>Customer requested Meter Accuracy Testing of type 5-6 meter (physically test meter)</v>
      </c>
      <c r="E109" s="143" t="str">
        <f>VLOOKUP($A109,'EGX Service assumptions'!$B:$AY,'EGX Service assumptions'!G$3,FALSE)</f>
        <v>BUSINESS HOURS - NO CT</v>
      </c>
      <c r="F109" s="129" t="str">
        <f>VLOOKUP($A109,'EGX Service assumptions'!$B:$AY,'EGX Service assumptions'!K$3,FALSE)</f>
        <v>No</v>
      </c>
      <c r="G109" s="168">
        <f>VLOOKUP($A109,'EGX Service assumptions'!$B:$AY,'EGX Service assumptions'!$AY$3,FALSE)</f>
        <v>771.16982359385554</v>
      </c>
      <c r="H109" s="144">
        <f>G109*(1+'Escalators &amp; overheads'!F$5)*(1-'Escalators &amp; overheads'!F$8)</f>
        <v>796.26938851911518</v>
      </c>
      <c r="I109" s="144">
        <f>H109*(1+'Escalators &amp; overheads'!G$5)*(1-'Escalators &amp; overheads'!G$8)</f>
        <v>822.57661757702738</v>
      </c>
      <c r="J109" s="144">
        <f>I109*(1+'Escalators &amp; overheads'!H$5)*(1-'Escalators &amp; overheads'!H$8)</f>
        <v>849.97465120904633</v>
      </c>
      <c r="K109" s="144">
        <f>J109*(1+'Escalators &amp; overheads'!I$5)*(1-'Escalators &amp; overheads'!I$8)</f>
        <v>876.20294794051881</v>
      </c>
    </row>
    <row r="110" spans="1:11">
      <c r="A110" s="129" t="str">
        <f>'EGX Service assumptions'!B112</f>
        <v>EGX_108</v>
      </c>
      <c r="B110" s="129" t="str">
        <f>VLOOKUP($A110,'EGX Service assumptions'!$B:$AY,'EGX Service assumptions'!D$3,FALSE)</f>
        <v>Auxiliary metering services</v>
      </c>
      <c r="C110" s="129" t="str">
        <f>VLOOKUP($A110,'EGX Service assumptions'!$B:$AY,'EGX Service assumptions'!E$3,FALSE)</f>
        <v>Meter test</v>
      </c>
      <c r="D110" s="143" t="str">
        <f>VLOOKUP($A110,'EGX Service assumptions'!$B:$AY,'EGX Service assumptions'!F$3,FALSE)</f>
        <v>Customer requested Meter Accuracy Testing of type 5-6 meter (physically test meter)</v>
      </c>
      <c r="E110" s="143" t="str">
        <f>VLOOKUP($A110,'EGX Service assumptions'!$B:$AY,'EGX Service assumptions'!G$3,FALSE)</f>
        <v>BUSINESS HOURS - CT</v>
      </c>
      <c r="F110" s="129" t="str">
        <f>VLOOKUP($A110,'EGX Service assumptions'!$B:$AY,'EGX Service assumptions'!K$3,FALSE)</f>
        <v>No</v>
      </c>
      <c r="G110" s="168">
        <f>VLOOKUP($A110,'EGX Service assumptions'!$B:$AY,'EGX Service assumptions'!$AY$3,FALSE)</f>
        <v>806.12695825561491</v>
      </c>
      <c r="H110" s="144">
        <f>G110*(1+'Escalators &amp; overheads'!F$5)*(1-'Escalators &amp; overheads'!F$8)</f>
        <v>832.36428667239056</v>
      </c>
      <c r="I110" s="144">
        <f>H110*(1+'Escalators &amp; overheads'!G$5)*(1-'Escalators &amp; overheads'!G$8)</f>
        <v>859.86402264722221</v>
      </c>
      <c r="J110" s="144">
        <f>I110*(1+'Escalators &amp; overheads'!H$5)*(1-'Escalators &amp; overheads'!H$8)</f>
        <v>888.50400937678137</v>
      </c>
      <c r="K110" s="144">
        <f>J110*(1+'Escalators &amp; overheads'!I$5)*(1-'Escalators &amp; overheads'!I$8)</f>
        <v>915.9212350221444</v>
      </c>
    </row>
    <row r="111" spans="1:11">
      <c r="A111" s="129" t="str">
        <f>'EGX Service assumptions'!B113</f>
        <v>EGX_109</v>
      </c>
      <c r="B111" s="129" t="str">
        <f>VLOOKUP($A111,'EGX Service assumptions'!$B:$AY,'EGX Service assumptions'!D$3,FALSE)</f>
        <v>Auxiliary metering services</v>
      </c>
      <c r="C111" s="129" t="str">
        <f>VLOOKUP($A111,'EGX Service assumptions'!$B:$AY,'EGX Service assumptions'!E$3,FALSE)</f>
        <v>Meter test</v>
      </c>
      <c r="D111" s="143" t="str">
        <f>VLOOKUP($A111,'EGX Service assumptions'!$B:$AY,'EGX Service assumptions'!F$3,FALSE)</f>
        <v>Customer requested Meter Accuracy Testing of type 5-6 meter (physically test meter)</v>
      </c>
      <c r="E111" s="143" t="str">
        <f>VLOOKUP($A111,'EGX Service assumptions'!$B:$AY,'EGX Service assumptions'!G$3,FALSE)</f>
        <v>AFTER HOURS - NO CT</v>
      </c>
      <c r="F111" s="129" t="str">
        <f>VLOOKUP($A111,'EGX Service assumptions'!$B:$AY,'EGX Service assumptions'!K$3,FALSE)</f>
        <v>No</v>
      </c>
      <c r="G111" s="168">
        <f>VLOOKUP($A111,'EGX Service assumptions'!$B:$AY,'EGX Service assumptions'!$AY$3,FALSE)</f>
        <v>1077.1387297801491</v>
      </c>
      <c r="H111" s="144">
        <f>G111*(1+'Escalators &amp; overheads'!F$5)*(1-'Escalators &amp; overheads'!F$8)</f>
        <v>1112.1967839913927</v>
      </c>
      <c r="I111" s="144">
        <f>H111*(1+'Escalators &amp; overheads'!G$5)*(1-'Escalators &amp; overheads'!G$8)</f>
        <v>1148.9416544784394</v>
      </c>
      <c r="J111" s="144">
        <f>I111*(1+'Escalators &amp; overheads'!H$5)*(1-'Escalators &amp; overheads'!H$8)</f>
        <v>1187.2101165499134</v>
      </c>
      <c r="K111" s="144">
        <f>J111*(1+'Escalators &amp; overheads'!I$5)*(1-'Escalators &amp; overheads'!I$8)</f>
        <v>1223.8447375650039</v>
      </c>
    </row>
    <row r="112" spans="1:11">
      <c r="A112" s="129" t="str">
        <f>'EGX Service assumptions'!B114</f>
        <v>EGX_110</v>
      </c>
      <c r="B112" s="129" t="str">
        <f>VLOOKUP($A112,'EGX Service assumptions'!$B:$AY,'EGX Service assumptions'!D$3,FALSE)</f>
        <v>Auxiliary metering services</v>
      </c>
      <c r="C112" s="129" t="str">
        <f>VLOOKUP($A112,'EGX Service assumptions'!$B:$AY,'EGX Service assumptions'!E$3,FALSE)</f>
        <v>Meter test</v>
      </c>
      <c r="D112" s="143" t="str">
        <f>VLOOKUP($A112,'EGX Service assumptions'!$B:$AY,'EGX Service assumptions'!F$3,FALSE)</f>
        <v>Customer requested Meter Accuracy Testing of type 5-6 meter (physically test meter)</v>
      </c>
      <c r="E112" s="143" t="str">
        <f>VLOOKUP($A112,'EGX Service assumptions'!$B:$AY,'EGX Service assumptions'!G$3,FALSE)</f>
        <v>AFTER HOURS - CT</v>
      </c>
      <c r="F112" s="129" t="str">
        <f>VLOOKUP($A112,'EGX Service assumptions'!$B:$AY,'EGX Service assumptions'!K$3,FALSE)</f>
        <v>No</v>
      </c>
      <c r="G112" s="168">
        <f>VLOOKUP($A112,'EGX Service assumptions'!$B:$AY,'EGX Service assumptions'!$AY$3,FALSE)</f>
        <v>1126.0944418491247</v>
      </c>
      <c r="H112" s="144">
        <f>G112*(1+'Escalators &amp; overheads'!F$5)*(1-'Escalators &amp; overheads'!F$8)</f>
        <v>1162.7458767087592</v>
      </c>
      <c r="I112" s="144">
        <f>H112*(1+'Escalators &amp; overheads'!G$5)*(1-'Escalators &amp; overheads'!G$8)</f>
        <v>1201.1607932630779</v>
      </c>
      <c r="J112" s="144">
        <f>I112*(1+'Escalators &amp; overheads'!H$5)*(1-'Escalators &amp; overheads'!H$8)</f>
        <v>1241.1685482953351</v>
      </c>
      <c r="K112" s="144">
        <f>J112*(1+'Escalators &amp; overheads'!I$5)*(1-'Escalators &amp; overheads'!I$8)</f>
        <v>1279.4682045640895</v>
      </c>
    </row>
    <row r="113" spans="1:11" ht="30">
      <c r="A113" s="129" t="str">
        <f>'EGX Service assumptions'!B115</f>
        <v>EGX_111</v>
      </c>
      <c r="B113" s="129" t="str">
        <f>VLOOKUP($A113,'EGX Service assumptions'!$B:$AY,'EGX Service assumptions'!D$3,FALSE)</f>
        <v>Auxiliary metering services</v>
      </c>
      <c r="C113" s="129" t="str">
        <f>VLOOKUP($A113,'EGX Service assumptions'!$B:$AY,'EGX Service assumptions'!E$3,FALSE)</f>
        <v>Meter inspection and investigation on request</v>
      </c>
      <c r="D113" s="143" t="str">
        <f>VLOOKUP($A113,'EGX Service assumptions'!$B:$AY,'EGX Service assumptions'!F$3,FALSE)</f>
        <v>Inspection required to check reported or suspected fault and no fault in meter is found. (no physical meter test)</v>
      </c>
      <c r="E113" s="143" t="str">
        <f>VLOOKUP($A113,'EGX Service assumptions'!$B:$AY,'EGX Service assumptions'!G$3,FALSE)</f>
        <v>BUSINESS HOURS - NO CT</v>
      </c>
      <c r="F113" s="129" t="str">
        <f>VLOOKUP($A113,'EGX Service assumptions'!$B:$AY,'EGX Service assumptions'!K$3,FALSE)</f>
        <v>No</v>
      </c>
      <c r="G113" s="168">
        <f>VLOOKUP($A113,'EGX Service assumptions'!$B:$AY,'EGX Service assumptions'!$AY$3,FALSE)</f>
        <v>94.179753776484461</v>
      </c>
      <c r="H113" s="144">
        <f>G113*(1+'Escalators &amp; overheads'!F$5)*(1-'Escalators &amp; overheads'!F$8)</f>
        <v>97.245058943045024</v>
      </c>
      <c r="I113" s="144">
        <f>H113*(1+'Escalators &amp; overheads'!G$5)*(1-'Escalators &amp; overheads'!G$8)</f>
        <v>100.45785109259964</v>
      </c>
      <c r="J113" s="144">
        <f>I113*(1+'Escalators &amp; overheads'!H$5)*(1-'Escalators &amp; overheads'!H$8)</f>
        <v>103.80385865471914</v>
      </c>
      <c r="K113" s="144">
        <f>J113*(1+'Escalators &amp; overheads'!I$5)*(1-'Escalators &amp; overheads'!I$8)</f>
        <v>107.0070111284959</v>
      </c>
    </row>
    <row r="114" spans="1:11" ht="30">
      <c r="A114" s="129" t="str">
        <f>'EGX Service assumptions'!B116</f>
        <v>EGX_112</v>
      </c>
      <c r="B114" s="129" t="str">
        <f>VLOOKUP($A114,'EGX Service assumptions'!$B:$AY,'EGX Service assumptions'!D$3,FALSE)</f>
        <v>Auxiliary metering services</v>
      </c>
      <c r="C114" s="129" t="str">
        <f>VLOOKUP($A114,'EGX Service assumptions'!$B:$AY,'EGX Service assumptions'!E$3,FALSE)</f>
        <v>Meter inspection and investigation on request</v>
      </c>
      <c r="D114" s="143" t="str">
        <f>VLOOKUP($A114,'EGX Service assumptions'!$B:$AY,'EGX Service assumptions'!F$3,FALSE)</f>
        <v>Inspection required to check reported or suspected fault and no fault in meter is found. (no physical meter test)</v>
      </c>
      <c r="E114" s="143" t="str">
        <f>VLOOKUP($A114,'EGX Service assumptions'!$B:$AY,'EGX Service assumptions'!G$3,FALSE)</f>
        <v>AFTER HOURS - NO CT</v>
      </c>
      <c r="F114" s="129" t="str">
        <f>VLOOKUP($A114,'EGX Service assumptions'!$B:$AY,'EGX Service assumptions'!K$3,FALSE)</f>
        <v>No</v>
      </c>
      <c r="G114" s="168">
        <f>VLOOKUP($A114,'EGX Service assumptions'!$B:$AY,'EGX Service assumptions'!$AY$3,FALSE)</f>
        <v>160.64094107279527</v>
      </c>
      <c r="H114" s="144">
        <f>G114*(1+'Escalators &amp; overheads'!F$5)*(1-'Escalators &amp; overheads'!F$8)</f>
        <v>165.86938441530205</v>
      </c>
      <c r="I114" s="144">
        <f>H114*(1+'Escalators &amp; overheads'!G$5)*(1-'Escalators &amp; overheads'!G$8)</f>
        <v>171.3493940105767</v>
      </c>
      <c r="J114" s="144">
        <f>I114*(1+'Escalators &amp; overheads'!H$5)*(1-'Escalators &amp; overheads'!H$8)</f>
        <v>177.0566270629291</v>
      </c>
      <c r="K114" s="144">
        <f>J114*(1+'Escalators &amp; overheads'!I$5)*(1-'Escalators &amp; overheads'!I$8)</f>
        <v>182.52019441317236</v>
      </c>
    </row>
    <row r="115" spans="1:11" ht="30">
      <c r="A115" s="129" t="str">
        <f>'EGX Service assumptions'!B117</f>
        <v>EGX_113</v>
      </c>
      <c r="B115" s="129" t="str">
        <f>VLOOKUP($A115,'EGX Service assumptions'!$B:$AY,'EGX Service assumptions'!D$3,FALSE)</f>
        <v>Auxiliary metering services</v>
      </c>
      <c r="C115" s="129" t="str">
        <f>VLOOKUP($A115,'EGX Service assumptions'!$B:$AY,'EGX Service assumptions'!E$3,FALSE)</f>
        <v>Meter inspection and investigation on request</v>
      </c>
      <c r="D115" s="143" t="str">
        <f>VLOOKUP($A115,'EGX Service assumptions'!$B:$AY,'EGX Service assumptions'!F$3,FALSE)</f>
        <v>Inspection required to check reported or suspected fault and no fault in meter is found. (no physical meter test)</v>
      </c>
      <c r="E115" s="143" t="str">
        <f>VLOOKUP($A115,'EGX Service assumptions'!$B:$AY,'EGX Service assumptions'!G$3,FALSE)</f>
        <v>BUSINESS HOURS - CT</v>
      </c>
      <c r="F115" s="129" t="str">
        <f>VLOOKUP($A115,'EGX Service assumptions'!$B:$AY,'EGX Service assumptions'!K$3,FALSE)</f>
        <v>No</v>
      </c>
      <c r="G115" s="168">
        <f>VLOOKUP($A115,'EGX Service assumptions'!$B:$AY,'EGX Service assumptions'!$AY$3,FALSE)</f>
        <v>366.66583679349526</v>
      </c>
      <c r="H115" s="144">
        <f>G115*(1+'Escalators &amp; overheads'!F$5)*(1-'Escalators &amp; overheads'!F$8)</f>
        <v>378.59985274549899</v>
      </c>
      <c r="I115" s="144">
        <f>H115*(1+'Escalators &amp; overheads'!G$5)*(1-'Escalators &amp; overheads'!G$8)</f>
        <v>391.10807319334378</v>
      </c>
      <c r="J115" s="144">
        <f>I115*(1+'Escalators &amp; overheads'!H$5)*(1-'Escalators &amp; overheads'!H$8)</f>
        <v>404.13493526811209</v>
      </c>
      <c r="K115" s="144">
        <f>J115*(1+'Escalators &amp; overheads'!I$5)*(1-'Escalators &amp; overheads'!I$8)</f>
        <v>416.60562599599297</v>
      </c>
    </row>
    <row r="116" spans="1:11" ht="30">
      <c r="A116" s="129" t="str">
        <f>'EGX Service assumptions'!B118</f>
        <v>EGX_114</v>
      </c>
      <c r="B116" s="129" t="str">
        <f>VLOOKUP($A116,'EGX Service assumptions'!$B:$AY,'EGX Service assumptions'!D$3,FALSE)</f>
        <v>Auxiliary metering services</v>
      </c>
      <c r="C116" s="129" t="str">
        <f>VLOOKUP($A116,'EGX Service assumptions'!$B:$AY,'EGX Service assumptions'!E$3,FALSE)</f>
        <v>Meter inspection and investigation on request</v>
      </c>
      <c r="D116" s="143" t="str">
        <f>VLOOKUP($A116,'EGX Service assumptions'!$B:$AY,'EGX Service assumptions'!F$3,FALSE)</f>
        <v>Inspection required to check reported or suspected fault and no fault in meter is found. (no physical meter test)</v>
      </c>
      <c r="E116" s="143" t="str">
        <f>VLOOKUP($A116,'EGX Service assumptions'!$B:$AY,'EGX Service assumptions'!G$3,FALSE)</f>
        <v>AFTER HOURS - CT</v>
      </c>
      <c r="F116" s="129" t="str">
        <f>VLOOKUP($A116,'EGX Service assumptions'!$B:$AY,'EGX Service assumptions'!K$3,FALSE)</f>
        <v>No</v>
      </c>
      <c r="G116" s="168">
        <f>VLOOKUP($A116,'EGX Service assumptions'!$B:$AY,'EGX Service assumptions'!$AY$3,FALSE)</f>
        <v>510.65120441057456</v>
      </c>
      <c r="H116" s="144">
        <f>G116*(1+'Escalators &amp; overheads'!F$5)*(1-'Escalators &amp; overheads'!F$8)</f>
        <v>527.2715682618649</v>
      </c>
      <c r="I116" s="144">
        <f>H116*(1+'Escalators &amp; overheads'!G$5)*(1-'Escalators &amp; overheads'!G$8)</f>
        <v>544.691619970479</v>
      </c>
      <c r="J116" s="144">
        <f>I116*(1+'Escalators &amp; overheads'!H$5)*(1-'Escalators &amp; overheads'!H$8)</f>
        <v>562.83397778146139</v>
      </c>
      <c r="K116" s="144">
        <f>J116*(1+'Escalators &amp; overheads'!I$5)*(1-'Escalators &amp; overheads'!I$8)</f>
        <v>580.2017622898685</v>
      </c>
    </row>
    <row r="117" spans="1:11" ht="60">
      <c r="A117" s="129" t="str">
        <f>'EGX Service assumptions'!B119</f>
        <v>EGX_115</v>
      </c>
      <c r="B117" s="129" t="str">
        <f>VLOOKUP($A117,'EGX Service assumptions'!$B:$AY,'EGX Service assumptions'!D$3,FALSE)</f>
        <v>Auxiliary metering services</v>
      </c>
      <c r="C117" s="129" t="str">
        <f>VLOOKUP($A117,'EGX Service assumptions'!$B:$AY,'EGX Service assumptions'!E$3,FALSE)</f>
        <v>Meter inspection and investigation on request</v>
      </c>
      <c r="D117" s="143" t="str">
        <f>VLOOKUP($A117,'EGX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7" s="143" t="str">
        <f>VLOOKUP($A117,'EGX Service assumptions'!$B:$AY,'EGX Service assumptions'!G$3,FALSE)</f>
        <v>BUSINESS HOURS</v>
      </c>
      <c r="F117" s="129" t="str">
        <f>VLOOKUP($A117,'EGX Service assumptions'!$B:$AY,'EGX Service assumptions'!K$3,FALSE)</f>
        <v>No</v>
      </c>
      <c r="G117" s="168">
        <f>VLOOKUP($A117,'EGX Service assumptions'!$B:$AY,'EGX Service assumptions'!$AY$3,FALSE)</f>
        <v>146.93527606243543</v>
      </c>
      <c r="H117" s="144">
        <f>G117*(1+'Escalators &amp; overheads'!F$5)*(1-'Escalators &amp; overheads'!F$8)</f>
        <v>151.71763578205326</v>
      </c>
      <c r="I117" s="144">
        <f>H117*(1+'Escalators &amp; overheads'!G$5)*(1-'Escalators &amp; overheads'!G$8)</f>
        <v>156.73009846640468</v>
      </c>
      <c r="J117" s="144">
        <f>I117*(1+'Escalators &amp; overheads'!H$5)*(1-'Escalators &amp; overheads'!H$8)</f>
        <v>161.95039821377756</v>
      </c>
      <c r="K117" s="144">
        <f>J117*(1+'Escalators &amp; overheads'!I$5)*(1-'Escalators &amp; overheads'!I$8)</f>
        <v>166.94782148291736</v>
      </c>
    </row>
    <row r="118" spans="1:11" ht="60">
      <c r="A118" s="129" t="str">
        <f>'EGX Service assumptions'!B120</f>
        <v>EGX_116</v>
      </c>
      <c r="B118" s="129" t="str">
        <f>VLOOKUP($A118,'EGX Service assumptions'!$B:$AY,'EGX Service assumptions'!D$3,FALSE)</f>
        <v>Auxiliary metering services</v>
      </c>
      <c r="C118" s="129" t="str">
        <f>VLOOKUP($A118,'EGX Service assumptions'!$B:$AY,'EGX Service assumptions'!E$3,FALSE)</f>
        <v>Meter inspection and investigation on request</v>
      </c>
      <c r="D118" s="143"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8" s="143" t="str">
        <f>VLOOKUP($A118,'EGX Service assumptions'!$B:$AY,'EGX Service assumptions'!G$3,FALSE)</f>
        <v>AFTER HOURS</v>
      </c>
      <c r="F118" s="129" t="str">
        <f>VLOOKUP($A118,'EGX Service assumptions'!$B:$AY,'EGX Service assumptions'!K$3,FALSE)</f>
        <v>No</v>
      </c>
      <c r="G118" s="168">
        <f>VLOOKUP($A118,'EGX Service assumptions'!$B:$AY,'EGX Service assumptions'!$AY$3,FALSE)</f>
        <v>202.92958569129962</v>
      </c>
      <c r="H118" s="144">
        <f>G118*(1+'Escalators &amp; overheads'!F$5)*(1-'Escalators &amp; overheads'!F$8)</f>
        <v>209.53441403841779</v>
      </c>
      <c r="I118" s="144">
        <f>H118*(1+'Escalators &amp; overheads'!G$5)*(1-'Escalators &amp; overheads'!G$8)</f>
        <v>216.45703332417946</v>
      </c>
      <c r="J118" s="144">
        <f>I118*(1+'Escalators &amp; overheads'!H$5)*(1-'Escalators &amp; overheads'!H$8)</f>
        <v>223.66669252452451</v>
      </c>
      <c r="K118" s="144">
        <f>J118*(1+'Escalators &amp; overheads'!I$5)*(1-'Escalators &amp; overheads'!I$8)</f>
        <v>230.5685411527578</v>
      </c>
    </row>
    <row r="119" spans="1:11" ht="75">
      <c r="A119" s="129" t="str">
        <f>'EGX Service assumptions'!B121</f>
        <v>EGX_117</v>
      </c>
      <c r="B119" s="129" t="str">
        <f>VLOOKUP($A119,'EGX Service assumptions'!$B:$AY,'EGX Service assumptions'!D$3,FALSE)</f>
        <v>Auxiliary metering services</v>
      </c>
      <c r="C119" s="129" t="str">
        <f>VLOOKUP($A119,'EGX Service assumptions'!$B:$AY,'EGX Service assumptions'!E$3,FALSE)</f>
        <v>Meter inspection and investigation on request</v>
      </c>
      <c r="D119" s="143"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19" s="143" t="str">
        <f>VLOOKUP($A119,'EGX Service assumptions'!$B:$AY,'EGX Service assumptions'!G$3,FALSE)</f>
        <v>BUSINESS HOURS</v>
      </c>
      <c r="F119" s="129" t="str">
        <f>VLOOKUP($A119,'EGX Service assumptions'!$B:$AY,'EGX Service assumptions'!K$3,FALSE)</f>
        <v>No</v>
      </c>
      <c r="G119" s="168">
        <f>VLOOKUP($A119,'EGX Service assumptions'!$B:$AY,'EGX Service assumptions'!$AY$3,FALSE)</f>
        <v>72.027130358665019</v>
      </c>
      <c r="H119" s="144">
        <f>G119*(1+'Escalators &amp; overheads'!F$5)*(1-'Escalators &amp; overheads'!F$8)</f>
        <v>74.371425453605838</v>
      </c>
      <c r="I119" s="144">
        <f>H119*(1+'Escalators &amp; overheads'!G$5)*(1-'Escalators &amp; overheads'!G$8)</f>
        <v>76.828516173129941</v>
      </c>
      <c r="J119" s="144">
        <f>I119*(1+'Escalators &amp; overheads'!H$5)*(1-'Escalators &amp; overheads'!H$8)</f>
        <v>79.387487854345295</v>
      </c>
      <c r="K119" s="144">
        <f>J119*(1+'Escalators &amp; overheads'!I$5)*(1-'Escalators &amp; overheads'!I$8)</f>
        <v>81.837206308005193</v>
      </c>
    </row>
    <row r="120" spans="1:11" ht="75">
      <c r="A120" s="129" t="str">
        <f>'EGX Service assumptions'!B122</f>
        <v>EGX_118</v>
      </c>
      <c r="B120" s="129" t="str">
        <f>VLOOKUP($A120,'EGX Service assumptions'!$B:$AY,'EGX Service assumptions'!D$3,FALSE)</f>
        <v>Auxiliary metering services</v>
      </c>
      <c r="C120" s="129" t="str">
        <f>VLOOKUP($A120,'EGX Service assumptions'!$B:$AY,'EGX Service assumptions'!E$3,FALSE)</f>
        <v>Meter inspection and investigation on request</v>
      </c>
      <c r="D120" s="143"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20" s="143" t="str">
        <f>VLOOKUP($A120,'EGX Service assumptions'!$B:$AY,'EGX Service assumptions'!G$3,FALSE)</f>
        <v>AFTER HOURS</v>
      </c>
      <c r="F120" s="129" t="str">
        <f>VLOOKUP($A120,'EGX Service assumptions'!$B:$AY,'EGX Service assumptions'!K$3,FALSE)</f>
        <v>No</v>
      </c>
      <c r="G120" s="168">
        <f>VLOOKUP($A120,'EGX Service assumptions'!$B:$AY,'EGX Service assumptions'!$AY$3,FALSE)</f>
        <v>98.024488400637679</v>
      </c>
      <c r="H120" s="144">
        <f>G120*(1+'Escalators &amp; overheads'!F$5)*(1-'Escalators &amp; overheads'!F$8)</f>
        <v>101.2149296440608</v>
      </c>
      <c r="I120" s="144">
        <f>H120*(1+'Escalators &amp; overheads'!G$5)*(1-'Escalators &amp; overheads'!G$8)</f>
        <v>104.55887878566826</v>
      </c>
      <c r="J120" s="144">
        <f>I120*(1+'Escalators &amp; overheads'!H$5)*(1-'Escalators &amp; overheads'!H$8)</f>
        <v>108.04148164147783</v>
      </c>
      <c r="K120" s="144">
        <f>J120*(1+'Escalators &amp; overheads'!I$5)*(1-'Escalators &amp; overheads'!I$8)</f>
        <v>111.37539758328828</v>
      </c>
    </row>
    <row r="121" spans="1:11">
      <c r="A121" s="129" t="str">
        <f>'EGX Service assumptions'!B123</f>
        <v>EGX_119</v>
      </c>
      <c r="B121" s="129" t="str">
        <f>VLOOKUP($A121,'EGX Service assumptions'!$B:$AY,'EGX Service assumptions'!D$3,FALSE)</f>
        <v>Auxiliary metering services</v>
      </c>
      <c r="C121" s="129" t="str">
        <f>VLOOKUP($A121,'EGX Service assumptions'!$B:$AY,'EGX Service assumptions'!E$3,FALSE)</f>
        <v>Meter reconfiguration</v>
      </c>
      <c r="D121" s="143" t="str">
        <f>VLOOKUP($A121,'EGX Service assumptions'!$B:$AY,'EGX Service assumptions'!F$3,FALSE)</f>
        <v>A request to make a change from one tariff to another tariff (Controlled Load)</v>
      </c>
      <c r="E121" s="143" t="str">
        <f>VLOOKUP($A121,'EGX Service assumptions'!$B:$AY,'EGX Service assumptions'!G$3,FALSE)</f>
        <v>BUSINESS HOURS - NO CT</v>
      </c>
      <c r="F121" s="129" t="str">
        <f>VLOOKUP($A121,'EGX Service assumptions'!$B:$AY,'EGX Service assumptions'!K$3,FALSE)</f>
        <v>No</v>
      </c>
      <c r="G121" s="168">
        <f>VLOOKUP($A121,'EGX Service assumptions'!$B:$AY,'EGX Service assumptions'!$AY$3,FALSE)</f>
        <v>93.525702166402553</v>
      </c>
      <c r="H121" s="144">
        <f>G121*(1+'Escalators &amp; overheads'!F$5)*(1-'Escalators &amp; overheads'!F$8)</f>
        <v>96.569719660197066</v>
      </c>
      <c r="I121" s="144">
        <f>H121*(1+'Escalators &amp; overheads'!G$5)*(1-'Escalators &amp; overheads'!G$8)</f>
        <v>99.760199881826466</v>
      </c>
      <c r="J121" s="144">
        <f>I121*(1+'Escalators &amp; overheads'!H$5)*(1-'Escalators &amp; overheads'!H$8)</f>
        <v>103.08297037286012</v>
      </c>
      <c r="K121" s="144">
        <f>J121*(1+'Escalators &amp; overheads'!I$5)*(1-'Escalators &amp; overheads'!I$8)</f>
        <v>106.26387786351891</v>
      </c>
    </row>
    <row r="122" spans="1:11">
      <c r="A122" s="129" t="str">
        <f>'EGX Service assumptions'!B124</f>
        <v>EGX_120</v>
      </c>
      <c r="B122" s="129" t="str">
        <f>VLOOKUP($A122,'EGX Service assumptions'!$B:$AY,'EGX Service assumptions'!D$3,FALSE)</f>
        <v>Auxiliary metering services</v>
      </c>
      <c r="C122" s="129" t="str">
        <f>VLOOKUP($A122,'EGX Service assumptions'!$B:$AY,'EGX Service assumptions'!E$3,FALSE)</f>
        <v>Meter reconfiguration</v>
      </c>
      <c r="D122" s="143" t="str">
        <f>VLOOKUP($A122,'EGX Service assumptions'!$B:$AY,'EGX Service assumptions'!F$3,FALSE)</f>
        <v>A request to make a change from one tariff to another tariff (Controlled Load)</v>
      </c>
      <c r="E122" s="143" t="str">
        <f>VLOOKUP($A122,'EGX Service assumptions'!$B:$AY,'EGX Service assumptions'!G$3,FALSE)</f>
        <v>AFTER HOURS - NO CT</v>
      </c>
      <c r="F122" s="129" t="str">
        <f>VLOOKUP($A122,'EGX Service assumptions'!$B:$AY,'EGX Service assumptions'!K$3,FALSE)</f>
        <v>No</v>
      </c>
      <c r="G122" s="168">
        <f>VLOOKUP($A122,'EGX Service assumptions'!$B:$AY,'EGX Service assumptions'!$AY$3,FALSE)</f>
        <v>159.7249746295717</v>
      </c>
      <c r="H122" s="144">
        <f>G122*(1+'Escalators &amp; overheads'!F$5)*(1-'Escalators &amp; overheads'!F$8)</f>
        <v>164.92360565511839</v>
      </c>
      <c r="I122" s="144">
        <f>H122*(1+'Escalators &amp; overheads'!G$5)*(1-'Escalators &amp; overheads'!G$8)</f>
        <v>170.37236851550534</v>
      </c>
      <c r="J122" s="144">
        <f>I122*(1+'Escalators &amp; overheads'!H$5)*(1-'Escalators &amp; overheads'!H$8)</f>
        <v>176.04705921642042</v>
      </c>
      <c r="K122" s="144">
        <f>J122*(1+'Escalators &amp; overheads'!I$5)*(1-'Escalators &amp; overheads'!I$8)</f>
        <v>181.47947358461755</v>
      </c>
    </row>
    <row r="123" spans="1:11">
      <c r="A123" s="129" t="str">
        <f>'EGX Service assumptions'!B125</f>
        <v>EGX_121</v>
      </c>
      <c r="B123" s="129" t="str">
        <f>VLOOKUP($A123,'EGX Service assumptions'!$B:$AY,'EGX Service assumptions'!D$3,FALSE)</f>
        <v>Auxiliary metering services</v>
      </c>
      <c r="C123" s="129" t="str">
        <f>VLOOKUP($A123,'EGX Service assumptions'!$B:$AY,'EGX Service assumptions'!E$3,FALSE)</f>
        <v>Meter reconfiguration</v>
      </c>
      <c r="D123" s="143" t="str">
        <f>VLOOKUP($A123,'EGX Service assumptions'!$B:$AY,'EGX Service assumptions'!F$3,FALSE)</f>
        <v>A request to make a change from one tariff to another tariff (Controlled Load)</v>
      </c>
      <c r="E123" s="143" t="str">
        <f>VLOOKUP($A123,'EGX Service assumptions'!$B:$AY,'EGX Service assumptions'!G$3,FALSE)</f>
        <v>BUSINESS HOURS - CT</v>
      </c>
      <c r="F123" s="129" t="str">
        <f>VLOOKUP($A123,'EGX Service assumptions'!$B:$AY,'EGX Service assumptions'!K$3,FALSE)</f>
        <v>No</v>
      </c>
      <c r="G123" s="168">
        <f>VLOOKUP($A123,'EGX Service assumptions'!$B:$AY,'EGX Service assumptions'!$AY$3,FALSE)</f>
        <v>306.739320230479</v>
      </c>
      <c r="H123" s="144">
        <f>G123*(1+'Escalators &amp; overheads'!F$5)*(1-'Escalators &amp; overheads'!F$8)</f>
        <v>316.72288448274111</v>
      </c>
      <c r="I123" s="144">
        <f>H123*(1+'Escalators &amp; overheads'!G$5)*(1-'Escalators &amp; overheads'!G$8)</f>
        <v>327.18680735872408</v>
      </c>
      <c r="J123" s="144">
        <f>I123*(1+'Escalators &amp; overheads'!H$5)*(1-'Escalators &amp; overheads'!H$8)</f>
        <v>338.08460698056638</v>
      </c>
      <c r="K123" s="144">
        <f>J123*(1+'Escalators &amp; overheads'!I$5)*(1-'Escalators &amp; overheads'!I$8)</f>
        <v>348.51713385606337</v>
      </c>
    </row>
    <row r="124" spans="1:11">
      <c r="A124" s="129" t="str">
        <f>'EGX Service assumptions'!B126</f>
        <v>EGX_122</v>
      </c>
      <c r="B124" s="129" t="str">
        <f>VLOOKUP($A124,'EGX Service assumptions'!$B:$AY,'EGX Service assumptions'!D$3,FALSE)</f>
        <v>Auxiliary metering services</v>
      </c>
      <c r="C124" s="129" t="str">
        <f>VLOOKUP($A124,'EGX Service assumptions'!$B:$AY,'EGX Service assumptions'!E$3,FALSE)</f>
        <v>Meter reconfiguration</v>
      </c>
      <c r="D124" s="143" t="str">
        <f>VLOOKUP($A124,'EGX Service assumptions'!$B:$AY,'EGX Service assumptions'!F$3,FALSE)</f>
        <v>A request to make a change from one tariff to another tariff (Controlled Load)</v>
      </c>
      <c r="E124" s="143" t="str">
        <f>VLOOKUP($A124,'EGX Service assumptions'!$B:$AY,'EGX Service assumptions'!G$3,FALSE)</f>
        <v>AFTER HOURS - CT</v>
      </c>
      <c r="F124" s="129" t="str">
        <f>VLOOKUP($A124,'EGX Service assumptions'!$B:$AY,'EGX Service assumptions'!K$3,FALSE)</f>
        <v>No</v>
      </c>
      <c r="G124" s="168">
        <f>VLOOKUP($A124,'EGX Service assumptions'!$B:$AY,'EGX Service assumptions'!$AY$3,FALSE)</f>
        <v>426.72712657804504</v>
      </c>
      <c r="H124" s="144">
        <f>G124*(1+'Escalators &amp; overheads'!F$5)*(1-'Escalators &amp; overheads'!F$8)</f>
        <v>440.61598074637931</v>
      </c>
      <c r="I124" s="144">
        <f>H124*(1+'Escalators &amp; overheads'!G$5)*(1-'Escalators &amp; overheads'!G$8)</f>
        <v>455.17309633966994</v>
      </c>
      <c r="J124" s="144">
        <f>I124*(1+'Escalators &amp; overheads'!H$5)*(1-'Escalators &amp; overheads'!H$8)</f>
        <v>470.33380907502402</v>
      </c>
      <c r="K124" s="144">
        <f>J124*(1+'Escalators &amp; overheads'!I$5)*(1-'Escalators &amp; overheads'!I$8)</f>
        <v>484.84724743429274</v>
      </c>
    </row>
    <row r="125" spans="1:11">
      <c r="A125" s="129" t="str">
        <f>'EGX Service assumptions'!B127</f>
        <v>EGX_123</v>
      </c>
      <c r="B125" s="129" t="str">
        <f>VLOOKUP($A125,'EGX Service assumptions'!$B:$AY,'EGX Service assumptions'!D$3,FALSE)</f>
        <v>Auxiliary metering services</v>
      </c>
      <c r="C125" s="129" t="str">
        <f>VLOOKUP($A125,'EGX Service assumptions'!$B:$AY,'EGX Service assumptions'!E$3,FALSE)</f>
        <v>Meter reconfiguration</v>
      </c>
      <c r="D125" s="143" t="str">
        <f>VLOOKUP($A125,'EGX Service assumptions'!$B:$AY,'EGX Service assumptions'!F$3,FALSE)</f>
        <v>A request to make a change from one tariff to another tariff</v>
      </c>
      <c r="E125" s="143" t="str">
        <f>VLOOKUP($A125,'EGX Service assumptions'!$B:$AY,'EGX Service assumptions'!G$3,FALSE)</f>
        <v>BUSINESS HOURS - NO CT</v>
      </c>
      <c r="F125" s="129" t="str">
        <f>VLOOKUP($A125,'EGX Service assumptions'!$B:$AY,'EGX Service assumptions'!K$3,FALSE)</f>
        <v>No</v>
      </c>
      <c r="G125" s="168">
        <f>VLOOKUP($A125,'EGX Service assumptions'!$B:$AY,'EGX Service assumptions'!$AY$3,FALSE)</f>
        <v>93.525702166402553</v>
      </c>
      <c r="H125" s="144">
        <f>G125*(1+'Escalators &amp; overheads'!F$5)*(1-'Escalators &amp; overheads'!F$8)</f>
        <v>96.569719660197066</v>
      </c>
      <c r="I125" s="144">
        <f>H125*(1+'Escalators &amp; overheads'!G$5)*(1-'Escalators &amp; overheads'!G$8)</f>
        <v>99.760199881826466</v>
      </c>
      <c r="J125" s="144">
        <f>I125*(1+'Escalators &amp; overheads'!H$5)*(1-'Escalators &amp; overheads'!H$8)</f>
        <v>103.08297037286012</v>
      </c>
      <c r="K125" s="144">
        <f>J125*(1+'Escalators &amp; overheads'!I$5)*(1-'Escalators &amp; overheads'!I$8)</f>
        <v>106.26387786351891</v>
      </c>
    </row>
    <row r="126" spans="1:11">
      <c r="A126" s="129" t="str">
        <f>'EGX Service assumptions'!B128</f>
        <v>EGX_124</v>
      </c>
      <c r="B126" s="129" t="str">
        <f>VLOOKUP($A126,'EGX Service assumptions'!$B:$AY,'EGX Service assumptions'!D$3,FALSE)</f>
        <v>Auxiliary metering services</v>
      </c>
      <c r="C126" s="129" t="str">
        <f>VLOOKUP($A126,'EGX Service assumptions'!$B:$AY,'EGX Service assumptions'!E$3,FALSE)</f>
        <v>Meter reconfiguration</v>
      </c>
      <c r="D126" s="143" t="str">
        <f>VLOOKUP($A126,'EGX Service assumptions'!$B:$AY,'EGX Service assumptions'!F$3,FALSE)</f>
        <v>A request to make a change from one tariff to another tariff</v>
      </c>
      <c r="E126" s="143" t="str">
        <f>VLOOKUP($A126,'EGX Service assumptions'!$B:$AY,'EGX Service assumptions'!G$3,FALSE)</f>
        <v>AFTER HOURS - NO CT</v>
      </c>
      <c r="F126" s="129" t="str">
        <f>VLOOKUP($A126,'EGX Service assumptions'!$B:$AY,'EGX Service assumptions'!K$3,FALSE)</f>
        <v>No</v>
      </c>
      <c r="G126" s="168">
        <f>VLOOKUP($A126,'EGX Service assumptions'!$B:$AY,'EGX Service assumptions'!$AY$3,FALSE)</f>
        <v>159.7249746295717</v>
      </c>
      <c r="H126" s="144">
        <f>G126*(1+'Escalators &amp; overheads'!F$5)*(1-'Escalators &amp; overheads'!F$8)</f>
        <v>164.92360565511839</v>
      </c>
      <c r="I126" s="144">
        <f>H126*(1+'Escalators &amp; overheads'!G$5)*(1-'Escalators &amp; overheads'!G$8)</f>
        <v>170.37236851550534</v>
      </c>
      <c r="J126" s="144">
        <f>I126*(1+'Escalators &amp; overheads'!H$5)*(1-'Escalators &amp; overheads'!H$8)</f>
        <v>176.04705921642042</v>
      </c>
      <c r="K126" s="144">
        <f>J126*(1+'Escalators &amp; overheads'!I$5)*(1-'Escalators &amp; overheads'!I$8)</f>
        <v>181.47947358461755</v>
      </c>
    </row>
    <row r="127" spans="1:11">
      <c r="A127" s="129" t="str">
        <f>'EGX Service assumptions'!B129</f>
        <v>EGX_125</v>
      </c>
      <c r="B127" s="129" t="str">
        <f>VLOOKUP($A127,'EGX Service assumptions'!$B:$AY,'EGX Service assumptions'!D$3,FALSE)</f>
        <v>Auxiliary metering services</v>
      </c>
      <c r="C127" s="129" t="str">
        <f>VLOOKUP($A127,'EGX Service assumptions'!$B:$AY,'EGX Service assumptions'!E$3,FALSE)</f>
        <v>Meter reconfiguration</v>
      </c>
      <c r="D127" s="143" t="str">
        <f>VLOOKUP($A127,'EGX Service assumptions'!$B:$AY,'EGX Service assumptions'!F$3,FALSE)</f>
        <v>A request to make a change from one tariff to another tariff</v>
      </c>
      <c r="E127" s="143" t="str">
        <f>VLOOKUP($A127,'EGX Service assumptions'!$B:$AY,'EGX Service assumptions'!G$3,FALSE)</f>
        <v>BUSINESS HOURS - CT</v>
      </c>
      <c r="F127" s="129" t="str">
        <f>VLOOKUP($A127,'EGX Service assumptions'!$B:$AY,'EGX Service assumptions'!K$3,FALSE)</f>
        <v>No</v>
      </c>
      <c r="G127" s="168">
        <f>VLOOKUP($A127,'EGX Service assumptions'!$B:$AY,'EGX Service assumptions'!$AY$3,FALSE)</f>
        <v>456.55561163801985</v>
      </c>
      <c r="H127" s="144">
        <f>G127*(1+'Escalators &amp; overheads'!F$5)*(1-'Escalators &amp; overheads'!F$8)</f>
        <v>471.41530513963602</v>
      </c>
      <c r="I127" s="144">
        <f>H127*(1+'Escalators &amp; overheads'!G$5)*(1-'Escalators &amp; overheads'!G$8)</f>
        <v>486.98997194527362</v>
      </c>
      <c r="J127" s="144">
        <f>I127*(1+'Escalators &amp; overheads'!H$5)*(1-'Escalators &amp; overheads'!H$8)</f>
        <v>503.21042769943097</v>
      </c>
      <c r="K127" s="144">
        <f>J127*(1+'Escalators &amp; overheads'!I$5)*(1-'Escalators &amp; overheads'!I$8)</f>
        <v>518.73836420588782</v>
      </c>
    </row>
    <row r="128" spans="1:11">
      <c r="A128" s="129" t="str">
        <f>'EGX Service assumptions'!B130</f>
        <v>EGX_126</v>
      </c>
      <c r="B128" s="129" t="str">
        <f>VLOOKUP($A128,'EGX Service assumptions'!$B:$AY,'EGX Service assumptions'!D$3,FALSE)</f>
        <v>Auxiliary metering services</v>
      </c>
      <c r="C128" s="129" t="str">
        <f>VLOOKUP($A128,'EGX Service assumptions'!$B:$AY,'EGX Service assumptions'!E$3,FALSE)</f>
        <v>Meter reconfiguration</v>
      </c>
      <c r="D128" s="143" t="str">
        <f>VLOOKUP($A128,'EGX Service assumptions'!$B:$AY,'EGX Service assumptions'!F$3,FALSE)</f>
        <v>A request to make a change from one tariff to another tariff</v>
      </c>
      <c r="E128" s="143" t="str">
        <f>VLOOKUP($A128,'EGX Service assumptions'!$B:$AY,'EGX Service assumptions'!G$3,FALSE)</f>
        <v>AFTER HOURS - CT</v>
      </c>
      <c r="F128" s="129" t="str">
        <f>VLOOKUP($A128,'EGX Service assumptions'!$B:$AY,'EGX Service assumptions'!K$3,FALSE)</f>
        <v>No</v>
      </c>
      <c r="G128" s="168">
        <f>VLOOKUP($A128,'EGX Service assumptions'!$B:$AY,'EGX Service assumptions'!$AY$3,FALSE)</f>
        <v>636.53732115936884</v>
      </c>
      <c r="H128" s="144">
        <f>G128*(1+'Escalators &amp; overheads'!F$5)*(1-'Escalators &amp; overheads'!F$8)</f>
        <v>657.25494953509315</v>
      </c>
      <c r="I128" s="144">
        <f>H128*(1+'Escalators &amp; overheads'!G$5)*(1-'Escalators &amp; overheads'!G$8)</f>
        <v>678.96940541669221</v>
      </c>
      <c r="J128" s="144">
        <f>I128*(1+'Escalators &amp; overheads'!H$5)*(1-'Escalators &amp; overheads'!H$8)</f>
        <v>701.58423084111712</v>
      </c>
      <c r="K128" s="144">
        <f>J128*(1+'Escalators &amp; overheads'!I$5)*(1-'Escalators &amp; overheads'!I$8)</f>
        <v>723.23353457323162</v>
      </c>
    </row>
    <row r="129" spans="1:13" ht="30">
      <c r="A129" s="129" t="str">
        <f>'EGX Service assumptions'!B131</f>
        <v>EGX_127</v>
      </c>
      <c r="B129" s="129" t="str">
        <f>VLOOKUP($A129,'EGX Service assumptions'!$B:$AY,'EGX Service assumptions'!D$3,FALSE)</f>
        <v>Auxiliary metering services</v>
      </c>
      <c r="C129" s="129" t="str">
        <f>VLOOKUP($A129,'EGX Service assumptions'!$B:$AY,'EGX Service assumptions'!E$3,FALSE)</f>
        <v>Load control time switch</v>
      </c>
      <c r="D129" s="143" t="str">
        <f>VLOOKUP($A129,'EGX Service assumptions'!$B:$AY,'EGX Service assumptions'!F$3,FALSE)</f>
        <v>Change load control equipment (inc. time switch and relay install, modify and removal)</v>
      </c>
      <c r="E129" s="143" t="str">
        <f>VLOOKUP($A129,'EGX Service assumptions'!$B:$AY,'EGX Service assumptions'!G$3,FALSE)</f>
        <v>BUSINESS HOURS - NO CT</v>
      </c>
      <c r="F129" s="129" t="str">
        <f>VLOOKUP($A129,'EGX Service assumptions'!$B:$AY,'EGX Service assumptions'!K$3,FALSE)</f>
        <v>No</v>
      </c>
      <c r="G129" s="168">
        <f>VLOOKUP($A129,'EGX Service assumptions'!$B:$AY,'EGX Service assumptions'!$AY$3,FALSE)</f>
        <v>141.94139968218408</v>
      </c>
      <c r="H129" s="144">
        <f>G129*(1+'Escalators &amp; overheads'!F$5)*(1-'Escalators &amp; overheads'!F$8)</f>
        <v>146.5612217601568</v>
      </c>
      <c r="I129" s="144">
        <f>H129*(1+'Escalators &amp; overheads'!G$5)*(1-'Escalators &amp; overheads'!G$8)</f>
        <v>151.40332631351973</v>
      </c>
      <c r="J129" s="144">
        <f>I129*(1+'Escalators &amp; overheads'!H$5)*(1-'Escalators &amp; overheads'!H$8)</f>
        <v>156.44620418981543</v>
      </c>
      <c r="K129" s="144">
        <f>J129*(1+'Escalators &amp; overheads'!I$5)*(1-'Escalators &amp; overheads'!I$8)</f>
        <v>161.2737804712566</v>
      </c>
    </row>
    <row r="130" spans="1:13" ht="30">
      <c r="A130" s="129" t="str">
        <f>'EGX Service assumptions'!B132</f>
        <v>EGX_128</v>
      </c>
      <c r="B130" s="129" t="str">
        <f>VLOOKUP($A130,'EGX Service assumptions'!$B:$AY,'EGX Service assumptions'!D$3,FALSE)</f>
        <v>Auxiliary metering services</v>
      </c>
      <c r="C130" s="129" t="str">
        <f>VLOOKUP($A130,'EGX Service assumptions'!$B:$AY,'EGX Service assumptions'!E$3,FALSE)</f>
        <v>Load control time switch</v>
      </c>
      <c r="D130" s="143" t="str">
        <f>VLOOKUP($A130,'EGX Service assumptions'!$B:$AY,'EGX Service assumptions'!F$3,FALSE)</f>
        <v>Change load control equipment (inc. time switch and relay install, modify and removal)</v>
      </c>
      <c r="E130" s="143" t="str">
        <f>VLOOKUP($A130,'EGX Service assumptions'!$B:$AY,'EGX Service assumptions'!G$3,FALSE)</f>
        <v>BUSINESS HOURS - CT</v>
      </c>
      <c r="F130" s="129" t="str">
        <f>VLOOKUP($A130,'EGX Service assumptions'!$B:$AY,'EGX Service assumptions'!K$3,FALSE)</f>
        <v>No</v>
      </c>
      <c r="G130" s="168">
        <f>VLOOKUP($A130,'EGX Service assumptions'!$B:$AY,'EGX Service assumptions'!$AY$3,FALSE)</f>
        <v>421.59847697626026</v>
      </c>
      <c r="H130" s="144">
        <f>G130*(1+'Escalators &amp; overheads'!F$5)*(1-'Escalators &amp; overheads'!F$8)</f>
        <v>435.32040698636047</v>
      </c>
      <c r="I130" s="144">
        <f>H130*(1+'Escalators &amp; overheads'!G$5)*(1-'Escalators &amp; overheads'!G$8)</f>
        <v>449.70256687507867</v>
      </c>
      <c r="J130" s="144">
        <f>I130*(1+'Escalators &amp; overheads'!H$5)*(1-'Escalators &amp; overheads'!H$8)</f>
        <v>464.68106953169587</v>
      </c>
      <c r="K130" s="144">
        <f>J130*(1+'Escalators &amp; overheads'!I$5)*(1-'Escalators &amp; overheads'!I$8)</f>
        <v>479.02007712426206</v>
      </c>
    </row>
    <row r="131" spans="1:13" ht="30">
      <c r="A131" s="129" t="str">
        <f>'EGX Service assumptions'!B133</f>
        <v>EGX_129</v>
      </c>
      <c r="B131" s="129" t="str">
        <f>VLOOKUP($A131,'EGX Service assumptions'!$B:$AY,'EGX Service assumptions'!D$3,FALSE)</f>
        <v>Auxiliary metering services</v>
      </c>
      <c r="C131" s="129" t="str">
        <f>VLOOKUP($A131,'EGX Service assumptions'!$B:$AY,'EGX Service assumptions'!E$3,FALSE)</f>
        <v>Metering alteration</v>
      </c>
      <c r="D131" s="143" t="str">
        <f>VLOOKUP($A131,'EGX Service assumptions'!$B:$AY,'EGX Service assumptions'!F$3,FALSE)</f>
        <v>Meter alteration – meter is being relocated or meter wiring altered and requires DNSP to visit site to verify the integrity of the metering equipment</v>
      </c>
      <c r="E131" s="143" t="str">
        <f>VLOOKUP($A131,'EGX Service assumptions'!$B:$AY,'EGX Service assumptions'!G$3,FALSE)</f>
        <v>BUSINESS HOURS - NO CT</v>
      </c>
      <c r="F131" s="129" t="str">
        <f>VLOOKUP($A131,'EGX Service assumptions'!$B:$AY,'EGX Service assumptions'!K$3,FALSE)</f>
        <v>No</v>
      </c>
      <c r="G131" s="168">
        <f>VLOOKUP($A131,'EGX Service assumptions'!$B:$AY,'EGX Service assumptions'!$AY$3,FALSE)</f>
        <v>132.15317023355016</v>
      </c>
      <c r="H131" s="144">
        <f>G131*(1+'Escalators &amp; overheads'!F$5)*(1-'Escalators &amp; overheads'!F$8)</f>
        <v>136.4544109912575</v>
      </c>
      <c r="I131" s="144">
        <f>H131*(1+'Escalators &amp; overheads'!G$5)*(1-'Escalators &amp; overheads'!G$8)</f>
        <v>140.96260570232837</v>
      </c>
      <c r="J131" s="144">
        <f>I131*(1+'Escalators &amp; overheads'!H$5)*(1-'Escalators &amp; overheads'!H$8)</f>
        <v>145.6577284779618</v>
      </c>
      <c r="K131" s="144">
        <f>J131*(1+'Escalators &amp; overheads'!I$5)*(1-'Escalators &amp; overheads'!I$8)</f>
        <v>150.15239678167882</v>
      </c>
    </row>
    <row r="132" spans="1:13" ht="30">
      <c r="A132" s="129" t="str">
        <f>'EGX Service assumptions'!B134</f>
        <v>EGX_130</v>
      </c>
      <c r="B132" s="129" t="str">
        <f>VLOOKUP($A132,'EGX Service assumptions'!$B:$AY,'EGX Service assumptions'!D$3,FALSE)</f>
        <v>Auxiliary metering services</v>
      </c>
      <c r="C132" s="129" t="str">
        <f>VLOOKUP($A132,'EGX Service assumptions'!$B:$AY,'EGX Service assumptions'!E$3,FALSE)</f>
        <v>Metering alteration</v>
      </c>
      <c r="D132" s="143" t="str">
        <f>VLOOKUP($A132,'EGX Service assumptions'!$B:$AY,'EGX Service assumptions'!F$3,FALSE)</f>
        <v>Meter alteration – meter is being relocated or meter wiring altered and requires DNSP to visit site to verify the integrity of the metering equipment</v>
      </c>
      <c r="E132" s="143" t="str">
        <f>VLOOKUP($A132,'EGX Service assumptions'!$B:$AY,'EGX Service assumptions'!G$3,FALSE)</f>
        <v>AFTER HOURS - NO CT</v>
      </c>
      <c r="F132" s="129" t="str">
        <f>VLOOKUP($A132,'EGX Service assumptions'!$B:$AY,'EGX Service assumptions'!K$3,FALSE)</f>
        <v>No</v>
      </c>
      <c r="G132" s="168">
        <f>VLOOKUP($A132,'EGX Service assumptions'!$B:$AY,'EGX Service assumptions'!$AY$3,FALSE)</f>
        <v>184.22625717548306</v>
      </c>
      <c r="H132" s="144">
        <f>G132*(1+'Escalators &amp; overheads'!F$5)*(1-'Escalators &amp; overheads'!F$8)</f>
        <v>190.22234099702649</v>
      </c>
      <c r="I132" s="144">
        <f>H132*(1+'Escalators &amp; overheads'!G$5)*(1-'Escalators &amp; overheads'!G$8)</f>
        <v>196.5069260491378</v>
      </c>
      <c r="J132" s="144">
        <f>I132*(1+'Escalators &amp; overheads'!H$5)*(1-'Escalators &amp; overheads'!H$8)</f>
        <v>203.05209552487335</v>
      </c>
      <c r="K132" s="144">
        <f>J132*(1+'Escalators &amp; overheads'!I$5)*(1-'Escalators &amp; overheads'!I$8)</f>
        <v>209.31782428019343</v>
      </c>
    </row>
    <row r="133" spans="1:13" ht="30">
      <c r="A133" s="129" t="str">
        <f>'EGX Service assumptions'!B135</f>
        <v>EGX_131</v>
      </c>
      <c r="B133" s="129" t="str">
        <f>VLOOKUP($A133,'EGX Service assumptions'!$B:$AY,'EGX Service assumptions'!D$3,FALSE)</f>
        <v>Auxiliary metering services</v>
      </c>
      <c r="C133" s="129" t="str">
        <f>VLOOKUP($A133,'EGX Service assumptions'!$B:$AY,'EGX Service assumptions'!E$3,FALSE)</f>
        <v>Metering alteration</v>
      </c>
      <c r="D133" s="143" t="str">
        <f>VLOOKUP($A133,'EGX Service assumptions'!$B:$AY,'EGX Service assumptions'!F$3,FALSE)</f>
        <v>Meter alteration – meter is being relocated or meter wiring altered and requires DNSP to visit site to verify the integrity of the metering equipment</v>
      </c>
      <c r="E133" s="143" t="str">
        <f>VLOOKUP($A133,'EGX Service assumptions'!$B:$AY,'EGX Service assumptions'!G$3,FALSE)</f>
        <v>BUSINESS HOURS - CT</v>
      </c>
      <c r="F133" s="129" t="str">
        <f>VLOOKUP($A133,'EGX Service assumptions'!$B:$AY,'EGX Service assumptions'!K$3,FALSE)</f>
        <v>No</v>
      </c>
      <c r="G133" s="168">
        <f>VLOOKUP($A133,'EGX Service assumptions'!$B:$AY,'EGX Service assumptions'!$AY$3,FALSE)</f>
        <v>836.09021653712318</v>
      </c>
      <c r="H133" s="144">
        <f>G133*(1+'Escalators &amp; overheads'!F$5)*(1-'Escalators &amp; overheads'!F$8)</f>
        <v>863.30277080376959</v>
      </c>
      <c r="I133" s="144">
        <f>H133*(1+'Escalators &amp; overheads'!G$5)*(1-'Escalators &amp; overheads'!G$8)</f>
        <v>891.82465556453212</v>
      </c>
      <c r="J133" s="144">
        <f>I133*(1+'Escalators &amp; overheads'!H$5)*(1-'Escalators &amp; overheads'!H$8)</f>
        <v>921.52917352055431</v>
      </c>
      <c r="K133" s="144">
        <f>J133*(1+'Escalators &amp; overheads'!I$5)*(1-'Escalators &amp; overheads'!I$8)</f>
        <v>949.96548109210937</v>
      </c>
    </row>
    <row r="134" spans="1:13" ht="30">
      <c r="A134" s="129" t="str">
        <f>'EGX Service assumptions'!B136</f>
        <v>EGX_132</v>
      </c>
      <c r="B134" s="129" t="str">
        <f>VLOOKUP($A134,'EGX Service assumptions'!$B:$AY,'EGX Service assumptions'!D$3,FALSE)</f>
        <v>Auxiliary metering services</v>
      </c>
      <c r="C134" s="129" t="str">
        <f>VLOOKUP($A134,'EGX Service assumptions'!$B:$AY,'EGX Service assumptions'!E$3,FALSE)</f>
        <v>Metering alteration</v>
      </c>
      <c r="D134" s="143" t="str">
        <f>VLOOKUP($A134,'EGX Service assumptions'!$B:$AY,'EGX Service assumptions'!F$3,FALSE)</f>
        <v>Meter alteration – meter is being relocated or meter wiring altered and requires DNSP to visit site to verify the integrity of the metering equipment</v>
      </c>
      <c r="E134" s="143" t="str">
        <f>VLOOKUP($A134,'EGX Service assumptions'!$B:$AY,'EGX Service assumptions'!G$3,FALSE)</f>
        <v>AFTER HOURS - CT</v>
      </c>
      <c r="F134" s="129" t="str">
        <f>VLOOKUP($A134,'EGX Service assumptions'!$B:$AY,'EGX Service assumptions'!K$3,FALSE)</f>
        <v>No</v>
      </c>
      <c r="G134" s="168">
        <f>VLOOKUP($A134,'EGX Service assumptions'!$B:$AY,'EGX Service assumptions'!$AY$3,FALSE)</f>
        <v>1168.0564807653893</v>
      </c>
      <c r="H134" s="144">
        <f>G134*(1+'Escalators &amp; overheads'!F$5)*(1-'Escalators &amp; overheads'!F$8)</f>
        <v>1206.0736704665021</v>
      </c>
      <c r="I134" s="144">
        <f>H134*(1+'Escalators &amp; overheads'!G$5)*(1-'Escalators &amp; overheads'!G$8)</f>
        <v>1245.9200550784826</v>
      </c>
      <c r="J134" s="144">
        <f>I134*(1+'Escalators &amp; overheads'!H$5)*(1-'Escalators &amp; overheads'!H$8)</f>
        <v>1287.4186326485542</v>
      </c>
      <c r="K134" s="144">
        <f>J134*(1+'Escalators &amp; overheads'!I$5)*(1-'Escalators &amp; overheads'!I$8)</f>
        <v>1327.1454619918777</v>
      </c>
    </row>
    <row r="135" spans="1:13" ht="45">
      <c r="A135" s="129" t="str">
        <f>'EGX Service assumptions'!B137</f>
        <v>EGX_133</v>
      </c>
      <c r="B135" s="129" t="str">
        <f>VLOOKUP($A135,'EGX Service assumptions'!$B:$AY,'EGX Service assumptions'!D$3,FALSE)</f>
        <v>Auxiliary metering services</v>
      </c>
      <c r="C135" s="129" t="str">
        <f>VLOOKUP($A135,'EGX Service assumptions'!$B:$AY,'EGX Service assumptions'!E$3,FALSE)</f>
        <v>Meter reading</v>
      </c>
      <c r="D135" s="143" t="str">
        <f>VLOOKUP($A135,'EGX Service assumptions'!$B:$AY,'EGX Service assumptions'!F$3,FALSE)</f>
        <v>Customer requests a check read, transfer read or validation of an estimated read on the meter, may be due to reported error in the meter reading. This is only used to check the accuracy of the meter reading</v>
      </c>
      <c r="E135" s="143" t="str">
        <f>VLOOKUP($A135,'EGX Service assumptions'!$B:$AY,'EGX Service assumptions'!G$3,FALSE)</f>
        <v>BUSINESS HOURS</v>
      </c>
      <c r="F135" s="129" t="str">
        <f>VLOOKUP($A135,'EGX Service assumptions'!$B:$AY,'EGX Service assumptions'!K$3,FALSE)</f>
        <v>No</v>
      </c>
      <c r="G135" s="168">
        <f>VLOOKUP($A135,'EGX Service assumptions'!$B:$AY,'EGX Service assumptions'!$AY$3,FALSE)</f>
        <v>11.32571832348739</v>
      </c>
      <c r="H135" s="144">
        <f>G135*(1+'Escalators &amp; overheads'!F$5)*(1-'Escalators &amp; overheads'!F$8)</f>
        <v>11.694340893624792</v>
      </c>
      <c r="I135" s="144">
        <f>H135*(1+'Escalators &amp; overheads'!G$5)*(1-'Escalators &amp; overheads'!G$8)</f>
        <v>12.080699717668059</v>
      </c>
      <c r="J135" s="144">
        <f>I135*(1+'Escalators &amp; overheads'!H$5)*(1-'Escalators &amp; overheads'!H$8)</f>
        <v>12.483078547907539</v>
      </c>
      <c r="K135" s="144">
        <f>J135*(1+'Escalators &amp; overheads'!I$5)*(1-'Escalators &amp; overheads'!I$8)</f>
        <v>12.868278139226025</v>
      </c>
    </row>
    <row r="136" spans="1:13">
      <c r="A136" s="129" t="str">
        <f>'EGX Service assumptions'!B138</f>
        <v>EGX_134</v>
      </c>
      <c r="B136" s="129" t="str">
        <f>VLOOKUP($A136,'EGX Service assumptions'!$B:$AY,'EGX Service assumptions'!D$3,FALSE)</f>
        <v>Auxiliary metering services</v>
      </c>
      <c r="C136" s="129" t="str">
        <f>VLOOKUP($A136,'EGX Service assumptions'!$B:$AY,'EGX Service assumptions'!E$3,FALSE)</f>
        <v>Meter reading</v>
      </c>
      <c r="D136" s="143" t="str">
        <f>VLOOKUP($A136,'EGX Service assumptions'!$B:$AY,'EGX Service assumptions'!F$3,FALSE)</f>
        <v>Site remains active and reading undertaken upon customer move in. Retail requested</v>
      </c>
      <c r="E136" s="143" t="str">
        <f>VLOOKUP($A136,'EGX Service assumptions'!$B:$AY,'EGX Service assumptions'!G$3,FALSE)</f>
        <v>BUSINESS HOURS</v>
      </c>
      <c r="F136" s="129" t="str">
        <f>VLOOKUP($A136,'EGX Service assumptions'!$B:$AY,'EGX Service assumptions'!K$3,FALSE)</f>
        <v>No</v>
      </c>
      <c r="G136" s="168">
        <f>VLOOKUP($A136,'EGX Service assumptions'!$B:$AY,'EGX Service assumptions'!$AY$3,FALSE)</f>
        <v>11.32571832348739</v>
      </c>
      <c r="H136" s="144">
        <f>G136*(1+'Escalators &amp; overheads'!F$5)*(1-'Escalators &amp; overheads'!F$8)</f>
        <v>11.694340893624792</v>
      </c>
      <c r="I136" s="144">
        <f>H136*(1+'Escalators &amp; overheads'!G$5)*(1-'Escalators &amp; overheads'!G$8)</f>
        <v>12.080699717668059</v>
      </c>
      <c r="J136" s="144">
        <f>I136*(1+'Escalators &amp; overheads'!H$5)*(1-'Escalators &amp; overheads'!H$8)</f>
        <v>12.483078547907539</v>
      </c>
      <c r="K136" s="144">
        <f>J136*(1+'Escalators &amp; overheads'!I$5)*(1-'Escalators &amp; overheads'!I$8)</f>
        <v>12.868278139226025</v>
      </c>
    </row>
    <row r="137" spans="1:13" s="165" customFormat="1">
      <c r="A137" s="129" t="str">
        <f>'EGX Service assumptions'!B139</f>
        <v>EGX_135</v>
      </c>
      <c r="B137" s="129" t="str">
        <f>VLOOKUP($A137,'EGX Service assumptions'!$B:$AY,'EGX Service assumptions'!D$3,FALSE)</f>
        <v>Auxiliary metering services</v>
      </c>
      <c r="C137" s="129" t="str">
        <f>VLOOKUP($A137,'EGX Service assumptions'!$B:$AY,'EGX Service assumptions'!E$3,FALSE)</f>
        <v>Meter reading</v>
      </c>
      <c r="D137" s="143" t="str">
        <f>VLOOKUP($A137,'EGX Service assumptions'!$B:$AY,'EGX Service assumptions'!F$3,FALSE)</f>
        <v>Special meter reading including final read. Retailer or customer requested</v>
      </c>
      <c r="E137" s="143" t="str">
        <f>VLOOKUP($A137,'EGX Service assumptions'!$B:$AY,'EGX Service assumptions'!G$3,FALSE)</f>
        <v>BUSINESS HOURS</v>
      </c>
      <c r="F137" s="129" t="str">
        <f>VLOOKUP($A137,'EGX Service assumptions'!$B:$AY,'EGX Service assumptions'!K$3,FALSE)</f>
        <v>No</v>
      </c>
      <c r="G137" s="168">
        <f>VLOOKUP($A137,'EGX Service assumptions'!$B:$AY,'EGX Service assumptions'!$AY$3,FALSE)</f>
        <v>11.32571832348739</v>
      </c>
      <c r="H137" s="144">
        <f>G137*(1+'Escalators &amp; overheads'!F$5)*(1-'Escalators &amp; overheads'!F$8)</f>
        <v>11.694340893624792</v>
      </c>
      <c r="I137" s="144">
        <f>H137*(1+'Escalators &amp; overheads'!G$5)*(1-'Escalators &amp; overheads'!G$8)</f>
        <v>12.080699717668059</v>
      </c>
      <c r="J137" s="144">
        <f>I137*(1+'Escalators &amp; overheads'!H$5)*(1-'Escalators &amp; overheads'!H$8)</f>
        <v>12.483078547907539</v>
      </c>
      <c r="K137" s="144">
        <f>J137*(1+'Escalators &amp; overheads'!I$5)*(1-'Escalators &amp; overheads'!I$8)</f>
        <v>12.868278139226025</v>
      </c>
      <c r="L137" s="129"/>
      <c r="M137" s="129"/>
    </row>
    <row r="138" spans="1:13" s="269" customFormat="1">
      <c r="A138" s="129" t="str">
        <f>'EGX Service assumptions'!B140</f>
        <v>EGX_136</v>
      </c>
      <c r="B138" s="129" t="str">
        <f>VLOOKUP($A138,'EGX Service assumptions'!$B:$AY,'EGX Service assumptions'!D$3,FALSE)</f>
        <v>Auxiliary metering services</v>
      </c>
      <c r="C138" s="129" t="str">
        <f>VLOOKUP($A138,'EGX Service assumptions'!$B:$AY,'EGX Service assumptions'!E$3,FALSE)</f>
        <v>Type 6 non standard metering data services</v>
      </c>
      <c r="D138" s="143" t="str">
        <f>VLOOKUP($A138,'EGX Service assumptions'!$B:$AY,'EGX Service assumptions'!F$3,FALSE)</f>
        <v>Provision of load profile data where available – Retailer requested</v>
      </c>
      <c r="E138" s="143" t="str">
        <f>VLOOKUP($A138,'EGX Service assumptions'!$B:$AY,'EGX Service assumptions'!G$3,FALSE)</f>
        <v>BUSINESS HOURS</v>
      </c>
      <c r="F138" s="129" t="str">
        <f>VLOOKUP($A138,'EGX Service assumptions'!$B:$AY,'EGX Service assumptions'!K$3,FALSE)</f>
        <v>No</v>
      </c>
      <c r="G138" s="168">
        <f>VLOOKUP($A138,'EGX Service assumptions'!$B:$AY,'EGX Service assumptions'!$AY$3,FALSE)</f>
        <v>156.92302882293816</v>
      </c>
      <c r="H138" s="144">
        <f>G138*(1+'Escalators &amp; overheads'!F$5)*(1-'Escalators &amp; overheads'!F$8)</f>
        <v>162.03046382584628</v>
      </c>
      <c r="I138" s="144">
        <f>H138*(1+'Escalators &amp; overheads'!G$5)*(1-'Escalators &amp; overheads'!G$8)</f>
        <v>167.38364277217468</v>
      </c>
      <c r="J138" s="144">
        <f>I138*(1+'Escalators &amp; overheads'!H$5)*(1-'Escalators &amp; overheads'!H$8)</f>
        <v>172.9587862617019</v>
      </c>
      <c r="K138" s="144">
        <f>J138*(1+'Escalators &amp; overheads'!I$5)*(1-'Escalators &amp; overheads'!I$8)</f>
        <v>178.29590350623906</v>
      </c>
      <c r="L138" s="129"/>
      <c r="M138" s="129"/>
    </row>
    <row r="139" spans="1:13">
      <c r="A139" s="129" t="str">
        <f>'EGX Service assumptions'!B141</f>
        <v>EGX_137</v>
      </c>
      <c r="B139" s="129" t="str">
        <f>VLOOKUP($A139,'EGX Service assumptions'!$B:$AY,'EGX Service assumptions'!D$3,FALSE)</f>
        <v>Auxiliary metering services</v>
      </c>
      <c r="C139" s="129" t="str">
        <f>VLOOKUP($A139,'EGX Service assumptions'!$B:$AY,'EGX Service assumptions'!E$3,FALSE)</f>
        <v>Reseal</v>
      </c>
      <c r="D139" s="143" t="str">
        <f>VLOOKUP($A139,'EGX Service assumptions'!$B:$AY,'EGX Service assumptions'!F$3,FALSE)</f>
        <v>Reseal and inspection of meter after customer initated work</v>
      </c>
      <c r="E139" s="143" t="str">
        <f>VLOOKUP($A139,'EGX Service assumptions'!$B:$AY,'EGX Service assumptions'!G$3,FALSE)</f>
        <v>BUSINESS HOURS</v>
      </c>
      <c r="F139" s="129" t="str">
        <f>VLOOKUP($A139,'EGX Service assumptions'!$B:$AY,'EGX Service assumptions'!K$3,FALSE)</f>
        <v>No</v>
      </c>
      <c r="G139" s="168">
        <f>VLOOKUP($A139,'EGX Service assumptions'!$B:$AY,'EGX Service assumptions'!$AY$3,FALSE)</f>
        <v>62.264831658510886</v>
      </c>
      <c r="H139" s="144">
        <f>G139*(1+'Escalators &amp; overheads'!F$5)*(1-'Escalators &amp; overheads'!F$8)</f>
        <v>64.291389411367447</v>
      </c>
      <c r="I139" s="144">
        <f>H139*(1+'Escalators &amp; overheads'!G$5)*(1-'Escalators &amp; overheads'!G$8)</f>
        <v>66.415454874742565</v>
      </c>
      <c r="J139" s="144">
        <f>I139*(1+'Escalators &amp; overheads'!H$5)*(1-'Escalators &amp; overheads'!H$8)</f>
        <v>68.627592719973308</v>
      </c>
      <c r="K139" s="144">
        <f>J139*(1+'Escalators &amp; overheads'!I$5)*(1-'Escalators &amp; overheads'!I$8)</f>
        <v>70.745285127935958</v>
      </c>
    </row>
    <row r="140" spans="1:13" ht="45">
      <c r="A140" s="129" t="str">
        <f>'EGX Service assumptions'!B142</f>
        <v>EGX_138</v>
      </c>
      <c r="B140" s="129" t="str">
        <f>VLOOKUP($A140,'EGX Service assumptions'!$B:$AY,'EGX Service assumptions'!D$3,FALSE)</f>
        <v>Network Ancillary services</v>
      </c>
      <c r="C140" s="129" t="str">
        <f>VLOOKUP($A140,'EGX Service assumptions'!$B:$AY,'EGX Service assumptions'!E$3,FALSE)</f>
        <v>Call out fee</v>
      </c>
      <c r="D140" s="143" t="str">
        <f>VLOOKUP($A140,'EGX Service assumptions'!$B:$AY,'EGX Service assumptions'!F$3,FALSE)</f>
        <v xml:space="preserve"> Crews attend site at the customers request and is unable to perform job due to customers fault/fault of a third party.  TECHNICAL. Wasted travel time and wasted time at customer's premises.</v>
      </c>
      <c r="E140" s="143" t="str">
        <f>VLOOKUP($A140,'EGX Service assumptions'!$B:$AY,'EGX Service assumptions'!G$3,FALSE)</f>
        <v>BUSINESS HOURS - 1 crew</v>
      </c>
      <c r="F140" s="129" t="str">
        <f>VLOOKUP($A140,'EGX Service assumptions'!$B:$AY,'EGX Service assumptions'!K$3,FALSE)</f>
        <v>No</v>
      </c>
      <c r="G140" s="168">
        <f>VLOOKUP($A140,'EGX Service assumptions'!$B:$AY,'EGX Service assumptions'!$AY$3,FALSE)</f>
        <v>100.37691524305237</v>
      </c>
      <c r="H140" s="144">
        <f>G140*(1+'Escalators &amp; overheads'!F$5)*(1-'Escalators &amp; overheads'!F$8)</f>
        <v>103.64392184011957</v>
      </c>
      <c r="I140" s="144">
        <f>H140*(1+'Escalators &amp; overheads'!G$5)*(1-'Escalators &amp; overheads'!G$8)</f>
        <v>107.06812027298815</v>
      </c>
      <c r="J140" s="144">
        <f>I140*(1+'Escalators &amp; overheads'!H$5)*(1-'Escalators &amp; overheads'!H$8)</f>
        <v>110.63429988163925</v>
      </c>
      <c r="K140" s="144">
        <f>J140*(1+'Escalators &amp; overheads'!I$5)*(1-'Escalators &amp; overheads'!I$8)</f>
        <v>114.04822433438234</v>
      </c>
    </row>
    <row r="141" spans="1:13" ht="45">
      <c r="A141" s="129" t="str">
        <f>'EGX Service assumptions'!B143</f>
        <v>EGX_139</v>
      </c>
      <c r="B141" s="129" t="str">
        <f>VLOOKUP($A141,'EGX Service assumptions'!$B:$AY,'EGX Service assumptions'!D$3,FALSE)</f>
        <v>Network Ancillary services</v>
      </c>
      <c r="C141" s="129" t="str">
        <f>VLOOKUP($A141,'EGX Service assumptions'!$B:$AY,'EGX Service assumptions'!E$3,FALSE)</f>
        <v>Call out fee</v>
      </c>
      <c r="D141" s="143"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E141" s="143" t="str">
        <f>VLOOKUP($A141,'EGX Service assumptions'!$B:$AY,'EGX Service assumptions'!G$3,FALSE)</f>
        <v>BUSINESS HOURS - 2 crews</v>
      </c>
      <c r="F141" s="129" t="str">
        <f>VLOOKUP($A141,'EGX Service assumptions'!$B:$AY,'EGX Service assumptions'!K$3,FALSE)</f>
        <v>No</v>
      </c>
      <c r="G141" s="168">
        <f>VLOOKUP($A141,'EGX Service assumptions'!$B:$AY,'EGX Service assumptions'!$AY$3,FALSE)</f>
        <v>200.75383048610473</v>
      </c>
      <c r="H141" s="144">
        <f>G141*(1+'Escalators &amp; overheads'!F$5)*(1-'Escalators &amp; overheads'!F$8)</f>
        <v>207.28784368023915</v>
      </c>
      <c r="I141" s="144">
        <f>H141*(1+'Escalators &amp; overheads'!G$5)*(1-'Escalators &amp; overheads'!G$8)</f>
        <v>214.13624054597631</v>
      </c>
      <c r="J141" s="144">
        <f>I141*(1+'Escalators &amp; overheads'!H$5)*(1-'Escalators &amp; overheads'!H$8)</f>
        <v>221.2685997632785</v>
      </c>
      <c r="K141" s="144">
        <f>J141*(1+'Escalators &amp; overheads'!I$5)*(1-'Escalators &amp; overheads'!I$8)</f>
        <v>228.09644866876468</v>
      </c>
    </row>
    <row r="142" spans="1:13" ht="45">
      <c r="A142" s="129" t="str">
        <f>'EGX Service assumptions'!B144</f>
        <v>EGX_140</v>
      </c>
      <c r="B142" s="129" t="str">
        <f>VLOOKUP($A142,'EGX Service assumptions'!$B:$AY,'EGX Service assumptions'!D$3,FALSE)</f>
        <v>Network Ancillary services</v>
      </c>
      <c r="C142" s="129" t="str">
        <f>VLOOKUP($A142,'EGX Service assumptions'!$B:$AY,'EGX Service assumptions'!E$3,FALSE)</f>
        <v>Call out fee</v>
      </c>
      <c r="D142" s="143"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E142" s="143" t="str">
        <f>VLOOKUP($A142,'EGX Service assumptions'!$B:$AY,'EGX Service assumptions'!G$3,FALSE)</f>
        <v>AFTER HOURS - 1 crew</v>
      </c>
      <c r="F142" s="129" t="str">
        <f>VLOOKUP($A142,'EGX Service assumptions'!$B:$AY,'EGX Service assumptions'!K$3,FALSE)</f>
        <v>No</v>
      </c>
      <c r="G142" s="168">
        <f>VLOOKUP($A142,'EGX Service assumptions'!$B:$AY,'EGX Service assumptions'!$AY$3,FALSE)</f>
        <v>140.57283036948698</v>
      </c>
      <c r="H142" s="144">
        <f>G142*(1+'Escalators &amp; overheads'!F$5)*(1-'Escalators &amp; overheads'!F$8)</f>
        <v>145.14810908843833</v>
      </c>
      <c r="I142" s="144">
        <f>H142*(1+'Escalators &amp; overheads'!G$5)*(1-'Escalators &amp; overheads'!G$8)</f>
        <v>149.943527081605</v>
      </c>
      <c r="J142" s="144">
        <f>I142*(1+'Escalators &amp; overheads'!H$5)*(1-'Escalators &amp; overheads'!H$8)</f>
        <v>154.93778258328254</v>
      </c>
      <c r="K142" s="144">
        <f>J142*(1+'Escalators &amp; overheads'!I$5)*(1-'Escalators &amp; overheads'!I$8)</f>
        <v>159.71881238308916</v>
      </c>
    </row>
    <row r="143" spans="1:13" ht="45">
      <c r="A143" s="129" t="str">
        <f>'EGX Service assumptions'!B145</f>
        <v>EGX_141</v>
      </c>
      <c r="B143" s="129" t="str">
        <f>VLOOKUP($A143,'EGX Service assumptions'!$B:$AY,'EGX Service assumptions'!D$3,FALSE)</f>
        <v>Network Ancillary services</v>
      </c>
      <c r="C143" s="129" t="str">
        <f>VLOOKUP($A143,'EGX Service assumptions'!$B:$AY,'EGX Service assumptions'!E$3,FALSE)</f>
        <v>Call out fee</v>
      </c>
      <c r="D143" s="143"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E143" s="143" t="str">
        <f>VLOOKUP($A143,'EGX Service assumptions'!$B:$AY,'EGX Service assumptions'!G$3,FALSE)</f>
        <v>AFTER HOURS - 2 crews</v>
      </c>
      <c r="F143" s="129" t="str">
        <f>VLOOKUP($A143,'EGX Service assumptions'!$B:$AY,'EGX Service assumptions'!K$3,FALSE)</f>
        <v>No</v>
      </c>
      <c r="G143" s="168">
        <f>VLOOKUP($A143,'EGX Service assumptions'!$B:$AY,'EGX Service assumptions'!$AY$3,FALSE)</f>
        <v>281.14566073897396</v>
      </c>
      <c r="H143" s="144">
        <f>G143*(1+'Escalators &amp; overheads'!F$5)*(1-'Escalators &amp; overheads'!F$8)</f>
        <v>290.29621817687666</v>
      </c>
      <c r="I143" s="144">
        <f>H143*(1+'Escalators &amp; overheads'!G$5)*(1-'Escalators &amp; overheads'!G$8)</f>
        <v>299.88705416321</v>
      </c>
      <c r="J143" s="144">
        <f>I143*(1+'Escalators &amp; overheads'!H$5)*(1-'Escalators &amp; overheads'!H$8)</f>
        <v>309.87556516656508</v>
      </c>
      <c r="K143" s="144">
        <f>J143*(1+'Escalators &amp; overheads'!I$5)*(1-'Escalators &amp; overheads'!I$8)</f>
        <v>319.43762476617832</v>
      </c>
    </row>
    <row r="144" spans="1:13" ht="30">
      <c r="A144" s="129" t="str">
        <f>'EGX Service assumptions'!B146</f>
        <v>EGX_142</v>
      </c>
      <c r="B144" s="129" t="str">
        <f>VLOOKUP($A144,'EGX Service assumptions'!$B:$AY,'EGX Service assumptions'!D$3,FALSE)</f>
        <v>Network Ancillary services</v>
      </c>
      <c r="C144" s="129" t="str">
        <f>VLOOKUP($A144,'EGX Service assumptions'!$B:$AY,'EGX Service assumptions'!E$3,FALSE)</f>
        <v>Call out fee</v>
      </c>
      <c r="D144" s="143" t="str">
        <f>VLOOKUP($A144,'EGX Service assumptions'!$B:$AY,'EGX Service assumptions'!F$3,FALSE)</f>
        <v xml:space="preserve"> Crews attend site at the customers request and is unable to perform job due to customers fault/fault of a third party.  NON TECHNICAL. Wasted travel time.</v>
      </c>
      <c r="E144" s="143" t="str">
        <f>VLOOKUP($A144,'EGX Service assumptions'!$B:$AY,'EGX Service assumptions'!G$3,FALSE)</f>
        <v>BUSINESS HOURS</v>
      </c>
      <c r="F144" s="129" t="str">
        <f>VLOOKUP($A144,'EGX Service assumptions'!$B:$AY,'EGX Service assumptions'!K$3,FALSE)</f>
        <v>No</v>
      </c>
      <c r="G144" s="168">
        <f>VLOOKUP($A144,'EGX Service assumptions'!$B:$AY,'EGX Service assumptions'!$AY$3,FALSE)</f>
        <v>7.4244875779714707</v>
      </c>
      <c r="H144" s="144">
        <f>G144*(1+'Escalators &amp; overheads'!F$5)*(1-'Escalators &amp; overheads'!F$8)</f>
        <v>7.6661352699566576</v>
      </c>
      <c r="I144" s="144">
        <f>H144*(1+'Escalators &amp; overheads'!G$5)*(1-'Escalators &amp; overheads'!G$8)</f>
        <v>7.9194098268384181</v>
      </c>
      <c r="J144" s="144">
        <f>I144*(1+'Escalators &amp; overheads'!H$5)*(1-'Escalators &amp; overheads'!H$8)</f>
        <v>8.1831861756247282</v>
      </c>
      <c r="K144" s="144">
        <f>J144*(1+'Escalators &amp; overheads'!I$5)*(1-'Escalators &amp; overheads'!I$8)</f>
        <v>8.4357008064056185</v>
      </c>
    </row>
    <row r="145" spans="1:11" ht="30">
      <c r="A145" s="129" t="str">
        <f>'EGX Service assumptions'!B147</f>
        <v>EGX_143</v>
      </c>
      <c r="B145" s="129" t="str">
        <f>VLOOKUP($A145,'EGX Service assumptions'!$B:$AY,'EGX Service assumptions'!D$3,FALSE)</f>
        <v>Network Ancillary services</v>
      </c>
      <c r="C145" s="129" t="str">
        <f>VLOOKUP($A145,'EGX Service assumptions'!$B:$AY,'EGX Service assumptions'!E$3,FALSE)</f>
        <v>Call out fee</v>
      </c>
      <c r="D145" s="143" t="str">
        <f>VLOOKUP($A145,'EGX Service assumptions'!$B:$AY,'EGX Service assumptions'!F$3,FALSE)</f>
        <v xml:space="preserve"> Crews attend site at the customers request and is unable to perform job due to customers fault/fault of a third party.  NON TECHNICAL. Wasted travel time.</v>
      </c>
      <c r="E145" s="143" t="str">
        <f>VLOOKUP($A145,'EGX Service assumptions'!$B:$AY,'EGX Service assumptions'!G$3,FALSE)</f>
        <v>AFTER HOURS</v>
      </c>
      <c r="F145" s="129" t="str">
        <f>VLOOKUP($A145,'EGX Service assumptions'!$B:$AY,'EGX Service assumptions'!K$3,FALSE)</f>
        <v>No</v>
      </c>
      <c r="G145" s="168">
        <f>VLOOKUP($A145,'EGX Service assumptions'!$B:$AY,'EGX Service assumptions'!$AY$3,FALSE)</f>
        <v>9.6518338513629125</v>
      </c>
      <c r="H145" s="144">
        <f>G145*(1+'Escalators &amp; overheads'!F$5)*(1-'Escalators &amp; overheads'!F$8)</f>
        <v>9.9659758509436553</v>
      </c>
      <c r="I145" s="144">
        <f>H145*(1+'Escalators &amp; overheads'!G$5)*(1-'Escalators &amp; overheads'!G$8)</f>
        <v>10.295232774889945</v>
      </c>
      <c r="J145" s="144">
        <f>I145*(1+'Escalators &amp; overheads'!H$5)*(1-'Escalators &amp; overheads'!H$8)</f>
        <v>10.638142028312148</v>
      </c>
      <c r="K145" s="144">
        <f>J145*(1+'Escalators &amp; overheads'!I$5)*(1-'Escalators &amp; overheads'!I$8)</f>
        <v>10.966411048327306</v>
      </c>
    </row>
    <row r="146" spans="1:11">
      <c r="A146" s="129"/>
      <c r="B146" s="129"/>
      <c r="C146" s="129"/>
      <c r="D146" s="143"/>
      <c r="E146" s="143"/>
      <c r="F146" s="129"/>
      <c r="G146" s="168"/>
      <c r="H146" s="144"/>
      <c r="I146" s="144"/>
      <c r="J146" s="144"/>
      <c r="K146" s="144"/>
    </row>
    <row r="147" spans="1:11">
      <c r="A147" s="129"/>
      <c r="B147" s="129"/>
      <c r="C147" s="129"/>
      <c r="D147" s="143"/>
      <c r="E147" s="143"/>
      <c r="F147" s="129"/>
      <c r="G147" s="168"/>
      <c r="H147" s="144"/>
      <c r="I147" s="144"/>
      <c r="J147" s="144"/>
      <c r="K147" s="144"/>
    </row>
    <row r="148" spans="1:11">
      <c r="A148" s="129"/>
      <c r="B148" s="129"/>
      <c r="C148" s="129"/>
      <c r="D148" s="143"/>
      <c r="E148" s="143"/>
      <c r="F148" s="129"/>
      <c r="G148" s="168"/>
      <c r="H148" s="144"/>
      <c r="I148" s="144"/>
      <c r="J148" s="144"/>
      <c r="K148" s="144"/>
    </row>
    <row r="149" spans="1:11">
      <c r="A149" s="129"/>
      <c r="B149" s="129"/>
      <c r="C149" s="129"/>
      <c r="D149" s="143"/>
      <c r="E149" s="143"/>
      <c r="F149" s="129"/>
      <c r="G149" s="168"/>
      <c r="H149" s="144"/>
      <c r="I149" s="144"/>
      <c r="J149" s="144"/>
      <c r="K149" s="144"/>
    </row>
    <row r="150" spans="1:11">
      <c r="A150" s="129"/>
      <c r="B150" s="129"/>
      <c r="C150" s="129"/>
      <c r="D150" s="143"/>
      <c r="E150" s="143"/>
      <c r="F150" s="129"/>
      <c r="G150" s="168"/>
      <c r="H150" s="144"/>
      <c r="I150" s="144"/>
      <c r="J150" s="144"/>
      <c r="K150" s="144"/>
    </row>
    <row r="151" spans="1:11">
      <c r="A151" s="129"/>
      <c r="B151" s="129"/>
      <c r="C151" s="129"/>
      <c r="D151" s="143"/>
      <c r="E151" s="143"/>
      <c r="F151" s="129"/>
      <c r="G151" s="168"/>
      <c r="H151" s="144"/>
      <c r="I151" s="144"/>
      <c r="J151" s="144"/>
      <c r="K151" s="144"/>
    </row>
    <row r="152" spans="1:11">
      <c r="A152" s="129"/>
      <c r="B152" s="129"/>
      <c r="C152" s="129"/>
      <c r="D152" s="143"/>
      <c r="E152" s="143"/>
      <c r="F152" s="129"/>
      <c r="G152" s="168"/>
      <c r="H152" s="144"/>
      <c r="I152" s="144"/>
      <c r="J152" s="144"/>
      <c r="K152" s="144"/>
    </row>
    <row r="153" spans="1:11">
      <c r="A153" s="129"/>
      <c r="B153" s="129"/>
      <c r="C153" s="129"/>
      <c r="D153" s="143"/>
      <c r="E153" s="143"/>
      <c r="F153" s="129"/>
      <c r="G153" s="168"/>
      <c r="H153" s="144"/>
      <c r="I153" s="144"/>
      <c r="J153" s="144"/>
      <c r="K153" s="144"/>
    </row>
    <row r="154" spans="1:11">
      <c r="A154" s="269"/>
      <c r="B154" s="122"/>
      <c r="F154" s="129"/>
      <c r="G154" s="139"/>
      <c r="H154" s="144"/>
      <c r="I154" s="120"/>
      <c r="J154" s="120"/>
      <c r="K154" s="120"/>
    </row>
    <row r="155" spans="1:11">
      <c r="A155" s="269"/>
      <c r="B155" s="122"/>
      <c r="F155" s="129"/>
      <c r="G155" s="139"/>
      <c r="H155" s="144"/>
      <c r="I155" s="120"/>
      <c r="J155" s="120"/>
      <c r="K155" s="120"/>
    </row>
    <row r="156" spans="1:11">
      <c r="A156" s="122"/>
      <c r="B156" s="122"/>
      <c r="F156" s="129"/>
      <c r="G156" s="139"/>
      <c r="H156" s="144"/>
      <c r="I156" s="120"/>
      <c r="J156" s="120"/>
      <c r="K156" s="120"/>
    </row>
    <row r="157" spans="1:11">
      <c r="A157" s="122"/>
      <c r="B157" s="122"/>
      <c r="F157" s="129"/>
      <c r="G157" s="139"/>
      <c r="H157" s="144"/>
      <c r="I157" s="120"/>
      <c r="J157" s="120"/>
      <c r="K157" s="120"/>
    </row>
    <row r="158" spans="1:11">
      <c r="A158" s="122"/>
      <c r="B158" s="122"/>
      <c r="F158" s="129"/>
      <c r="G158" s="139"/>
      <c r="H158" s="144"/>
      <c r="I158" s="120"/>
      <c r="J158" s="120"/>
      <c r="K158" s="120"/>
    </row>
    <row r="159" spans="1:11">
      <c r="A159" s="122"/>
      <c r="B159" s="122"/>
      <c r="F159" s="129"/>
      <c r="G159" s="139"/>
      <c r="H159" s="144"/>
      <c r="I159" s="120"/>
      <c r="J159" s="120"/>
      <c r="K159" s="120"/>
    </row>
    <row r="160" spans="1:11">
      <c r="A160" s="122"/>
      <c r="B160" s="122"/>
      <c r="F160" s="129"/>
      <c r="G160" s="139"/>
      <c r="H160" s="144"/>
      <c r="I160" s="120"/>
      <c r="J160" s="120"/>
      <c r="K160" s="120"/>
    </row>
    <row r="161" spans="1:11">
      <c r="A161" s="122"/>
      <c r="B161" s="122"/>
      <c r="F161" s="129"/>
      <c r="G161" s="139"/>
      <c r="H161" s="144"/>
      <c r="I161" s="120"/>
      <c r="J161" s="120"/>
      <c r="K161" s="120"/>
    </row>
    <row r="162" spans="1:11">
      <c r="A162" s="122"/>
      <c r="B162" s="122"/>
      <c r="F162" s="129"/>
      <c r="G162" s="139"/>
      <c r="H162" s="144"/>
      <c r="I162" s="120"/>
      <c r="J162" s="120"/>
      <c r="K162" s="120"/>
    </row>
    <row r="163" spans="1:11">
      <c r="A163" s="122"/>
      <c r="B163" s="122"/>
      <c r="F163" s="129"/>
      <c r="G163" s="139"/>
      <c r="H163" s="144"/>
      <c r="I163" s="120"/>
      <c r="J163" s="120"/>
      <c r="K163" s="120"/>
    </row>
    <row r="164" spans="1:11">
      <c r="A164" s="122"/>
      <c r="B164" s="122"/>
      <c r="F164" s="129"/>
      <c r="G164" s="139"/>
      <c r="H164" s="144"/>
      <c r="I164" s="120"/>
      <c r="J164" s="120"/>
      <c r="K164" s="120"/>
    </row>
    <row r="165" spans="1:11">
      <c r="A165" s="122"/>
      <c r="B165" s="122"/>
      <c r="F165" s="129"/>
      <c r="G165" s="139"/>
      <c r="H165" s="144"/>
      <c r="I165" s="120"/>
      <c r="J165" s="120"/>
      <c r="K165" s="120"/>
    </row>
    <row r="166" spans="1:11">
      <c r="A166" s="122"/>
      <c r="B166" s="122"/>
      <c r="F166" s="129"/>
      <c r="G166" s="139"/>
      <c r="H166" s="144"/>
      <c r="I166" s="120"/>
      <c r="J166" s="120"/>
      <c r="K166" s="120"/>
    </row>
    <row r="167" spans="1:11">
      <c r="A167" s="122"/>
      <c r="B167" s="122"/>
      <c r="F167" s="129"/>
      <c r="G167" s="139"/>
      <c r="H167" s="144"/>
      <c r="I167" s="120"/>
      <c r="J167" s="120"/>
      <c r="K167" s="120"/>
    </row>
    <row r="168" spans="1:11">
      <c r="A168" s="122"/>
      <c r="B168" s="122"/>
      <c r="F168" s="129"/>
      <c r="G168" s="139"/>
      <c r="H168" s="144"/>
      <c r="I168" s="120"/>
      <c r="J168" s="120"/>
      <c r="K168" s="120"/>
    </row>
    <row r="169" spans="1:11">
      <c r="A169" s="122"/>
      <c r="B169" s="122"/>
      <c r="F169" s="129"/>
      <c r="G169" s="139"/>
      <c r="H169" s="144"/>
      <c r="I169" s="120"/>
      <c r="J169" s="120"/>
      <c r="K169" s="120"/>
    </row>
    <row r="170" spans="1:11">
      <c r="A170" s="122"/>
      <c r="B170" s="122"/>
      <c r="F170" s="129"/>
      <c r="G170" s="139"/>
      <c r="H170" s="144"/>
      <c r="I170" s="120"/>
      <c r="J170" s="120"/>
      <c r="K170" s="120"/>
    </row>
    <row r="171" spans="1:11">
      <c r="A171" s="122"/>
      <c r="B171" s="122"/>
      <c r="F171" s="129"/>
      <c r="G171" s="139"/>
      <c r="H171" s="144"/>
      <c r="I171" s="120"/>
      <c r="J171" s="120"/>
      <c r="K171" s="120"/>
    </row>
    <row r="172" spans="1:11">
      <c r="A172" s="122"/>
      <c r="B172" s="122"/>
      <c r="F172" s="129"/>
      <c r="G172" s="139"/>
      <c r="H172" s="144"/>
      <c r="I172" s="120"/>
      <c r="J172" s="120"/>
      <c r="K172" s="120"/>
    </row>
    <row r="173" spans="1:11">
      <c r="A173" s="122"/>
      <c r="B173" s="122"/>
      <c r="F173" s="129"/>
      <c r="G173" s="139"/>
      <c r="H173" s="144"/>
      <c r="I173" s="120"/>
      <c r="J173" s="120"/>
      <c r="K173" s="120"/>
    </row>
    <row r="174" spans="1:11">
      <c r="A174" s="122"/>
      <c r="B174" s="122"/>
      <c r="F174" s="129"/>
      <c r="G174" s="139"/>
      <c r="H174" s="144"/>
      <c r="I174" s="120"/>
      <c r="J174" s="120"/>
      <c r="K174" s="120"/>
    </row>
    <row r="175" spans="1:11">
      <c r="A175" s="122"/>
      <c r="B175" s="122"/>
      <c r="F175" s="129"/>
      <c r="G175" s="139"/>
      <c r="H175" s="144"/>
      <c r="I175" s="120"/>
      <c r="J175" s="120"/>
      <c r="K175" s="120"/>
    </row>
    <row r="176" spans="1:11">
      <c r="A176" s="122"/>
      <c r="B176" s="122"/>
      <c r="F176" s="129"/>
      <c r="G176" s="139"/>
      <c r="H176" s="144"/>
      <c r="I176" s="120"/>
      <c r="J176" s="120"/>
      <c r="K176" s="120"/>
    </row>
    <row r="177" spans="1:11">
      <c r="A177" s="122"/>
      <c r="B177" s="122"/>
      <c r="F177" s="129"/>
      <c r="G177" s="139"/>
      <c r="H177" s="144"/>
      <c r="I177" s="120"/>
      <c r="J177" s="120"/>
      <c r="K177" s="120"/>
    </row>
    <row r="178" spans="1:11">
      <c r="A178" s="122"/>
      <c r="B178" s="122"/>
      <c r="F178" s="129"/>
      <c r="G178" s="139"/>
      <c r="H178" s="144"/>
      <c r="I178" s="120"/>
      <c r="J178" s="120"/>
      <c r="K178" s="120"/>
    </row>
    <row r="179" spans="1:11">
      <c r="A179" s="122"/>
      <c r="B179" s="122"/>
      <c r="F179" s="129"/>
      <c r="G179" s="139"/>
      <c r="H179" s="144"/>
      <c r="I179" s="120"/>
      <c r="J179" s="120"/>
      <c r="K179" s="120"/>
    </row>
    <row r="180" spans="1:11">
      <c r="A180" s="122"/>
      <c r="B180" s="122"/>
      <c r="F180" s="129"/>
      <c r="G180" s="139"/>
      <c r="H180" s="144"/>
      <c r="I180" s="120"/>
      <c r="J180" s="120"/>
      <c r="K180" s="120"/>
    </row>
    <row r="181" spans="1:11">
      <c r="A181" s="122"/>
      <c r="B181" s="122"/>
      <c r="F181" s="129"/>
      <c r="G181" s="139"/>
      <c r="H181" s="144"/>
      <c r="I181" s="120"/>
      <c r="J181" s="120"/>
      <c r="K181" s="120"/>
    </row>
    <row r="182" spans="1:11">
      <c r="A182" s="122"/>
      <c r="B182" s="122"/>
      <c r="F182" s="129"/>
      <c r="G182" s="139"/>
      <c r="H182" s="144"/>
      <c r="I182" s="120"/>
      <c r="J182" s="120"/>
      <c r="K182" s="120"/>
    </row>
    <row r="183" spans="1:11">
      <c r="A183" s="122"/>
      <c r="B183" s="122"/>
      <c r="F183" s="129"/>
      <c r="G183" s="120"/>
      <c r="H183" s="144"/>
      <c r="I183" s="120"/>
      <c r="J183" s="120"/>
      <c r="K183" s="120"/>
    </row>
    <row r="184" spans="1:11">
      <c r="A184" s="122"/>
      <c r="B184" s="122"/>
      <c r="F184" s="129"/>
      <c r="G184" s="120"/>
      <c r="H184" s="144"/>
      <c r="I184" s="120"/>
      <c r="J184" s="120"/>
      <c r="K184" s="120"/>
    </row>
    <row r="185" spans="1:11">
      <c r="A185" s="122"/>
      <c r="B185" s="122"/>
      <c r="F185" s="129"/>
      <c r="G185" s="120"/>
      <c r="H185" s="144"/>
      <c r="I185" s="120"/>
      <c r="J185" s="120"/>
      <c r="K185" s="120"/>
    </row>
    <row r="186" spans="1:11">
      <c r="A186" s="122"/>
      <c r="B186" s="122"/>
      <c r="F186" s="129"/>
      <c r="G186" s="120"/>
      <c r="H186" s="144"/>
      <c r="I186" s="120"/>
      <c r="J186" s="120"/>
      <c r="K186" s="120"/>
    </row>
    <row r="187" spans="1:11">
      <c r="A187" s="122"/>
      <c r="B187" s="122"/>
      <c r="F187" s="129"/>
      <c r="G187" s="120"/>
      <c r="H187" s="144"/>
      <c r="I187" s="120"/>
      <c r="J187" s="120"/>
      <c r="K187" s="120"/>
    </row>
  </sheetData>
  <autoFilter ref="A3:K187">
    <sortState ref="A74:K89">
      <sortCondition ref="C3:C186"/>
    </sortState>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8390"/>
  </sheetPr>
  <dimension ref="A1:G22"/>
  <sheetViews>
    <sheetView zoomScale="80" zoomScaleNormal="80" workbookViewId="0"/>
  </sheetViews>
  <sheetFormatPr defaultColWidth="8.85546875" defaultRowHeight="15"/>
  <cols>
    <col min="1" max="1" width="44.7109375" customWidth="1"/>
    <col min="2" max="2" width="30.42578125" customWidth="1"/>
    <col min="3" max="3" width="42" customWidth="1"/>
    <col min="6" max="6" width="13.42578125" customWidth="1"/>
  </cols>
  <sheetData>
    <row r="1" spans="1:7" s="165" customFormat="1">
      <c r="A1" s="165" t="s">
        <v>471</v>
      </c>
    </row>
    <row r="3" spans="1:7" ht="20.25">
      <c r="A3" s="208" t="s">
        <v>464</v>
      </c>
      <c r="B3" s="206"/>
      <c r="C3" s="206"/>
      <c r="D3" s="206"/>
      <c r="E3" s="206"/>
      <c r="F3" s="206"/>
      <c r="G3" s="206"/>
    </row>
    <row r="5" spans="1:7" ht="15.75">
      <c r="A5" s="209" t="s">
        <v>465</v>
      </c>
      <c r="B5" s="210"/>
      <c r="C5" s="210"/>
      <c r="D5" s="210"/>
      <c r="E5" s="210"/>
      <c r="F5" s="211"/>
      <c r="G5" s="206"/>
    </row>
    <row r="6" spans="1:7" ht="15.75">
      <c r="A6" s="212"/>
      <c r="B6" s="207"/>
      <c r="C6" s="207"/>
      <c r="D6" s="207"/>
      <c r="E6" s="207"/>
      <c r="F6" s="213"/>
      <c r="G6" s="206"/>
    </row>
    <row r="7" spans="1:7">
      <c r="A7" s="214" t="s">
        <v>564</v>
      </c>
      <c r="B7" s="207"/>
      <c r="C7" s="207"/>
      <c r="D7" s="207"/>
      <c r="E7" s="207"/>
      <c r="F7" s="213"/>
      <c r="G7" s="206"/>
    </row>
    <row r="8" spans="1:7">
      <c r="A8" s="215"/>
      <c r="B8" s="216"/>
      <c r="C8" s="216"/>
      <c r="D8" s="216"/>
      <c r="E8" s="216"/>
      <c r="F8" s="217"/>
      <c r="G8" s="206"/>
    </row>
    <row r="9" spans="1:7">
      <c r="A9" s="207"/>
      <c r="B9" s="207"/>
      <c r="C9" s="207"/>
      <c r="D9" s="207"/>
      <c r="E9" s="207"/>
      <c r="F9" s="207"/>
      <c r="G9" s="206"/>
    </row>
    <row r="10" spans="1:7">
      <c r="A10" s="207"/>
      <c r="B10" s="207"/>
      <c r="C10" s="207"/>
      <c r="D10" s="207"/>
      <c r="E10" s="207"/>
      <c r="F10" s="207"/>
      <c r="G10" s="206"/>
    </row>
    <row r="11" spans="1:7" ht="15.75">
      <c r="A11" s="205" t="s">
        <v>90</v>
      </c>
      <c r="B11" s="192"/>
      <c r="C11" s="192"/>
      <c r="D11" s="192"/>
      <c r="E11" s="192"/>
      <c r="F11" s="191"/>
      <c r="G11" s="206"/>
    </row>
    <row r="12" spans="1:7">
      <c r="A12" s="187"/>
      <c r="B12" s="185"/>
      <c r="C12" s="185"/>
      <c r="D12" s="185"/>
      <c r="E12" s="185"/>
      <c r="F12" s="203"/>
      <c r="G12" s="206"/>
    </row>
    <row r="13" spans="1:7">
      <c r="A13" s="391" t="s">
        <v>26</v>
      </c>
      <c r="B13" s="392"/>
      <c r="C13" s="392"/>
      <c r="D13" s="392"/>
      <c r="E13" s="392"/>
      <c r="F13" s="393"/>
      <c r="G13" s="206"/>
    </row>
    <row r="14" spans="1:7" ht="57.75" customHeight="1">
      <c r="A14" s="388" t="s">
        <v>466</v>
      </c>
      <c r="B14" s="389"/>
      <c r="C14" s="389"/>
      <c r="D14" s="389"/>
      <c r="E14" s="389"/>
      <c r="F14" s="390"/>
      <c r="G14" s="206"/>
    </row>
    <row r="15" spans="1:7" ht="111" customHeight="1">
      <c r="A15" s="388" t="s">
        <v>635</v>
      </c>
      <c r="B15" s="389"/>
      <c r="C15" s="389"/>
      <c r="D15" s="389"/>
      <c r="E15" s="389"/>
      <c r="F15" s="390"/>
      <c r="G15" s="206"/>
    </row>
    <row r="16" spans="1:7">
      <c r="A16" s="396"/>
      <c r="B16" s="392"/>
      <c r="C16" s="392"/>
      <c r="D16" s="392"/>
      <c r="E16" s="392"/>
      <c r="F16" s="393"/>
      <c r="G16" s="206"/>
    </row>
    <row r="17" spans="1:7">
      <c r="A17" s="391" t="s">
        <v>27</v>
      </c>
      <c r="B17" s="394"/>
      <c r="C17" s="394"/>
      <c r="D17" s="394"/>
      <c r="E17" s="394"/>
      <c r="F17" s="395"/>
      <c r="G17" s="206"/>
    </row>
    <row r="18" spans="1:7" ht="30" customHeight="1">
      <c r="A18" s="388" t="s">
        <v>467</v>
      </c>
      <c r="B18" s="389"/>
      <c r="C18" s="389"/>
      <c r="D18" s="389"/>
      <c r="E18" s="389"/>
      <c r="F18" s="390"/>
      <c r="G18" s="206"/>
    </row>
    <row r="19" spans="1:7">
      <c r="A19" s="396"/>
      <c r="B19" s="392"/>
      <c r="C19" s="392"/>
      <c r="D19" s="392"/>
      <c r="E19" s="392"/>
      <c r="F19" s="393"/>
      <c r="G19" s="206"/>
    </row>
    <row r="20" spans="1:7">
      <c r="A20" s="391" t="s">
        <v>28</v>
      </c>
      <c r="B20" s="394"/>
      <c r="C20" s="394"/>
      <c r="D20" s="394"/>
      <c r="E20" s="394"/>
      <c r="F20" s="395"/>
      <c r="G20" s="206"/>
    </row>
    <row r="21" spans="1:7" ht="33.75" customHeight="1">
      <c r="A21" s="388" t="s">
        <v>468</v>
      </c>
      <c r="B21" s="389"/>
      <c r="C21" s="389"/>
      <c r="D21" s="389"/>
      <c r="E21" s="389"/>
      <c r="F21" s="390"/>
      <c r="G21" s="206"/>
    </row>
    <row r="22" spans="1:7">
      <c r="A22" s="188"/>
      <c r="B22" s="186"/>
      <c r="C22" s="186"/>
      <c r="D22" s="186"/>
      <c r="E22" s="186"/>
      <c r="F22" s="202"/>
      <c r="G22" s="206"/>
    </row>
  </sheetData>
  <mergeCells count="9">
    <mergeCell ref="A21:F21"/>
    <mergeCell ref="A15:F15"/>
    <mergeCell ref="A14:F14"/>
    <mergeCell ref="A13:F13"/>
    <mergeCell ref="A17:F17"/>
    <mergeCell ref="A19:F19"/>
    <mergeCell ref="A16:F16"/>
    <mergeCell ref="A20:F20"/>
    <mergeCell ref="A18:F1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A19"/>
  <sheetViews>
    <sheetView zoomScale="70" zoomScaleNormal="70" workbookViewId="0"/>
  </sheetViews>
  <sheetFormatPr defaultColWidth="8.85546875" defaultRowHeight="15"/>
  <cols>
    <col min="1" max="1" width="27.85546875" style="165" customWidth="1"/>
    <col min="2" max="2" width="73.42578125" customWidth="1"/>
    <col min="6" max="6" width="10.85546875" customWidth="1"/>
    <col min="8" max="8" width="15.85546875" customWidth="1"/>
    <col min="12" max="12" width="11.85546875" customWidth="1"/>
    <col min="13" max="13" width="13.140625" customWidth="1"/>
    <col min="15" max="15" width="14.28515625" customWidth="1"/>
    <col min="23" max="23" width="11.42578125" customWidth="1"/>
    <col min="29" max="29" width="10.42578125" bestFit="1" customWidth="1"/>
    <col min="31" max="31" width="10.42578125" bestFit="1" customWidth="1"/>
    <col min="32" max="39" width="10.42578125" style="165" customWidth="1"/>
    <col min="49" max="49" width="9.140625" style="165"/>
    <col min="50" max="50" width="20.140625" customWidth="1"/>
    <col min="51" max="53" width="9.140625" style="165"/>
  </cols>
  <sheetData>
    <row r="1" spans="1:53" s="165" customFormat="1" ht="27" customHeight="1">
      <c r="A1" s="19" t="s">
        <v>574</v>
      </c>
      <c r="H1" s="399" t="s">
        <v>35</v>
      </c>
      <c r="I1" s="400"/>
      <c r="J1" s="400"/>
      <c r="K1" s="400"/>
      <c r="L1" s="400"/>
      <c r="M1" s="400"/>
      <c r="N1" s="400"/>
      <c r="O1" s="400"/>
      <c r="P1" s="399" t="s">
        <v>39</v>
      </c>
      <c r="Q1" s="400"/>
      <c r="R1" s="400"/>
      <c r="S1" s="400"/>
      <c r="T1" s="400"/>
      <c r="U1" s="400"/>
      <c r="V1" s="400"/>
      <c r="W1" s="400"/>
      <c r="X1" s="399" t="s">
        <v>216</v>
      </c>
      <c r="Y1" s="400"/>
      <c r="Z1" s="400"/>
      <c r="AA1" s="400"/>
      <c r="AB1" s="400"/>
      <c r="AC1" s="400"/>
      <c r="AD1" s="400"/>
      <c r="AE1" s="402"/>
      <c r="AF1" s="399" t="s">
        <v>472</v>
      </c>
      <c r="AG1" s="400"/>
      <c r="AH1" s="400"/>
      <c r="AI1" s="400"/>
      <c r="AJ1" s="400"/>
      <c r="AK1" s="400"/>
      <c r="AL1" s="400"/>
      <c r="AM1" s="402"/>
      <c r="AN1" s="401" t="s">
        <v>572</v>
      </c>
      <c r="AO1" s="401"/>
      <c r="AP1" s="401"/>
      <c r="AQ1" s="401"/>
      <c r="AR1" s="401" t="s">
        <v>102</v>
      </c>
      <c r="AS1" s="401"/>
      <c r="AT1" s="401"/>
      <c r="AU1" s="401"/>
      <c r="AV1" s="401" t="s">
        <v>383</v>
      </c>
      <c r="AW1" s="401"/>
    </row>
    <row r="2" spans="1:53" ht="76.5" customHeight="1">
      <c r="A2" s="106" t="s">
        <v>492</v>
      </c>
      <c r="B2" s="106" t="s">
        <v>34</v>
      </c>
      <c r="C2" s="106" t="s">
        <v>104</v>
      </c>
      <c r="D2" s="106" t="s">
        <v>57</v>
      </c>
      <c r="E2" s="106" t="s">
        <v>184</v>
      </c>
      <c r="F2" s="106" t="s">
        <v>48</v>
      </c>
      <c r="G2" s="107" t="s">
        <v>185</v>
      </c>
      <c r="H2" s="105" t="s">
        <v>36</v>
      </c>
      <c r="I2" s="106" t="s">
        <v>37</v>
      </c>
      <c r="J2" s="106" t="s">
        <v>38</v>
      </c>
      <c r="K2" s="106" t="s">
        <v>65</v>
      </c>
      <c r="L2" s="106" t="s">
        <v>565</v>
      </c>
      <c r="M2" s="106" t="s">
        <v>569</v>
      </c>
      <c r="N2" s="106" t="s">
        <v>64</v>
      </c>
      <c r="O2" s="107" t="s">
        <v>63</v>
      </c>
      <c r="P2" s="108" t="s">
        <v>36</v>
      </c>
      <c r="Q2" s="106" t="s">
        <v>37</v>
      </c>
      <c r="R2" s="106" t="s">
        <v>38</v>
      </c>
      <c r="S2" s="106" t="s">
        <v>66</v>
      </c>
      <c r="T2" s="106" t="s">
        <v>568</v>
      </c>
      <c r="U2" s="106" t="s">
        <v>570</v>
      </c>
      <c r="V2" s="106" t="s">
        <v>67</v>
      </c>
      <c r="W2" s="107" t="s">
        <v>68</v>
      </c>
      <c r="X2" s="108" t="s">
        <v>36</v>
      </c>
      <c r="Y2" s="106" t="s">
        <v>37</v>
      </c>
      <c r="Z2" s="106" t="s">
        <v>38</v>
      </c>
      <c r="AA2" s="106" t="s">
        <v>66</v>
      </c>
      <c r="AB2" s="106" t="s">
        <v>568</v>
      </c>
      <c r="AC2" s="106" t="s">
        <v>570</v>
      </c>
      <c r="AD2" s="106" t="s">
        <v>67</v>
      </c>
      <c r="AE2" s="107" t="s">
        <v>68</v>
      </c>
      <c r="AF2" s="106" t="s">
        <v>36</v>
      </c>
      <c r="AG2" s="106" t="s">
        <v>37</v>
      </c>
      <c r="AH2" s="106" t="s">
        <v>38</v>
      </c>
      <c r="AI2" s="106" t="s">
        <v>66</v>
      </c>
      <c r="AJ2" s="106" t="s">
        <v>568</v>
      </c>
      <c r="AK2" s="106" t="s">
        <v>571</v>
      </c>
      <c r="AL2" s="106" t="s">
        <v>67</v>
      </c>
      <c r="AM2" s="106" t="s">
        <v>68</v>
      </c>
      <c r="AN2" s="105" t="s">
        <v>120</v>
      </c>
      <c r="AO2" s="109" t="s">
        <v>204</v>
      </c>
      <c r="AP2" s="109" t="s">
        <v>206</v>
      </c>
      <c r="AQ2" s="184" t="s">
        <v>209</v>
      </c>
      <c r="AR2" s="108" t="s">
        <v>61</v>
      </c>
      <c r="AS2" s="109" t="s">
        <v>62</v>
      </c>
      <c r="AT2" s="183" t="s">
        <v>554</v>
      </c>
      <c r="AU2" s="184" t="s">
        <v>210</v>
      </c>
      <c r="AV2" s="135" t="s">
        <v>556</v>
      </c>
      <c r="AW2" s="135" t="s">
        <v>573</v>
      </c>
      <c r="AX2" s="135" t="s">
        <v>575</v>
      </c>
    </row>
    <row r="3" spans="1:53" ht="60">
      <c r="A3" s="190" t="s">
        <v>469</v>
      </c>
      <c r="B3" s="201" t="s">
        <v>470</v>
      </c>
      <c r="C3" s="201"/>
      <c r="D3" s="200"/>
      <c r="E3" s="200" t="s">
        <v>49</v>
      </c>
      <c r="F3" s="200" t="s">
        <v>47</v>
      </c>
      <c r="G3" s="199" t="s">
        <v>49</v>
      </c>
      <c r="H3" s="189" t="s">
        <v>12</v>
      </c>
      <c r="I3" s="200">
        <v>0</v>
      </c>
      <c r="J3" s="198">
        <v>36</v>
      </c>
      <c r="K3" s="198">
        <f>SUM(I3:J3)</f>
        <v>36</v>
      </c>
      <c r="L3" s="197">
        <f>IFERROR($I3*IF($F3="ORD",VLOOKUP($H3,'Labour rates'!$B$74:$Q$85,'Labour rates'!$E$1,FALSE),VLOOKUP($H3,'Labour rates'!$B$74:$Q$85,'Labour rates'!$M$1,FALSE)),0)</f>
        <v>0</v>
      </c>
      <c r="M3" s="197">
        <f>IFERROR($J3*IF($F3="ORD",VLOOKUP($H3,'Labour rates'!$B$74:$Q$85,'Labour rates'!$E$1,FALSE),VLOOKUP($H3,'Labour rates'!$B$74:$Q$85,'Labour rates'!$M$1,FALSE)),0)</f>
        <v>2458.9034719913448</v>
      </c>
      <c r="N3" s="197">
        <f>L3*(1+'Escalators &amp; overheads'!$E$22)*(1+'Escalators &amp; overheads'!$J$28)*(1+'Escalators &amp; overheads'!$J$29)*(1+'Escalators &amp; overheads'!$J$46)</f>
        <v>0</v>
      </c>
      <c r="O3" s="196">
        <f>M3*(1+'Escalators &amp; overheads'!$E$22)*(1+'Escalators &amp; overheads'!$J$28)*(1+'Escalators &amp; overheads'!$J$29)*(1+'Escalators &amp; overheads'!$J$46)</f>
        <v>7442.5534663990929</v>
      </c>
      <c r="P3" s="195" t="s">
        <v>12</v>
      </c>
      <c r="Q3" s="194">
        <f>IF(P3="None",0,IF(E3="Yes",VLOOKUP(D3,'Travel time inputs'!$A$3:$B$4,2,FALSE),0))</f>
        <v>0</v>
      </c>
      <c r="R3" s="194">
        <v>4</v>
      </c>
      <c r="S3" s="194">
        <f>SUM(Q3:R3)</f>
        <v>4</v>
      </c>
      <c r="T3" s="197">
        <f>IF($P3="None",0,Q3*IF(F3="ORD",VLOOKUP(P3,'Labour rates'!$B$74:$Q$85,'Labour rates'!$E$1,FALSE),VLOOKUP(P3,'Labour rates'!$B$74:$Q$85,'Labour rates'!$M$1,FALSE)))</f>
        <v>0</v>
      </c>
      <c r="U3" s="197">
        <f>IF($P3="None",0,$R3*IF($F3="ORD",VLOOKUP($P3,'Labour rates'!$B$74:$Q$85,'Labour rates'!$E$1,FALSE),VLOOKUP($P3,'Labour rates'!$B$74:$Q$85,'Labour rates'!$M$1,FALSE)))</f>
        <v>273.21149688792718</v>
      </c>
      <c r="V3" s="197">
        <f>T3*(1+'Escalators &amp; overheads'!$E$22)*(1+'Escalators &amp; overheads'!$J$28)*(1+'Escalators &amp; overheads'!$J$29)*(1+'Escalators &amp; overheads'!$J$46)</f>
        <v>0</v>
      </c>
      <c r="W3" s="196">
        <f>U3*(1+'Escalators &amp; overheads'!$E$22)*(1+'Escalators &amp; overheads'!$J$28)*(1+'Escalators &amp; overheads'!$J$29)*(1+'Escalators &amp; overheads'!$J$46)</f>
        <v>826.9503851554548</v>
      </c>
      <c r="X3" s="189" t="s">
        <v>21</v>
      </c>
      <c r="Y3" s="194">
        <f>IF($X3="None",0,IF($E3="Yes",VLOOKUP($D3,'Travel time inputs'!$A$3:$B$4,2,FALSE),0))</f>
        <v>0</v>
      </c>
      <c r="Z3" s="194">
        <v>48</v>
      </c>
      <c r="AA3" s="194">
        <f>SUM(Y3:Z3)</f>
        <v>48</v>
      </c>
      <c r="AB3" s="197">
        <f>IF($X3="None",0,Y3*IF($F3="ORD",VLOOKUP(X3,'Labour rates'!$B$74:$Q$85,'Labour rates'!$E$1,FALSE),VLOOKUP(X3,'Labour rates'!$B$74:$Q$85,'Labour rates'!$M$1,FALSE)))</f>
        <v>0</v>
      </c>
      <c r="AC3" s="197">
        <f>IF($X3="None",0,$Z3*IF($F3="ORD",VLOOKUP($X3,'Labour rates'!$B$74:$Q$85,'Labour rates'!$E$1,FALSE),VLOOKUP($X3,'Labour rates'!$B$74:$Q$85,'Labour rates'!$M$1,FALSE)))</f>
        <v>3006.3176964493878</v>
      </c>
      <c r="AD3" s="197">
        <f>AB3*(1+'Escalators &amp; overheads'!$E$22)*(1+'Escalators &amp; overheads'!$J$28)*(1+'Escalators &amp; overheads'!$J$29)*(1+'Escalators &amp; overheads'!$J$46)</f>
        <v>0</v>
      </c>
      <c r="AE3" s="197">
        <f>AC3*(1+'Escalators &amp; overheads'!$E$22)*(1+'Escalators &amp; overheads'!$J$28)*(1+'Escalators &amp; overheads'!$J$29)*(1+'Escalators &amp; overheads'!$J$46)</f>
        <v>9099.454471340503</v>
      </c>
      <c r="AF3" s="189" t="s">
        <v>12</v>
      </c>
      <c r="AG3" s="194">
        <f>IF($X3="None",0,IF($E3="Yes",VLOOKUP($D3,'Travel time inputs'!$A$3:$B$4,2,FALSE),0))</f>
        <v>0</v>
      </c>
      <c r="AH3" s="194">
        <v>22</v>
      </c>
      <c r="AI3" s="194">
        <f>SUM(AG3:AH3)</f>
        <v>22</v>
      </c>
      <c r="AJ3" s="197">
        <f>IF($AF3="None",0,AG3*IF($F3="ORD",VLOOKUP(AF3,'Labour rates'!$B$74:$Q$85,'Labour rates'!$E$1,FALSE),VLOOKUP(AF3,'Labour rates'!$B$74:$Q$85,'Labour rates'!$M$1,FALSE)))</f>
        <v>0</v>
      </c>
      <c r="AK3" s="197">
        <f>IF($AF3="None",0,$AI3*IF($F3="ORD",VLOOKUP($X3,'Labour rates'!$B$74:$Q$85,'Labour rates'!$E$1,FALSE),VLOOKUP($X3,'Labour rates'!$B$74:$Q$85,'Labour rates'!$M$1,FALSE)))</f>
        <v>1377.8956108726361</v>
      </c>
      <c r="AL3" s="197">
        <f>AJ3*(1+'Escalators &amp; overheads'!$E$22)*(1+'Escalators &amp; overheads'!$J$28)*(1+'Escalators &amp; overheads'!$J$29)*(1+'Escalators &amp; overheads'!$J$46)</f>
        <v>0</v>
      </c>
      <c r="AM3" s="197">
        <f>AK3*(1+'Escalators &amp; overheads'!$E$22)*(1+'Escalators &amp; overheads'!$J$28)*(1+'Escalators &amp; overheads'!$J$29)*(1+'Escalators &amp; overheads'!$J$46)</f>
        <v>4170.5832993643971</v>
      </c>
      <c r="AN3" s="204" t="s">
        <v>49</v>
      </c>
      <c r="AO3" s="200"/>
      <c r="AP3" s="197">
        <v>0</v>
      </c>
      <c r="AQ3" s="197">
        <f>AP3*(1+'Escalators &amp; overheads'!$J$29)*(1+'Escalators &amp; overheads'!$J$46)</f>
        <v>0</v>
      </c>
      <c r="AR3" s="195" t="s">
        <v>0</v>
      </c>
      <c r="AS3" s="200">
        <v>0</v>
      </c>
      <c r="AT3" s="200">
        <f>IF(AR3="No material needed",0,AS3*VLOOKUP(AR3,'Material costs'!$B$3:$I$7,'Material costs'!$E$1,FALSE))</f>
        <v>0</v>
      </c>
      <c r="AU3" s="199">
        <f>AT3*(1+'Escalators &amp; overheads'!$E$23)*(1+'Escalators &amp; overheads'!$J$28)*(1+'Escalators &amp; overheads'!$J$29)*(1+'Escalators &amp; overheads'!$J$46)</f>
        <v>0</v>
      </c>
      <c r="AV3" s="196">
        <f>IF(G3="No",0,'Traffic control fees'!$E$107)</f>
        <v>0</v>
      </c>
      <c r="AW3" s="196">
        <f>AV3*(1+'Escalators &amp; overheads'!$J$46)</f>
        <v>0</v>
      </c>
      <c r="AX3" s="193">
        <f>($N3+$O3+$V3+$W3+$AD3+$AE3+$AL3+$AM3+$AQ3+$AU3+$AV3)</f>
        <v>21539.541622259447</v>
      </c>
    </row>
    <row r="5" spans="1:53" s="165" customFormat="1" ht="27" customHeight="1">
      <c r="A5" s="19" t="s">
        <v>574</v>
      </c>
      <c r="H5" s="399" t="s">
        <v>35</v>
      </c>
      <c r="I5" s="400"/>
      <c r="J5" s="400"/>
      <c r="K5" s="400"/>
      <c r="L5" s="400"/>
      <c r="M5" s="400"/>
      <c r="N5" s="400"/>
      <c r="O5" s="400"/>
      <c r="P5" s="399" t="s">
        <v>39</v>
      </c>
      <c r="Q5" s="400"/>
      <c r="R5" s="400"/>
      <c r="S5" s="400"/>
      <c r="T5" s="400"/>
      <c r="U5" s="400"/>
      <c r="V5" s="400"/>
      <c r="W5" s="400"/>
      <c r="X5" s="399" t="s">
        <v>216</v>
      </c>
      <c r="Y5" s="400"/>
      <c r="Z5" s="400"/>
      <c r="AA5" s="400"/>
      <c r="AB5" s="400"/>
      <c r="AC5" s="400"/>
      <c r="AD5" s="400"/>
      <c r="AE5" s="400"/>
      <c r="AF5" s="399" t="s">
        <v>472</v>
      </c>
      <c r="AG5" s="400"/>
      <c r="AH5" s="400"/>
      <c r="AI5" s="400"/>
      <c r="AJ5" s="400"/>
      <c r="AK5" s="400"/>
      <c r="AL5" s="400"/>
      <c r="AM5" s="402"/>
      <c r="AN5" s="399" t="s">
        <v>572</v>
      </c>
      <c r="AO5" s="400"/>
      <c r="AP5" s="400"/>
      <c r="AQ5" s="402"/>
      <c r="AR5" s="399" t="s">
        <v>102</v>
      </c>
      <c r="AS5" s="400"/>
      <c r="AT5" s="400"/>
      <c r="AU5" s="402"/>
      <c r="AV5" s="399" t="s">
        <v>383</v>
      </c>
      <c r="AW5" s="402"/>
    </row>
    <row r="6" spans="1:53" s="165" customFormat="1" ht="76.5" customHeight="1">
      <c r="A6" s="106" t="s">
        <v>493</v>
      </c>
      <c r="B6" s="106" t="s">
        <v>34</v>
      </c>
      <c r="C6" s="106" t="s">
        <v>104</v>
      </c>
      <c r="D6" s="106" t="s">
        <v>57</v>
      </c>
      <c r="E6" s="106" t="s">
        <v>184</v>
      </c>
      <c r="F6" s="106" t="s">
        <v>48</v>
      </c>
      <c r="G6" s="107" t="s">
        <v>185</v>
      </c>
      <c r="H6" s="105" t="s">
        <v>36</v>
      </c>
      <c r="I6" s="106" t="s">
        <v>37</v>
      </c>
      <c r="J6" s="106" t="s">
        <v>38</v>
      </c>
      <c r="K6" s="106" t="s">
        <v>65</v>
      </c>
      <c r="L6" s="106" t="s">
        <v>565</v>
      </c>
      <c r="M6" s="106" t="s">
        <v>569</v>
      </c>
      <c r="N6" s="106" t="s">
        <v>64</v>
      </c>
      <c r="O6" s="107" t="s">
        <v>63</v>
      </c>
      <c r="P6" s="108" t="s">
        <v>36</v>
      </c>
      <c r="Q6" s="106" t="s">
        <v>37</v>
      </c>
      <c r="R6" s="106" t="s">
        <v>38</v>
      </c>
      <c r="S6" s="106" t="s">
        <v>66</v>
      </c>
      <c r="T6" s="106" t="s">
        <v>568</v>
      </c>
      <c r="U6" s="106" t="s">
        <v>570</v>
      </c>
      <c r="V6" s="106" t="s">
        <v>67</v>
      </c>
      <c r="W6" s="107" t="s">
        <v>68</v>
      </c>
      <c r="X6" s="108" t="s">
        <v>36</v>
      </c>
      <c r="Y6" s="106" t="s">
        <v>37</v>
      </c>
      <c r="Z6" s="106" t="s">
        <v>38</v>
      </c>
      <c r="AA6" s="106" t="s">
        <v>66</v>
      </c>
      <c r="AB6" s="106" t="s">
        <v>568</v>
      </c>
      <c r="AC6" s="106" t="s">
        <v>570</v>
      </c>
      <c r="AD6" s="106" t="s">
        <v>67</v>
      </c>
      <c r="AE6" s="107" t="s">
        <v>68</v>
      </c>
      <c r="AF6" s="106" t="s">
        <v>36</v>
      </c>
      <c r="AG6" s="106" t="s">
        <v>37</v>
      </c>
      <c r="AH6" s="106" t="s">
        <v>38</v>
      </c>
      <c r="AI6" s="106" t="s">
        <v>66</v>
      </c>
      <c r="AJ6" s="106" t="s">
        <v>568</v>
      </c>
      <c r="AK6" s="106" t="s">
        <v>571</v>
      </c>
      <c r="AL6" s="106" t="s">
        <v>67</v>
      </c>
      <c r="AM6" s="106" t="s">
        <v>68</v>
      </c>
      <c r="AN6" s="105" t="s">
        <v>120</v>
      </c>
      <c r="AO6" s="109" t="s">
        <v>204</v>
      </c>
      <c r="AP6" s="109" t="s">
        <v>206</v>
      </c>
      <c r="AQ6" s="220" t="s">
        <v>209</v>
      </c>
      <c r="AR6" s="108" t="s">
        <v>61</v>
      </c>
      <c r="AS6" s="109" t="s">
        <v>62</v>
      </c>
      <c r="AT6" s="241" t="s">
        <v>554</v>
      </c>
      <c r="AU6" s="242" t="s">
        <v>210</v>
      </c>
      <c r="AV6" s="135" t="s">
        <v>556</v>
      </c>
      <c r="AW6" s="135" t="s">
        <v>573</v>
      </c>
      <c r="AX6" s="135" t="s">
        <v>575</v>
      </c>
      <c r="AY6" s="397" t="s">
        <v>497</v>
      </c>
      <c r="AZ6" s="398"/>
      <c r="BA6" s="398"/>
    </row>
    <row r="7" spans="1:53" s="129" customFormat="1" ht="60">
      <c r="A7" s="221" t="s">
        <v>469</v>
      </c>
      <c r="B7" s="201" t="s">
        <v>470</v>
      </c>
      <c r="C7" s="201"/>
      <c r="D7" s="200"/>
      <c r="E7" s="200" t="s">
        <v>49</v>
      </c>
      <c r="F7" s="200" t="s">
        <v>47</v>
      </c>
      <c r="G7" s="199" t="s">
        <v>49</v>
      </c>
      <c r="H7" s="189" t="s">
        <v>12</v>
      </c>
      <c r="I7" s="200">
        <v>0</v>
      </c>
      <c r="J7" s="198">
        <v>36</v>
      </c>
      <c r="K7" s="198">
        <f>SUM(I7:J7)</f>
        <v>36</v>
      </c>
      <c r="L7" s="197">
        <f>IFERROR($I7*IF($F7="ORD",VLOOKUP($H7,'Labour rates'!$B$74:$Q$85,'Labour rates'!$F$1,FALSE),VLOOKUP($H7,'Labour rates'!$B$74:$Q$85,'Labour rates'!$N$1,FALSE)),0)</f>
        <v>0</v>
      </c>
      <c r="M7" s="197">
        <f>IFERROR($J7*IF($F7="ORD",VLOOKUP($H7,'Labour rates'!$B$74:$Q$85,'Labour rates'!$F$1,FALSE),VLOOKUP($H7,'Labour rates'!$B$74:$Q$85,'Labour rates'!$N$1,FALSE)),0)</f>
        <v>2480.1546957245027</v>
      </c>
      <c r="N7" s="197">
        <f>L7*(1+'Escalators &amp; overheads'!$E$22)*(1+'Escalators &amp; overheads'!$J$28)*(1+'Escalators &amp; overheads'!$J$29)*(1+'Escalators &amp; overheads'!$J$46)</f>
        <v>0</v>
      </c>
      <c r="O7" s="196">
        <f>M7*(1+'Escalators &amp; overheads'!$E$22)*(1+'Escalators &amp; overheads'!$J$28)*(1+'Escalators &amp; overheads'!$J$29)*(1+'Escalators &amp; overheads'!$J$46)</f>
        <v>7506.8761901912349</v>
      </c>
      <c r="P7" s="195" t="s">
        <v>12</v>
      </c>
      <c r="Q7" s="194">
        <f>IF(P7="None",0,IF(E7="Yes",VLOOKUP(D7,'Travel time inputs'!$A$3:$B$4,2,FALSE),0))</f>
        <v>0</v>
      </c>
      <c r="R7" s="194">
        <v>4</v>
      </c>
      <c r="S7" s="194">
        <f>SUM(Q7:R7)</f>
        <v>4</v>
      </c>
      <c r="T7" s="197">
        <f>IF($P7="None",0,Q7*IF(F7="ORD",VLOOKUP(P7,'Labour rates'!$B$74:$Q$85,'Labour rates'!$F$1,FALSE),VLOOKUP(P7,'Labour rates'!$B$74:$Q$85,'Labour rates'!$N$1,FALSE)))</f>
        <v>0</v>
      </c>
      <c r="U7" s="197">
        <f>IF($P7="None",0,$R7*IF($F7="ORD",VLOOKUP($P7,'Labour rates'!$B$74:$Q$85,'Labour rates'!$F$1,FALSE),VLOOKUP($P7,'Labour rates'!$B$74:$Q$85,'Labour rates'!$N$1,FALSE)))</f>
        <v>275.57274396938919</v>
      </c>
      <c r="V7" s="197">
        <f>T7*(1+'Escalators &amp; overheads'!$E$22)*(1+'Escalators &amp; overheads'!$J$28)*(1+'Escalators &amp; overheads'!$J$29)*(1+'Escalators &amp; overheads'!$J$46)</f>
        <v>0</v>
      </c>
      <c r="W7" s="196">
        <f>U7*(1+'Escalators &amp; overheads'!$E$22)*(1+'Escalators &amp; overheads'!$J$28)*(1+'Escalators &amp; overheads'!$J$29)*(1+'Escalators &amp; overheads'!$J$46)</f>
        <v>834.09735446569277</v>
      </c>
      <c r="X7" s="189" t="s">
        <v>21</v>
      </c>
      <c r="Y7" s="194">
        <f>IF($X7="None",0,IF($E7="Yes",VLOOKUP($D7,'Travel time inputs'!$A$3:$B$4,2,FALSE),0))</f>
        <v>0</v>
      </c>
      <c r="Z7" s="194">
        <v>48</v>
      </c>
      <c r="AA7" s="194">
        <f>SUM(Y7:Z7)</f>
        <v>48</v>
      </c>
      <c r="AB7" s="197">
        <f>IF($X7="None",0,Y7*IF($F7="ORD",VLOOKUP(X7,'Labour rates'!$B$74:$Q$85,'Labour rates'!$F$1,FALSE),VLOOKUP(X7,'Labour rates'!$B$74:$Q$85,'Labour rates'!$N$1,FALSE)))</f>
        <v>0</v>
      </c>
      <c r="AC7" s="197">
        <f>IF($X7="None",0,$Z7*IF($F7="ORD",VLOOKUP($X7,'Labour rates'!$B$74:$Q$85,'Labour rates'!$F$1,FALSE),VLOOKUP($X7,'Labour rates'!$B$74:$Q$85,'Labour rates'!$N$1,FALSE)))</f>
        <v>3032.2999811173008</v>
      </c>
      <c r="AD7" s="197">
        <f>AB7*(1+'Escalators &amp; overheads'!$E$22)*(1+'Escalators &amp; overheads'!$J$28)*(1+'Escalators &amp; overheads'!$J$29)*(1+'Escalators &amp; overheads'!$J$46)</f>
        <v>0</v>
      </c>
      <c r="AE7" s="197">
        <f>AC7*(1+'Escalators &amp; overheads'!$E$22)*(1+'Escalators &amp; overheads'!$J$28)*(1+'Escalators &amp; overheads'!$J$29)*(1+'Escalators &amp; overheads'!$J$46)</f>
        <v>9178.09706346452</v>
      </c>
      <c r="AF7" s="189" t="s">
        <v>12</v>
      </c>
      <c r="AG7" s="194">
        <f>IF($X7="None",0,IF($E7="Yes",VLOOKUP($D7,'Travel time inputs'!$A$3:$B$4,2,FALSE),0))</f>
        <v>0</v>
      </c>
      <c r="AH7" s="194">
        <v>22</v>
      </c>
      <c r="AI7" s="194">
        <f>SUM(AG7:AH7)</f>
        <v>22</v>
      </c>
      <c r="AJ7" s="197">
        <f>IF($AF7="None",0,AG7*IF($F7="ORD",VLOOKUP(AF7,'Labour rates'!$B$74:$Q$85,'Labour rates'!$F$1,FALSE),VLOOKUP(AF7,'Labour rates'!$B$74:$Q$85,'Labour rates'!$N$1,FALSE)))</f>
        <v>0</v>
      </c>
      <c r="AK7" s="197">
        <f>IF($AF7="None",0,$AI7*IF($F7="ORD",VLOOKUP($X7,'Labour rates'!$B$74:$Q$85,'Labour rates'!$F$1,FALSE),VLOOKUP($X7,'Labour rates'!$B$74:$Q$85,'Labour rates'!$N$1,FALSE)))</f>
        <v>1389.8041580120962</v>
      </c>
      <c r="AL7" s="197">
        <f>AJ7*(1+'Escalators &amp; overheads'!$E$22)*(1+'Escalators &amp; overheads'!$J$28)*(1+'Escalators &amp; overheads'!$J$29)*(1+'Escalators &amp; overheads'!$J$46)</f>
        <v>0</v>
      </c>
      <c r="AM7" s="197">
        <f>AK7*(1+'Escalators &amp; overheads'!$E$22)*(1+'Escalators &amp; overheads'!$J$28)*(1+'Escalators &amp; overheads'!$J$29)*(1+'Escalators &amp; overheads'!$J$46)</f>
        <v>4206.627820754572</v>
      </c>
      <c r="AN7" s="204" t="s">
        <v>49</v>
      </c>
      <c r="AO7" s="200"/>
      <c r="AP7" s="197">
        <v>0</v>
      </c>
      <c r="AQ7" s="197">
        <f>AP7*(1+'Escalators &amp; overheads'!$J$29)*(1+'Escalators &amp; overheads'!$J$46)</f>
        <v>0</v>
      </c>
      <c r="AR7" s="195" t="s">
        <v>0</v>
      </c>
      <c r="AS7" s="200">
        <v>0</v>
      </c>
      <c r="AT7" s="200">
        <f>IF(AR7="No material needed",0,AS7*VLOOKUP(AR7,'Material costs'!$B$3:$I$7,'Material costs'!$F$1,FALSE))</f>
        <v>0</v>
      </c>
      <c r="AU7" s="199">
        <f>AT7*(1+'Escalators &amp; overheads'!$E$23)*(1+'Escalators &amp; overheads'!$J$28)*(1+'Escalators &amp; overheads'!$J$29)*(1+'Escalators &amp; overheads'!$J$46)</f>
        <v>0</v>
      </c>
      <c r="AV7" s="196">
        <f>IF(G7="No",0,'Traffic control fees'!$E$107)</f>
        <v>0</v>
      </c>
      <c r="AW7" s="196">
        <f>AV7*(1+'Escalators &amp; overheads'!$J$46)</f>
        <v>0</v>
      </c>
      <c r="AX7" s="193">
        <f>($N7+$O7+$V7+$W7+$AD7+$AE7+$AL7+$AM7+$AQ7+$AU7+$AV7)</f>
        <v>21725.698428876021</v>
      </c>
    </row>
    <row r="9" spans="1:53" s="165" customFormat="1" ht="27" customHeight="1">
      <c r="A9" s="19" t="s">
        <v>574</v>
      </c>
      <c r="H9" s="399" t="s">
        <v>35</v>
      </c>
      <c r="I9" s="400"/>
      <c r="J9" s="400"/>
      <c r="K9" s="400"/>
      <c r="L9" s="400"/>
      <c r="M9" s="400"/>
      <c r="N9" s="400"/>
      <c r="O9" s="402"/>
      <c r="P9" s="399" t="s">
        <v>39</v>
      </c>
      <c r="Q9" s="400"/>
      <c r="R9" s="400"/>
      <c r="S9" s="400"/>
      <c r="T9" s="400"/>
      <c r="U9" s="400"/>
      <c r="V9" s="400"/>
      <c r="W9" s="402"/>
      <c r="X9" s="399" t="s">
        <v>216</v>
      </c>
      <c r="Y9" s="400"/>
      <c r="Z9" s="400"/>
      <c r="AA9" s="400"/>
      <c r="AB9" s="400"/>
      <c r="AC9" s="400"/>
      <c r="AD9" s="400"/>
      <c r="AE9" s="402"/>
      <c r="AF9" s="399" t="s">
        <v>472</v>
      </c>
      <c r="AG9" s="400"/>
      <c r="AH9" s="400"/>
      <c r="AI9" s="400"/>
      <c r="AJ9" s="400"/>
      <c r="AK9" s="400"/>
      <c r="AL9" s="400"/>
      <c r="AM9" s="402"/>
      <c r="AN9" s="399" t="s">
        <v>572</v>
      </c>
      <c r="AO9" s="400"/>
      <c r="AP9" s="400"/>
      <c r="AQ9" s="402"/>
      <c r="AR9" s="399" t="s">
        <v>102</v>
      </c>
      <c r="AS9" s="400"/>
      <c r="AT9" s="400"/>
      <c r="AU9" s="402"/>
      <c r="AV9" s="399" t="s">
        <v>383</v>
      </c>
      <c r="AW9" s="402"/>
    </row>
    <row r="10" spans="1:53" s="165" customFormat="1" ht="76.5" customHeight="1">
      <c r="A10" s="106" t="s">
        <v>494</v>
      </c>
      <c r="B10" s="106" t="s">
        <v>34</v>
      </c>
      <c r="C10" s="106" t="s">
        <v>104</v>
      </c>
      <c r="D10" s="106" t="s">
        <v>57</v>
      </c>
      <c r="E10" s="106" t="s">
        <v>184</v>
      </c>
      <c r="F10" s="106" t="s">
        <v>48</v>
      </c>
      <c r="G10" s="107" t="s">
        <v>185</v>
      </c>
      <c r="H10" s="105" t="s">
        <v>36</v>
      </c>
      <c r="I10" s="106" t="s">
        <v>37</v>
      </c>
      <c r="J10" s="106" t="s">
        <v>38</v>
      </c>
      <c r="K10" s="106" t="s">
        <v>65</v>
      </c>
      <c r="L10" s="106" t="s">
        <v>565</v>
      </c>
      <c r="M10" s="106" t="s">
        <v>569</v>
      </c>
      <c r="N10" s="106" t="s">
        <v>64</v>
      </c>
      <c r="O10" s="107" t="s">
        <v>63</v>
      </c>
      <c r="P10" s="108" t="s">
        <v>36</v>
      </c>
      <c r="Q10" s="106" t="s">
        <v>37</v>
      </c>
      <c r="R10" s="106" t="s">
        <v>38</v>
      </c>
      <c r="S10" s="106" t="s">
        <v>66</v>
      </c>
      <c r="T10" s="106" t="s">
        <v>568</v>
      </c>
      <c r="U10" s="106" t="s">
        <v>570</v>
      </c>
      <c r="V10" s="106" t="s">
        <v>67</v>
      </c>
      <c r="W10" s="107" t="s">
        <v>68</v>
      </c>
      <c r="X10" s="108" t="s">
        <v>36</v>
      </c>
      <c r="Y10" s="106" t="s">
        <v>37</v>
      </c>
      <c r="Z10" s="106" t="s">
        <v>38</v>
      </c>
      <c r="AA10" s="106" t="s">
        <v>66</v>
      </c>
      <c r="AB10" s="106" t="s">
        <v>568</v>
      </c>
      <c r="AC10" s="106" t="s">
        <v>570</v>
      </c>
      <c r="AD10" s="106" t="s">
        <v>67</v>
      </c>
      <c r="AE10" s="107" t="s">
        <v>68</v>
      </c>
      <c r="AF10" s="106" t="s">
        <v>36</v>
      </c>
      <c r="AG10" s="106" t="s">
        <v>37</v>
      </c>
      <c r="AH10" s="106" t="s">
        <v>38</v>
      </c>
      <c r="AI10" s="106" t="s">
        <v>66</v>
      </c>
      <c r="AJ10" s="106" t="s">
        <v>568</v>
      </c>
      <c r="AK10" s="106" t="s">
        <v>571</v>
      </c>
      <c r="AL10" s="106" t="s">
        <v>67</v>
      </c>
      <c r="AM10" s="106" t="s">
        <v>68</v>
      </c>
      <c r="AN10" s="105" t="s">
        <v>120</v>
      </c>
      <c r="AO10" s="109" t="s">
        <v>204</v>
      </c>
      <c r="AP10" s="109" t="s">
        <v>206</v>
      </c>
      <c r="AQ10" s="242" t="s">
        <v>209</v>
      </c>
      <c r="AR10" s="108" t="s">
        <v>61</v>
      </c>
      <c r="AS10" s="109" t="s">
        <v>62</v>
      </c>
      <c r="AT10" s="241" t="s">
        <v>554</v>
      </c>
      <c r="AU10" s="242" t="s">
        <v>210</v>
      </c>
      <c r="AV10" s="135" t="s">
        <v>556</v>
      </c>
      <c r="AW10" s="135" t="s">
        <v>573</v>
      </c>
      <c r="AX10" s="135" t="s">
        <v>575</v>
      </c>
      <c r="AY10" s="397" t="s">
        <v>497</v>
      </c>
      <c r="AZ10" s="398"/>
      <c r="BA10" s="398"/>
    </row>
    <row r="11" spans="1:53" s="129" customFormat="1" ht="60">
      <c r="A11" s="221" t="s">
        <v>469</v>
      </c>
      <c r="B11" s="201" t="s">
        <v>470</v>
      </c>
      <c r="C11" s="201"/>
      <c r="D11" s="200"/>
      <c r="E11" s="200" t="s">
        <v>49</v>
      </c>
      <c r="F11" s="200" t="s">
        <v>47</v>
      </c>
      <c r="G11" s="199" t="s">
        <v>49</v>
      </c>
      <c r="H11" s="189" t="s">
        <v>12</v>
      </c>
      <c r="I11" s="200">
        <v>0</v>
      </c>
      <c r="J11" s="198">
        <v>36</v>
      </c>
      <c r="K11" s="198">
        <f>SUM(I11:J11)</f>
        <v>36</v>
      </c>
      <c r="L11" s="197">
        <f>IFERROR($I11*IF($F11="ORD",VLOOKUP($H11,'Labour rates'!$B$74:$Q$85,'Labour rates'!$G$1,FALSE),VLOOKUP($H11,'Labour rates'!$B$74:$Q$85,'Labour rates'!$O$1,FALSE)),0)</f>
        <v>0</v>
      </c>
      <c r="M11" s="197">
        <f>IFERROR($J11*IF($F11="ORD",VLOOKUP($H11,'Labour rates'!$B$74:$Q$85,'Labour rates'!$G$1,FALSE),VLOOKUP($H11,'Labour rates'!$B$74:$Q$85,'Labour rates'!$O$1,FALSE)),0)</f>
        <v>2502.7784495985852</v>
      </c>
      <c r="N11" s="197">
        <f>L11*(1+'Escalators &amp; overheads'!$E$22)*(1+'Escalators &amp; overheads'!$J$28)*(1+'Escalators &amp; overheads'!$J$29)*(1+'Escalators &amp; overheads'!$J$46)</f>
        <v>0</v>
      </c>
      <c r="O11" s="196">
        <f>M11*(1+'Escalators &amp; overheads'!$E$22)*(1+'Escalators &amp; overheads'!$J$28)*(1+'Escalators &amp; overheads'!$J$29)*(1+'Escalators &amp; overheads'!$J$46)</f>
        <v>7575.3532571995429</v>
      </c>
      <c r="P11" s="195" t="s">
        <v>12</v>
      </c>
      <c r="Q11" s="194">
        <f>IF(P11="None",0,IF(E11="Yes",VLOOKUP(D11,'Travel time inputs'!$A$3:$B$4,2,FALSE),0))</f>
        <v>0</v>
      </c>
      <c r="R11" s="194">
        <v>4</v>
      </c>
      <c r="S11" s="194">
        <f>SUM(Q11:R11)</f>
        <v>4</v>
      </c>
      <c r="T11" s="197">
        <f>IF($P11="None",0,Q11*IF(F11="ORD",VLOOKUP(P11,'Labour rates'!$B$74:$Q$85,'Labour rates'!$G$1,FALSE),VLOOKUP(P11,'Labour rates'!$B$74:$Q$85,'Labour rates'!$O$1,FALSE)))</f>
        <v>0</v>
      </c>
      <c r="U11" s="197">
        <f>IF($P11="None",0,$R11*IF($F11="ORD",VLOOKUP($P11,'Labour rates'!$B$74:$Q$85,'Labour rates'!$G$1,FALSE),VLOOKUP($P11,'Labour rates'!$B$74:$Q$85,'Labour rates'!$O$1,FALSE)))</f>
        <v>278.08649439984282</v>
      </c>
      <c r="V11" s="197">
        <f>T11*(1+'Escalators &amp; overheads'!$E$22)*(1+'Escalators &amp; overheads'!$J$28)*(1+'Escalators &amp; overheads'!$J$29)*(1+'Escalators &amp; overheads'!$J$46)</f>
        <v>0</v>
      </c>
      <c r="W11" s="196">
        <f>U11*(1+'Escalators &amp; overheads'!$E$22)*(1+'Escalators &amp; overheads'!$J$28)*(1+'Escalators &amp; overheads'!$J$29)*(1+'Escalators &amp; overheads'!$J$46)</f>
        <v>841.7059174666158</v>
      </c>
      <c r="X11" s="189" t="s">
        <v>21</v>
      </c>
      <c r="Y11" s="194">
        <f>IF($X11="None",0,IF($E11="Yes",VLOOKUP($D11,'Travel time inputs'!$A$3:$B$4,2,FALSE),0))</f>
        <v>0</v>
      </c>
      <c r="Z11" s="194">
        <v>48</v>
      </c>
      <c r="AA11" s="194">
        <f>SUM(Y11:Z11)</f>
        <v>48</v>
      </c>
      <c r="AB11" s="197">
        <f>IF($X11="None",0,Y11*IF($F11="ORD",VLOOKUP(X11,'Labour rates'!$B$74:$Q$85,'Labour rates'!$G$1,FALSE),VLOOKUP(X11,'Labour rates'!$B$74:$Q$85,'Labour rates'!$O$1,FALSE)))</f>
        <v>0</v>
      </c>
      <c r="AC11" s="197">
        <f>IF($X11="None",0,$Z11*IF($F11="ORD",VLOOKUP($X11,'Labour rates'!$B$74:$Q$85,'Labour rates'!$G$1,FALSE),VLOOKUP($X11,'Labour rates'!$B$74:$Q$85,'Labour rates'!$O$1,FALSE)))</f>
        <v>3059.9603559170846</v>
      </c>
      <c r="AD11" s="197">
        <f>AB11*(1+'Escalators &amp; overheads'!$E$22)*(1+'Escalators &amp; overheads'!$J$28)*(1+'Escalators &amp; overheads'!$J$29)*(1+'Escalators &amp; overheads'!$J$46)</f>
        <v>0</v>
      </c>
      <c r="AE11" s="197">
        <f>AC11*(1+'Escalators &amp; overheads'!$E$22)*(1+'Escalators &amp; overheads'!$J$28)*(1+'Escalators &amp; overheads'!$J$29)*(1+'Escalators &amp; overheads'!$J$46)</f>
        <v>9261.8188608807104</v>
      </c>
      <c r="AF11" s="189" t="s">
        <v>12</v>
      </c>
      <c r="AG11" s="194">
        <f>IF($X11="None",0,IF($E11="Yes",VLOOKUP($D11,'Travel time inputs'!$A$3:$B$4,2,FALSE),0))</f>
        <v>0</v>
      </c>
      <c r="AH11" s="194">
        <v>22</v>
      </c>
      <c r="AI11" s="194">
        <f>SUM(AG11:AH11)</f>
        <v>22</v>
      </c>
      <c r="AJ11" s="197">
        <f>IF($AF11="None",0,AG11*IF($F11="ORD",VLOOKUP(AF11,'Labour rates'!$B$74:$Q$85,'Labour rates'!$G$1,FALSE),VLOOKUP(AF11,'Labour rates'!$B$74:$Q$85,'Labour rates'!$O$1,FALSE)))</f>
        <v>0</v>
      </c>
      <c r="AK11" s="197">
        <f>IF($AF11="None",0,$AI11*IF($F11="ORD",VLOOKUP($X11,'Labour rates'!$B$74:$Q$85,'Labour rates'!$G$1,FALSE),VLOOKUP($X11,'Labour rates'!$B$74:$Q$85,'Labour rates'!$O$1,FALSE)))</f>
        <v>1402.4818297953304</v>
      </c>
      <c r="AL11" s="197">
        <f>AJ11*(1+'Escalators &amp; overheads'!$E$22)*(1+'Escalators &amp; overheads'!$J$28)*(1+'Escalators &amp; overheads'!$J$29)*(1+'Escalators &amp; overheads'!$J$46)</f>
        <v>0</v>
      </c>
      <c r="AM11" s="197">
        <f>AK11*(1+'Escalators &amp; overheads'!$E$22)*(1+'Escalators &amp; overheads'!$J$28)*(1+'Escalators &amp; overheads'!$J$29)*(1+'Escalators &amp; overheads'!$J$46)</f>
        <v>4245.0003112369923</v>
      </c>
      <c r="AN11" s="204" t="s">
        <v>49</v>
      </c>
      <c r="AO11" s="200"/>
      <c r="AP11" s="197">
        <v>0</v>
      </c>
      <c r="AQ11" s="197">
        <f>AP11*(1+'Escalators &amp; overheads'!$J$29)*(1+'Escalators &amp; overheads'!$J$46)</f>
        <v>0</v>
      </c>
      <c r="AR11" s="195" t="s">
        <v>0</v>
      </c>
      <c r="AS11" s="200">
        <v>0</v>
      </c>
      <c r="AT11" s="200">
        <f>IF(AR11="No material needed",0,AS11*VLOOKUP(AR11,'Material costs'!$B$3:$I$7,'Material costs'!$G$1,FALSE))</f>
        <v>0</v>
      </c>
      <c r="AU11" s="199">
        <f>AT11*(1+'Escalators &amp; overheads'!$E$23)*(1+'Escalators &amp; overheads'!$J$28)*(1+'Escalators &amp; overheads'!$J$29)*(1+'Escalators &amp; overheads'!$J$46)</f>
        <v>0</v>
      </c>
      <c r="AV11" s="196">
        <f>IF(G11="No",0,'Traffic control fees'!$E$107)</f>
        <v>0</v>
      </c>
      <c r="AW11" s="196">
        <f>AV11*(1+'Escalators &amp; overheads'!$J$46)</f>
        <v>0</v>
      </c>
      <c r="AX11" s="193">
        <f>($N11+$O11+$V11+$W11+$AD11+$AE11+$AL11+$AM11+$AQ11+$AU11+$AV11)</f>
        <v>21923.878346783862</v>
      </c>
    </row>
    <row r="13" spans="1:53" s="165" customFormat="1" ht="27" customHeight="1">
      <c r="A13" s="19" t="s">
        <v>574</v>
      </c>
      <c r="H13" s="399" t="s">
        <v>35</v>
      </c>
      <c r="I13" s="400"/>
      <c r="J13" s="400"/>
      <c r="K13" s="400"/>
      <c r="L13" s="400"/>
      <c r="M13" s="400"/>
      <c r="N13" s="400"/>
      <c r="O13" s="400"/>
      <c r="P13" s="399" t="s">
        <v>39</v>
      </c>
      <c r="Q13" s="400"/>
      <c r="R13" s="400"/>
      <c r="S13" s="400"/>
      <c r="T13" s="400"/>
      <c r="U13" s="400"/>
      <c r="V13" s="400"/>
      <c r="W13" s="400"/>
      <c r="X13" s="399" t="s">
        <v>216</v>
      </c>
      <c r="Y13" s="400"/>
      <c r="Z13" s="400"/>
      <c r="AA13" s="400"/>
      <c r="AB13" s="400"/>
      <c r="AC13" s="400"/>
      <c r="AD13" s="400"/>
      <c r="AE13" s="400"/>
      <c r="AF13" s="399" t="s">
        <v>472</v>
      </c>
      <c r="AG13" s="400"/>
      <c r="AH13" s="400"/>
      <c r="AI13" s="400"/>
      <c r="AJ13" s="400"/>
      <c r="AK13" s="400"/>
      <c r="AL13" s="400"/>
      <c r="AM13" s="402"/>
      <c r="AN13" s="399" t="s">
        <v>572</v>
      </c>
      <c r="AO13" s="400"/>
      <c r="AP13" s="400"/>
      <c r="AQ13" s="402"/>
      <c r="AR13" s="399" t="s">
        <v>102</v>
      </c>
      <c r="AS13" s="400"/>
      <c r="AT13" s="400"/>
      <c r="AU13" s="402"/>
      <c r="AV13" s="399" t="s">
        <v>383</v>
      </c>
      <c r="AW13" s="402"/>
    </row>
    <row r="14" spans="1:53" s="165" customFormat="1" ht="76.5" customHeight="1">
      <c r="A14" s="106" t="s">
        <v>495</v>
      </c>
      <c r="B14" s="106" t="s">
        <v>34</v>
      </c>
      <c r="C14" s="106" t="s">
        <v>104</v>
      </c>
      <c r="D14" s="106" t="s">
        <v>57</v>
      </c>
      <c r="E14" s="106" t="s">
        <v>184</v>
      </c>
      <c r="F14" s="106" t="s">
        <v>48</v>
      </c>
      <c r="G14" s="107" t="s">
        <v>185</v>
      </c>
      <c r="H14" s="105" t="s">
        <v>36</v>
      </c>
      <c r="I14" s="106" t="s">
        <v>37</v>
      </c>
      <c r="J14" s="106" t="s">
        <v>38</v>
      </c>
      <c r="K14" s="106" t="s">
        <v>65</v>
      </c>
      <c r="L14" s="106" t="s">
        <v>565</v>
      </c>
      <c r="M14" s="106" t="s">
        <v>569</v>
      </c>
      <c r="N14" s="106" t="s">
        <v>64</v>
      </c>
      <c r="O14" s="107" t="s">
        <v>63</v>
      </c>
      <c r="P14" s="108" t="s">
        <v>36</v>
      </c>
      <c r="Q14" s="106" t="s">
        <v>37</v>
      </c>
      <c r="R14" s="106" t="s">
        <v>38</v>
      </c>
      <c r="S14" s="106" t="s">
        <v>66</v>
      </c>
      <c r="T14" s="106" t="s">
        <v>568</v>
      </c>
      <c r="U14" s="106" t="s">
        <v>570</v>
      </c>
      <c r="V14" s="106" t="s">
        <v>67</v>
      </c>
      <c r="W14" s="107" t="s">
        <v>68</v>
      </c>
      <c r="X14" s="108" t="s">
        <v>36</v>
      </c>
      <c r="Y14" s="106" t="s">
        <v>37</v>
      </c>
      <c r="Z14" s="106" t="s">
        <v>38</v>
      </c>
      <c r="AA14" s="106" t="s">
        <v>66</v>
      </c>
      <c r="AB14" s="106" t="s">
        <v>568</v>
      </c>
      <c r="AC14" s="106" t="s">
        <v>570</v>
      </c>
      <c r="AD14" s="106" t="s">
        <v>67</v>
      </c>
      <c r="AE14" s="107" t="s">
        <v>68</v>
      </c>
      <c r="AF14" s="106" t="s">
        <v>36</v>
      </c>
      <c r="AG14" s="106" t="s">
        <v>37</v>
      </c>
      <c r="AH14" s="106" t="s">
        <v>38</v>
      </c>
      <c r="AI14" s="106" t="s">
        <v>66</v>
      </c>
      <c r="AJ14" s="106" t="s">
        <v>568</v>
      </c>
      <c r="AK14" s="106" t="s">
        <v>571</v>
      </c>
      <c r="AL14" s="106" t="s">
        <v>67</v>
      </c>
      <c r="AM14" s="106" t="s">
        <v>68</v>
      </c>
      <c r="AN14" s="105" t="s">
        <v>120</v>
      </c>
      <c r="AO14" s="109" t="s">
        <v>204</v>
      </c>
      <c r="AP14" s="106" t="s">
        <v>576</v>
      </c>
      <c r="AQ14" s="242" t="s">
        <v>209</v>
      </c>
      <c r="AR14" s="108" t="s">
        <v>61</v>
      </c>
      <c r="AS14" s="109" t="s">
        <v>62</v>
      </c>
      <c r="AT14" s="241" t="s">
        <v>554</v>
      </c>
      <c r="AU14" s="242" t="s">
        <v>210</v>
      </c>
      <c r="AV14" s="135" t="s">
        <v>556</v>
      </c>
      <c r="AW14" s="135" t="s">
        <v>573</v>
      </c>
      <c r="AX14" s="135" t="s">
        <v>575</v>
      </c>
      <c r="AY14" s="397" t="s">
        <v>497</v>
      </c>
      <c r="AZ14" s="398"/>
      <c r="BA14" s="398"/>
    </row>
    <row r="15" spans="1:53" s="129" customFormat="1" ht="60">
      <c r="A15" s="221" t="s">
        <v>469</v>
      </c>
      <c r="B15" s="201" t="s">
        <v>470</v>
      </c>
      <c r="C15" s="201"/>
      <c r="D15" s="200"/>
      <c r="E15" s="200" t="s">
        <v>49</v>
      </c>
      <c r="F15" s="200" t="s">
        <v>47</v>
      </c>
      <c r="G15" s="199" t="s">
        <v>49</v>
      </c>
      <c r="H15" s="189" t="s">
        <v>12</v>
      </c>
      <c r="I15" s="200">
        <v>0</v>
      </c>
      <c r="J15" s="198">
        <v>36</v>
      </c>
      <c r="K15" s="198">
        <f>SUM(I15:J15)</f>
        <v>36</v>
      </c>
      <c r="L15" s="197">
        <f>IFERROR($I15*IF($F15="ORD",VLOOKUP($H15,'Labour rates'!$B$74:$Q$85,'Labour rates'!$G$1,FALSE),VLOOKUP($H15,'Labour rates'!$B$74:$Q$85,'Labour rates'!$O$1,FALSE)),0)</f>
        <v>0</v>
      </c>
      <c r="M15" s="197">
        <f>IFERROR($J15*IF($F15="ORD",VLOOKUP($H15,'Labour rates'!$B$74:$Q$85,'Labour rates'!$H$1,FALSE),VLOOKUP($H15,'Labour rates'!$B$74:$Q$85,'Labour rates'!$P$1,FALSE)),0)</f>
        <v>2526.2673970075821</v>
      </c>
      <c r="N15" s="197">
        <f>L15*(1+'Escalators &amp; overheads'!$E$22)*(1+'Escalators &amp; overheads'!$J$28)*(1+'Escalators &amp; overheads'!$J$29)*(1+'Escalators &amp; overheads'!$J$46)</f>
        <v>0</v>
      </c>
      <c r="O15" s="196">
        <f>M15*(1+'Escalators &amp; overheads'!$E$22)*(1+'Escalators &amp; overheads'!$J$28)*(1+'Escalators &amp; overheads'!$J$29)*(1+'Escalators &amp; overheads'!$J$46)</f>
        <v>7646.4490724489788</v>
      </c>
      <c r="P15" s="195" t="s">
        <v>12</v>
      </c>
      <c r="Q15" s="194">
        <f>IF(P15="None",0,IF(E15="Yes",VLOOKUP(D15,'Travel time inputs'!$A$3:$B$4,2,FALSE),0))</f>
        <v>0</v>
      </c>
      <c r="R15" s="194">
        <v>4</v>
      </c>
      <c r="S15" s="194">
        <f>SUM(Q15:R15)</f>
        <v>4</v>
      </c>
      <c r="T15" s="197">
        <f>IF($P15="None",0,Q15*IF(F15="ORD",VLOOKUP(P15,'Labour rates'!$B$74:$Q$85,'Labour rates'!$H$1,FALSE),VLOOKUP(P15,'Labour rates'!$B$74:$Q$85,'Labour rates'!$P$1,FALSE)))</f>
        <v>0</v>
      </c>
      <c r="U15" s="197">
        <f>IF($P15="None",0,$R15*IF($F15="ORD",VLOOKUP($P15,'Labour rates'!$B$74:$Q$85,'Labour rates'!$H$1,FALSE),VLOOKUP($P15,'Labour rates'!$B$74:$Q$85,'Labour rates'!$P$1,FALSE)))</f>
        <v>280.69637744528688</v>
      </c>
      <c r="V15" s="197">
        <f>T15*(1+'Escalators &amp; overheads'!$E$22)*(1+'Escalators &amp; overheads'!$J$28)*(1+'Escalators &amp; overheads'!$J$29)*(1+'Escalators &amp; overheads'!$J$46)</f>
        <v>0</v>
      </c>
      <c r="W15" s="196">
        <f>U15*(1+'Escalators &amp; overheads'!$E$22)*(1+'Escalators &amp; overheads'!$J$28)*(1+'Escalators &amp; overheads'!$J$29)*(1+'Escalators &amp; overheads'!$J$46)</f>
        <v>849.60545249433108</v>
      </c>
      <c r="X15" s="189" t="s">
        <v>21</v>
      </c>
      <c r="Y15" s="194">
        <f>IF($X15="None",0,IF($E15="Yes",VLOOKUP($D15,'Travel time inputs'!$A$3:$B$4,2,FALSE),0))</f>
        <v>0</v>
      </c>
      <c r="Z15" s="194">
        <v>48</v>
      </c>
      <c r="AA15" s="194">
        <f>SUM(Y15:Z15)</f>
        <v>48</v>
      </c>
      <c r="AB15" s="197">
        <f>IF($X15="None",0,Y15*IF($F15="ORD",VLOOKUP(X15,'Labour rates'!$B$74:$Q$85,'Labour rates'!$H$1,FALSE),VLOOKUP(X15,'Labour rates'!$B$74:$Q$85,'Labour rates'!$P$1,FALSE)))</f>
        <v>0</v>
      </c>
      <c r="AC15" s="197">
        <f>IF($X15="None",0,$Z15*IF($F15="ORD",VLOOKUP($X15,'Labour rates'!$B$74:$Q$85,'Labour rates'!$H$1,FALSE),VLOOKUP($X15,'Labour rates'!$B$74:$Q$85,'Labour rates'!$P$1,FALSE)))</f>
        <v>3088.6785382577064</v>
      </c>
      <c r="AD15" s="197">
        <f>AB15*(1+'Escalators &amp; overheads'!$E$22)*(1+'Escalators &amp; overheads'!$J$28)*(1+'Escalators &amp; overheads'!$J$29)*(1+'Escalators &amp; overheads'!$J$46)</f>
        <v>0</v>
      </c>
      <c r="AE15" s="197">
        <f>AC15*(1+'Escalators &amp; overheads'!$E$22)*(1+'Escalators &amp; overheads'!$J$28)*(1+'Escalators &amp; overheads'!$J$29)*(1+'Escalators &amp; overheads'!$J$46)</f>
        <v>9348.7424062587561</v>
      </c>
      <c r="AF15" s="189" t="s">
        <v>12</v>
      </c>
      <c r="AG15" s="194">
        <f>IF($X15="None",0,IF($E15="Yes",VLOOKUP($D15,'Travel time inputs'!$A$3:$B$4,2,FALSE),0))</f>
        <v>0</v>
      </c>
      <c r="AH15" s="194">
        <v>22</v>
      </c>
      <c r="AI15" s="194">
        <f>SUM(AG15:AH15)</f>
        <v>22</v>
      </c>
      <c r="AJ15" s="197">
        <f>IF($AF15="None",0,AG15*IF($F15="ORD",VLOOKUP(AF15,'Labour rates'!$B$74:$Q$85,'Labour rates'!$H$1,FALSE),VLOOKUP(AF15,'Labour rates'!$B$74:$Q$85,'Labour rates'!$P$1,FALSE)))</f>
        <v>0</v>
      </c>
      <c r="AK15" s="197">
        <f>IF($AF15="None",0,$AI15*IF($F15="ORD",VLOOKUP($X15,'Labour rates'!$B$74:$Q$85,'Labour rates'!$H$1,FALSE),VLOOKUP($X15,'Labour rates'!$B$74:$Q$85,'Labour rates'!$P$1,FALSE)))</f>
        <v>1415.6443300347819</v>
      </c>
      <c r="AL15" s="197">
        <f>AJ15*(1+'Escalators &amp; overheads'!$E$22)*(1+'Escalators &amp; overheads'!$J$28)*(1+'Escalators &amp; overheads'!$J$29)*(1+'Escalators &amp; overheads'!$J$46)</f>
        <v>0</v>
      </c>
      <c r="AM15" s="197">
        <f>AK15*(1+'Escalators &amp; overheads'!$E$22)*(1+'Escalators &amp; overheads'!$J$28)*(1+'Escalators &amp; overheads'!$J$29)*(1+'Escalators &amp; overheads'!$J$46)</f>
        <v>4284.8402695352625</v>
      </c>
      <c r="AN15" s="204" t="s">
        <v>49</v>
      </c>
      <c r="AO15" s="200"/>
      <c r="AP15" s="197">
        <v>0</v>
      </c>
      <c r="AQ15" s="197">
        <f>AP15*(1+'Escalators &amp; overheads'!$J$29)*(1+'Escalators &amp; overheads'!$J$46)</f>
        <v>0</v>
      </c>
      <c r="AR15" s="195" t="s">
        <v>0</v>
      </c>
      <c r="AS15" s="200">
        <v>0</v>
      </c>
      <c r="AT15" s="200">
        <f>IF(AR15="No material needed",0,AS15*VLOOKUP(AR15,'Material costs'!$B$3:$I$7,'Material costs'!$H$1,FALSE))</f>
        <v>0</v>
      </c>
      <c r="AU15" s="199">
        <f>AT15*(1+'Escalators &amp; overheads'!$E$23)*(1+'Escalators &amp; overheads'!$J$28)*(1+'Escalators &amp; overheads'!$J$29)*(1+'Escalators &amp; overheads'!$J$46)</f>
        <v>0</v>
      </c>
      <c r="AV15" s="196">
        <f>IF(G15="No",0,'Traffic control fees'!$E$107)</f>
        <v>0</v>
      </c>
      <c r="AW15" s="196">
        <f>AV15*(1+'Escalators &amp; overheads'!$J$46)</f>
        <v>0</v>
      </c>
      <c r="AX15" s="193">
        <f>($N15+$O15+$V15+$W15+$AD15+$AE15+$AL15+$AM15+$AQ15+$AU15+$AV15)</f>
        <v>22129.637200737328</v>
      </c>
    </row>
    <row r="17" spans="1:53" s="165" customFormat="1" ht="27" customHeight="1">
      <c r="A17" s="19" t="s">
        <v>574</v>
      </c>
      <c r="H17" s="399" t="s">
        <v>35</v>
      </c>
      <c r="I17" s="400"/>
      <c r="J17" s="400"/>
      <c r="K17" s="400"/>
      <c r="L17" s="400"/>
      <c r="M17" s="400"/>
      <c r="N17" s="400"/>
      <c r="O17" s="400"/>
      <c r="P17" s="399" t="s">
        <v>39</v>
      </c>
      <c r="Q17" s="400"/>
      <c r="R17" s="400"/>
      <c r="S17" s="400"/>
      <c r="T17" s="400"/>
      <c r="U17" s="400"/>
      <c r="V17" s="400"/>
      <c r="W17" s="400"/>
      <c r="X17" s="399" t="s">
        <v>216</v>
      </c>
      <c r="Y17" s="400"/>
      <c r="Z17" s="400"/>
      <c r="AA17" s="400"/>
      <c r="AB17" s="400"/>
      <c r="AC17" s="400"/>
      <c r="AD17" s="400"/>
      <c r="AE17" s="400"/>
      <c r="AF17" s="401" t="s">
        <v>472</v>
      </c>
      <c r="AG17" s="401"/>
      <c r="AH17" s="401"/>
      <c r="AI17" s="401"/>
      <c r="AJ17" s="401"/>
      <c r="AK17" s="401"/>
      <c r="AL17" s="401"/>
      <c r="AM17" s="401"/>
      <c r="AN17" s="401" t="s">
        <v>572</v>
      </c>
      <c r="AO17" s="401"/>
      <c r="AP17" s="401"/>
      <c r="AQ17" s="401"/>
      <c r="AR17" s="401" t="s">
        <v>102</v>
      </c>
      <c r="AS17" s="401"/>
      <c r="AT17" s="401"/>
      <c r="AU17" s="401"/>
      <c r="AV17" s="401" t="s">
        <v>383</v>
      </c>
      <c r="AW17" s="401"/>
    </row>
    <row r="18" spans="1:53" s="165" customFormat="1" ht="76.5" customHeight="1">
      <c r="A18" s="106" t="s">
        <v>496</v>
      </c>
      <c r="B18" s="106" t="s">
        <v>34</v>
      </c>
      <c r="C18" s="106" t="s">
        <v>104</v>
      </c>
      <c r="D18" s="106" t="s">
        <v>57</v>
      </c>
      <c r="E18" s="106" t="s">
        <v>184</v>
      </c>
      <c r="F18" s="106" t="s">
        <v>48</v>
      </c>
      <c r="G18" s="107" t="s">
        <v>185</v>
      </c>
      <c r="H18" s="105" t="s">
        <v>36</v>
      </c>
      <c r="I18" s="106" t="s">
        <v>37</v>
      </c>
      <c r="J18" s="106" t="s">
        <v>38</v>
      </c>
      <c r="K18" s="106" t="s">
        <v>65</v>
      </c>
      <c r="L18" s="106" t="s">
        <v>565</v>
      </c>
      <c r="M18" s="106" t="s">
        <v>569</v>
      </c>
      <c r="N18" s="106" t="s">
        <v>64</v>
      </c>
      <c r="O18" s="107" t="s">
        <v>63</v>
      </c>
      <c r="P18" s="108" t="s">
        <v>36</v>
      </c>
      <c r="Q18" s="106" t="s">
        <v>37</v>
      </c>
      <c r="R18" s="106" t="s">
        <v>38</v>
      </c>
      <c r="S18" s="106" t="s">
        <v>66</v>
      </c>
      <c r="T18" s="106" t="s">
        <v>568</v>
      </c>
      <c r="U18" s="106" t="s">
        <v>570</v>
      </c>
      <c r="V18" s="106" t="s">
        <v>67</v>
      </c>
      <c r="W18" s="107" t="s">
        <v>68</v>
      </c>
      <c r="X18" s="108" t="s">
        <v>36</v>
      </c>
      <c r="Y18" s="106" t="s">
        <v>37</v>
      </c>
      <c r="Z18" s="106" t="s">
        <v>38</v>
      </c>
      <c r="AA18" s="106" t="s">
        <v>66</v>
      </c>
      <c r="AB18" s="106" t="s">
        <v>568</v>
      </c>
      <c r="AC18" s="106" t="s">
        <v>570</v>
      </c>
      <c r="AD18" s="106" t="s">
        <v>67</v>
      </c>
      <c r="AE18" s="107" t="s">
        <v>68</v>
      </c>
      <c r="AF18" s="106" t="s">
        <v>36</v>
      </c>
      <c r="AG18" s="106" t="s">
        <v>37</v>
      </c>
      <c r="AH18" s="106" t="s">
        <v>38</v>
      </c>
      <c r="AI18" s="106" t="s">
        <v>66</v>
      </c>
      <c r="AJ18" s="106" t="s">
        <v>568</v>
      </c>
      <c r="AK18" s="106" t="s">
        <v>571</v>
      </c>
      <c r="AL18" s="106" t="s">
        <v>67</v>
      </c>
      <c r="AM18" s="106" t="s">
        <v>68</v>
      </c>
      <c r="AN18" s="105" t="s">
        <v>120</v>
      </c>
      <c r="AO18" s="109" t="s">
        <v>204</v>
      </c>
      <c r="AP18" s="109" t="s">
        <v>576</v>
      </c>
      <c r="AQ18" s="242" t="s">
        <v>209</v>
      </c>
      <c r="AR18" s="108" t="s">
        <v>61</v>
      </c>
      <c r="AS18" s="109" t="s">
        <v>62</v>
      </c>
      <c r="AT18" s="241" t="s">
        <v>554</v>
      </c>
      <c r="AU18" s="242" t="s">
        <v>210</v>
      </c>
      <c r="AV18" s="135" t="s">
        <v>556</v>
      </c>
      <c r="AW18" s="135" t="s">
        <v>573</v>
      </c>
      <c r="AX18" s="135" t="s">
        <v>575</v>
      </c>
      <c r="AY18" s="397" t="s">
        <v>497</v>
      </c>
      <c r="AZ18" s="398"/>
      <c r="BA18" s="398"/>
    </row>
    <row r="19" spans="1:53" s="129" customFormat="1" ht="60">
      <c r="A19" s="221" t="s">
        <v>469</v>
      </c>
      <c r="B19" s="201" t="s">
        <v>470</v>
      </c>
      <c r="C19" s="201"/>
      <c r="D19" s="200"/>
      <c r="E19" s="200" t="s">
        <v>49</v>
      </c>
      <c r="F19" s="200" t="s">
        <v>47</v>
      </c>
      <c r="G19" s="199" t="s">
        <v>49</v>
      </c>
      <c r="H19" s="189" t="s">
        <v>12</v>
      </c>
      <c r="I19" s="200">
        <v>0</v>
      </c>
      <c r="J19" s="198">
        <v>36</v>
      </c>
      <c r="K19" s="198">
        <f>SUM(I19:J19)</f>
        <v>36</v>
      </c>
      <c r="L19" s="197">
        <f>IFERROR($I19*IF($F19="ORD",VLOOKUP($H19,'Labour rates'!$B$74:$Q$85,'Labour rates'!$I$1,FALSE),VLOOKUP($H19,'Labour rates'!$B$74:$Q$85,'Labour rates'!$Q$1,FALSE)),0)</f>
        <v>0</v>
      </c>
      <c r="M19" s="197">
        <f>IFERROR($J19*IF($F19="ORD",VLOOKUP($H19,'Labour rates'!$B$74:$Q$85,'Labour rates'!$I$1,FALSE),VLOOKUP($H19,'Labour rates'!$B$74:$Q$85,'Labour rates'!$Q$1,FALSE)),0)</f>
        <v>2543.9311315133991</v>
      </c>
      <c r="N19" s="197">
        <f>L19*(1+'Escalators &amp; overheads'!$E$22)*(1+'Escalators &amp; overheads'!$J$28)*(1+'Escalators &amp; overheads'!$J$29)*(1+'Escalators &amp; overheads'!$J$46)</f>
        <v>0</v>
      </c>
      <c r="O19" s="196">
        <f>M19*(1+'Escalators &amp; overheads'!$E$22)*(1+'Escalators &amp; overheads'!$J$28)*(1+'Escalators &amp; overheads'!$J$29)*(1+'Escalators &amp; overheads'!$J$46)</f>
        <v>7699.913264912524</v>
      </c>
      <c r="P19" s="195" t="s">
        <v>12</v>
      </c>
      <c r="Q19" s="194">
        <f>IF(P19="None",0,IF(E19="Yes",VLOOKUP(D19,'Travel time inputs'!$A$3:$B$4,2,FALSE),0))</f>
        <v>0</v>
      </c>
      <c r="R19" s="194">
        <v>4</v>
      </c>
      <c r="S19" s="194">
        <f>SUM(Q19:R19)</f>
        <v>4</v>
      </c>
      <c r="T19" s="197">
        <f>IF($P19="None",0,Q19*IF(F19="ORD",VLOOKUP(P19,'Labour rates'!$B$74:$Q$85,'Labour rates'!$I$1,FALSE),VLOOKUP(P19,'Labour rates'!$B$74:$Q$85,'Labour rates'!$Q$1,FALSE)))</f>
        <v>0</v>
      </c>
      <c r="U19" s="197">
        <f>IF($P19="None",0,$R19*IF($F19="ORD",VLOOKUP($P19,'Labour rates'!$B$74:$Q$85,'Labour rates'!$I$1,FALSE),VLOOKUP($P19,'Labour rates'!$B$74:$Q$85,'Labour rates'!$Q$1,FALSE)))</f>
        <v>282.65901461259989</v>
      </c>
      <c r="V19" s="197">
        <f>T19*(1+'Escalators &amp; overheads'!$E$22)*(1+'Escalators &amp; overheads'!$J$28)*(1+'Escalators &amp; overheads'!$J$29)*(1+'Escalators &amp; overheads'!$J$46)</f>
        <v>0</v>
      </c>
      <c r="W19" s="196">
        <f>U19*(1+'Escalators &amp; overheads'!$E$22)*(1+'Escalators &amp; overheads'!$J$28)*(1+'Escalators &amp; overheads'!$J$29)*(1+'Escalators &amp; overheads'!$J$46)</f>
        <v>855.54591832361371</v>
      </c>
      <c r="X19" s="189" t="s">
        <v>21</v>
      </c>
      <c r="Y19" s="194">
        <f>IF($X19="None",0,IF($E19="Yes",VLOOKUP($D19,'Travel time inputs'!$A$3:$B$4,2,FALSE),0))</f>
        <v>0</v>
      </c>
      <c r="Z19" s="194">
        <v>48</v>
      </c>
      <c r="AA19" s="194">
        <f>SUM(Y19:Z19)</f>
        <v>48</v>
      </c>
      <c r="AB19" s="197">
        <f>IF($X19="None",0,Y19*IF($F19="ORD",VLOOKUP(X19,'Labour rates'!$B$74:$Q$85,'Labour rates'!$I$1,FALSE),VLOOKUP(X19,'Labour rates'!$B$74:$Q$85,'Labour rates'!$Q$1,FALSE)))</f>
        <v>0</v>
      </c>
      <c r="AC19" s="197">
        <f>IF($X19="None",0,$Z19*IF($F19="ORD",VLOOKUP($X19,'Labour rates'!$B$74:$Q$85,'Labour rates'!$I$1,FALSE),VLOOKUP($X19,'Labour rates'!$B$74:$Q$85,'Labour rates'!$Q$1,FALSE)))</f>
        <v>3110.2746676849492</v>
      </c>
      <c r="AD19" s="197">
        <f>AB19*(1+'Escalators &amp; overheads'!$E$22)*(1+'Escalators &amp; overheads'!$J$28)*(1+'Escalators &amp; overheads'!$J$29)*(1+'Escalators &amp; overheads'!$J$46)</f>
        <v>0</v>
      </c>
      <c r="AE19" s="197">
        <f>AC19*(1+'Escalators &amp; overheads'!$E$22)*(1+'Escalators &amp; overheads'!$J$28)*(1+'Escalators &amp; overheads'!$J$29)*(1+'Escalators &amp; overheads'!$J$46)</f>
        <v>9414.1090828120923</v>
      </c>
      <c r="AF19" s="189" t="s">
        <v>12</v>
      </c>
      <c r="AG19" s="194">
        <f>IF($X19="None",0,IF($E19="Yes",VLOOKUP($D19,'Travel time inputs'!$A$3:$B$4,2,FALSE),0))</f>
        <v>0</v>
      </c>
      <c r="AH19" s="194">
        <v>22</v>
      </c>
      <c r="AI19" s="194">
        <f>SUM(AG19:AH19)</f>
        <v>22</v>
      </c>
      <c r="AJ19" s="197">
        <f>IF($AF19="None",0,AG19*IF($F19="ORD",VLOOKUP(AF19,'Labour rates'!$B$74:$Q$85,'Labour rates'!$I$1,FALSE),VLOOKUP(AF19,'Labour rates'!$B$74:$Q$85,'Labour rates'!$Q$1,FALSE)))</f>
        <v>0</v>
      </c>
      <c r="AK19" s="197">
        <f>IF($AF19="None",0,$AI19*IF($F19="ORD",VLOOKUP($X19,'Labour rates'!$B$74:$Q$85,'Labour rates'!$I$1,FALSE),VLOOKUP($X19,'Labour rates'!$B$74:$Q$85,'Labour rates'!$Q$1,FALSE)))</f>
        <v>1425.5425560222684</v>
      </c>
      <c r="AL19" s="197">
        <f>AJ19*(1+'Escalators &amp; overheads'!$E$22)*(1+'Escalators &amp; overheads'!$J$28)*(1+'Escalators &amp; overheads'!$J$29)*(1+'Escalators &amp; overheads'!$J$46)</f>
        <v>0</v>
      </c>
      <c r="AM19" s="197">
        <f>AK19*(1+'Escalators &amp; overheads'!$E$22)*(1+'Escalators &amp; overheads'!$J$28)*(1+'Escalators &amp; overheads'!$J$29)*(1+'Escalators &amp; overheads'!$J$46)</f>
        <v>4314.7999962888753</v>
      </c>
      <c r="AN19" s="204" t="s">
        <v>49</v>
      </c>
      <c r="AO19" s="200"/>
      <c r="AP19" s="197">
        <v>0</v>
      </c>
      <c r="AQ19" s="197">
        <f>AP19*(1+'Escalators &amp; overheads'!$J$29)*(1+'Escalators &amp; overheads'!$J$46)</f>
        <v>0</v>
      </c>
      <c r="AR19" s="195" t="s">
        <v>0</v>
      </c>
      <c r="AS19" s="200">
        <v>0</v>
      </c>
      <c r="AT19" s="200">
        <f>IF(AR19="No material needed",0,AS19*VLOOKUP(AR19,'Material costs'!$B$3:$I$7,'Material costs'!$I$1,FALSE))</f>
        <v>0</v>
      </c>
      <c r="AU19" s="199">
        <f>AT19*(1+'Escalators &amp; overheads'!$E$23)*(1+'Escalators &amp; overheads'!$J$28)*(1+'Escalators &amp; overheads'!$J$29)*(1+'Escalators &amp; overheads'!$J$46)</f>
        <v>0</v>
      </c>
      <c r="AV19" s="196">
        <f>IF(G19="No",0,'Traffic control fees'!$E$107)</f>
        <v>0</v>
      </c>
      <c r="AW19" s="196">
        <f>AV19*(1+'Escalators &amp; overheads'!$J$46)</f>
        <v>0</v>
      </c>
      <c r="AX19" s="193">
        <f>($N19+$O19+$V19+$W19+$AD19+$AE19+$AL19+$AM19+$AQ19+$AU19+$AV19)</f>
        <v>22284.368262337106</v>
      </c>
    </row>
  </sheetData>
  <mergeCells count="39">
    <mergeCell ref="AV13:AW13"/>
    <mergeCell ref="AN17:AQ17"/>
    <mergeCell ref="AR17:AU17"/>
    <mergeCell ref="AV17:AW17"/>
    <mergeCell ref="AN1:AQ1"/>
    <mergeCell ref="AR1:AU1"/>
    <mergeCell ref="AV1:AW1"/>
    <mergeCell ref="AN5:AQ5"/>
    <mergeCell ref="AR5:AU5"/>
    <mergeCell ref="AV5:AW5"/>
    <mergeCell ref="H1:O1"/>
    <mergeCell ref="P1:W1"/>
    <mergeCell ref="X1:AE1"/>
    <mergeCell ref="AF1:AM1"/>
    <mergeCell ref="H5:O5"/>
    <mergeCell ref="P5:W5"/>
    <mergeCell ref="X5:AE5"/>
    <mergeCell ref="AF5:AM5"/>
    <mergeCell ref="AY6:BA6"/>
    <mergeCell ref="AY10:BA10"/>
    <mergeCell ref="AY14:BA14"/>
    <mergeCell ref="H9:O9"/>
    <mergeCell ref="P9:W9"/>
    <mergeCell ref="X9:AE9"/>
    <mergeCell ref="AF9:AM9"/>
    <mergeCell ref="H13:O13"/>
    <mergeCell ref="P13:W13"/>
    <mergeCell ref="X13:AE13"/>
    <mergeCell ref="AF13:AM13"/>
    <mergeCell ref="AN9:AQ9"/>
    <mergeCell ref="AR9:AU9"/>
    <mergeCell ref="AV9:AW9"/>
    <mergeCell ref="AN13:AQ13"/>
    <mergeCell ref="AR13:AU13"/>
    <mergeCell ref="AY18:BA18"/>
    <mergeCell ref="H17:O17"/>
    <mergeCell ref="P17:W17"/>
    <mergeCell ref="X17:AE17"/>
    <mergeCell ref="AF17:AM1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promptTitle="Material type" prompt="Please select material type from the drop down list">
          <x14:formula1>
            <xm:f>Lists!$B$15:$B$19</xm:f>
          </x14:formula1>
          <xm:sqref>AR3 AR7 AR11 AR15 AR19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5"/>
  <sheetViews>
    <sheetView zoomScale="90" zoomScaleNormal="90" workbookViewId="0"/>
  </sheetViews>
  <sheetFormatPr defaultColWidth="9.140625" defaultRowHeight="15"/>
  <cols>
    <col min="1" max="1" width="46.140625" style="165" customWidth="1"/>
    <col min="2" max="2" width="39.140625" style="165" customWidth="1"/>
    <col min="3" max="16384" width="9.140625" style="165"/>
  </cols>
  <sheetData>
    <row r="1" spans="1:2">
      <c r="A1" s="165" t="s">
        <v>490</v>
      </c>
    </row>
    <row r="2" spans="1:2">
      <c r="A2" s="165" t="s">
        <v>473</v>
      </c>
    </row>
    <row r="3" spans="1:2">
      <c r="A3" s="165" t="s">
        <v>474</v>
      </c>
    </row>
    <row r="4" spans="1:2" s="269" customFormat="1"/>
    <row r="5" spans="1:2">
      <c r="A5" s="81" t="s">
        <v>476</v>
      </c>
      <c r="B5" s="81" t="s">
        <v>477</v>
      </c>
    </row>
    <row r="6" spans="1:2">
      <c r="A6" s="219" t="s">
        <v>475</v>
      </c>
      <c r="B6" s="219" t="s">
        <v>478</v>
      </c>
    </row>
    <row r="7" spans="1:2">
      <c r="B7" s="219" t="s">
        <v>479</v>
      </c>
    </row>
    <row r="8" spans="1:2">
      <c r="B8" s="219" t="s">
        <v>480</v>
      </c>
    </row>
    <row r="9" spans="1:2">
      <c r="B9" s="219" t="s">
        <v>481</v>
      </c>
    </row>
    <row r="10" spans="1:2">
      <c r="B10" s="219" t="s">
        <v>482</v>
      </c>
    </row>
    <row r="11" spans="1:2">
      <c r="A11" s="219" t="s">
        <v>483</v>
      </c>
      <c r="B11" s="219" t="s">
        <v>484</v>
      </c>
    </row>
    <row r="12" spans="1:2">
      <c r="B12" s="219" t="s">
        <v>485</v>
      </c>
    </row>
    <row r="13" spans="1:2">
      <c r="A13" s="219" t="s">
        <v>486</v>
      </c>
      <c r="B13" s="219" t="s">
        <v>487</v>
      </c>
    </row>
    <row r="14" spans="1:2">
      <c r="B14" s="219" t="s">
        <v>488</v>
      </c>
    </row>
    <row r="15" spans="1:2">
      <c r="A15" s="219" t="s">
        <v>464</v>
      </c>
      <c r="B15" s="219" t="s">
        <v>489</v>
      </c>
    </row>
  </sheetData>
  <hyperlinks>
    <hyperlink ref="B6" location="'Escalators &amp; overheads'!A1" display="Escalators &amp; overheads"/>
    <hyperlink ref="B7" location="'Labour rates'!A1" display="Labour rates"/>
    <hyperlink ref="B8" location="'Material costs'!A1" display="Material costs "/>
    <hyperlink ref="B9" location="'Traffic control fees'!A1" display="Traffic control fees"/>
    <hyperlink ref="B10" location="'Travel time inputs'!A1" display="Travel time inputs"/>
    <hyperlink ref="A6" location="'&gt;&gt;&gt;Inputs'!A1" display="Inputs"/>
    <hyperlink ref="A11" location="'&gt;&gt;&gt; Fee based calculation'!A1" display="Fee based calculation"/>
    <hyperlink ref="B11" location="'ERG Service assumptions'!A1" display="Ergon Energy fee-based service assumptions"/>
    <hyperlink ref="B12" location="'EGX Service assumptions'!A1" display="Energex fee-based service assumptions"/>
    <hyperlink ref="A13" location="'&gt;&gt;&gt;Price path'!A1" display="Price path"/>
    <hyperlink ref="B13" location="'ERG prices (all incl)'!A1" display="Ergon Energy fee-based prices (inclusive of oncosts and overheads) for 2020-25"/>
    <hyperlink ref="B14" location="'EGX prices (all incl) '!A1" display="Energex fee-based prices (inclusive of oncosts and overheads) for 2020-25"/>
    <hyperlink ref="A15" location="'&gt;&gt;&gt;Quoted Service calc'!A1" display="Quoted services formula"/>
    <hyperlink ref="B15" location="'Selected examples'!A1" display="Illustrative exampl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67"/>
  <sheetViews>
    <sheetView zoomScale="80" zoomScaleNormal="80" workbookViewId="0">
      <pane ySplit="1" topLeftCell="A2" activePane="bottomLeft" state="frozen"/>
      <selection pane="bottomLeft" activeCell="A2" sqref="A2"/>
    </sheetView>
  </sheetViews>
  <sheetFormatPr defaultColWidth="8.85546875" defaultRowHeight="15"/>
  <cols>
    <col min="1" max="1" width="9.140625" style="269"/>
    <col min="2" max="2" width="37" customWidth="1"/>
    <col min="3" max="3" width="28" customWidth="1"/>
    <col min="4" max="4" width="28" style="269" customWidth="1"/>
    <col min="5" max="5" width="17.42578125" customWidth="1"/>
    <col min="6" max="6" width="53.42578125" customWidth="1"/>
    <col min="7" max="7" width="74.42578125" customWidth="1"/>
    <col min="8" max="8" width="62.7109375" bestFit="1" customWidth="1"/>
  </cols>
  <sheetData>
    <row r="1" spans="1:8">
      <c r="A1" s="271" t="s">
        <v>1289</v>
      </c>
      <c r="B1" s="271" t="s">
        <v>498</v>
      </c>
      <c r="C1" s="271" t="s">
        <v>500</v>
      </c>
      <c r="D1" s="271" t="s">
        <v>1288</v>
      </c>
      <c r="E1" s="271" t="s">
        <v>499</v>
      </c>
      <c r="F1" s="271" t="s">
        <v>501</v>
      </c>
      <c r="G1" s="271" t="s">
        <v>502</v>
      </c>
      <c r="H1" s="271" t="s">
        <v>503</v>
      </c>
    </row>
    <row r="2" spans="1:8">
      <c r="B2" t="s">
        <v>539</v>
      </c>
      <c r="C2" t="s">
        <v>519</v>
      </c>
      <c r="E2" t="s">
        <v>514</v>
      </c>
      <c r="F2" t="s">
        <v>515</v>
      </c>
      <c r="G2" t="s">
        <v>516</v>
      </c>
      <c r="H2" t="s">
        <v>523</v>
      </c>
    </row>
    <row r="3" spans="1:8" s="269" customFormat="1" ht="30">
      <c r="B3" s="269" t="s">
        <v>602</v>
      </c>
      <c r="C3" s="270" t="s">
        <v>580</v>
      </c>
      <c r="D3" s="270"/>
      <c r="F3" s="270" t="s">
        <v>1404</v>
      </c>
      <c r="G3" s="269" t="s">
        <v>603</v>
      </c>
      <c r="H3" s="270" t="s">
        <v>107</v>
      </c>
    </row>
    <row r="4" spans="1:8">
      <c r="B4" t="s">
        <v>517</v>
      </c>
      <c r="C4" t="s">
        <v>518</v>
      </c>
      <c r="E4" t="s">
        <v>520</v>
      </c>
      <c r="F4" t="s">
        <v>522</v>
      </c>
      <c r="G4" t="s">
        <v>521</v>
      </c>
      <c r="H4" s="165" t="s">
        <v>523</v>
      </c>
    </row>
    <row r="5" spans="1:8" ht="30">
      <c r="B5" t="s">
        <v>524</v>
      </c>
      <c r="C5" s="165" t="s">
        <v>519</v>
      </c>
      <c r="E5" t="s">
        <v>525</v>
      </c>
      <c r="F5" t="s">
        <v>526</v>
      </c>
      <c r="G5" s="54" t="s">
        <v>527</v>
      </c>
      <c r="H5" t="s">
        <v>528</v>
      </c>
    </row>
    <row r="6" spans="1:8" ht="30">
      <c r="B6" s="165" t="s">
        <v>524</v>
      </c>
      <c r="C6" s="165" t="s">
        <v>518</v>
      </c>
      <c r="E6" t="s">
        <v>525</v>
      </c>
      <c r="F6" t="s">
        <v>526</v>
      </c>
      <c r="G6" s="54" t="s">
        <v>527</v>
      </c>
      <c r="H6" t="s">
        <v>528</v>
      </c>
    </row>
    <row r="7" spans="1:8">
      <c r="B7" t="s">
        <v>529</v>
      </c>
      <c r="C7" t="s">
        <v>478</v>
      </c>
      <c r="E7" t="s">
        <v>530</v>
      </c>
      <c r="F7" t="s">
        <v>531</v>
      </c>
      <c r="G7" t="s">
        <v>532</v>
      </c>
      <c r="H7" t="s">
        <v>533</v>
      </c>
    </row>
    <row r="8" spans="1:8" ht="30">
      <c r="B8" t="s">
        <v>539</v>
      </c>
      <c r="C8" t="s">
        <v>540</v>
      </c>
      <c r="E8" t="s">
        <v>541</v>
      </c>
      <c r="F8" t="s">
        <v>542</v>
      </c>
      <c r="G8" s="54" t="s">
        <v>555</v>
      </c>
      <c r="H8" t="s">
        <v>543</v>
      </c>
    </row>
    <row r="9" spans="1:8" ht="30">
      <c r="B9" t="s">
        <v>464</v>
      </c>
      <c r="C9" t="s">
        <v>561</v>
      </c>
      <c r="F9" t="s">
        <v>562</v>
      </c>
      <c r="G9" s="54" t="s">
        <v>563</v>
      </c>
      <c r="H9" t="s">
        <v>107</v>
      </c>
    </row>
    <row r="10" spans="1:8" ht="30">
      <c r="B10" t="s">
        <v>567</v>
      </c>
      <c r="C10" t="s">
        <v>566</v>
      </c>
      <c r="F10" s="54" t="s">
        <v>1405</v>
      </c>
      <c r="G10" s="54" t="s">
        <v>563</v>
      </c>
      <c r="H10" t="s">
        <v>107</v>
      </c>
    </row>
    <row r="11" spans="1:8" ht="75">
      <c r="B11" s="54" t="s">
        <v>579</v>
      </c>
      <c r="C11" s="54" t="s">
        <v>580</v>
      </c>
      <c r="D11" s="270"/>
      <c r="E11" t="s">
        <v>581</v>
      </c>
      <c r="F11" s="54" t="s">
        <v>582</v>
      </c>
      <c r="G11" s="54" t="s">
        <v>583</v>
      </c>
      <c r="H11" s="54" t="s">
        <v>107</v>
      </c>
    </row>
    <row r="12" spans="1:8" s="165" customFormat="1" ht="30">
      <c r="A12" s="269"/>
      <c r="B12" s="54" t="s">
        <v>579</v>
      </c>
      <c r="C12" s="54" t="s">
        <v>595</v>
      </c>
      <c r="D12" s="270"/>
      <c r="F12" s="54" t="s">
        <v>601</v>
      </c>
      <c r="G12" s="54" t="s">
        <v>600</v>
      </c>
      <c r="H12" s="54" t="s">
        <v>107</v>
      </c>
    </row>
    <row r="13" spans="1:8" ht="45">
      <c r="B13" t="s">
        <v>584</v>
      </c>
      <c r="C13" s="54" t="s">
        <v>580</v>
      </c>
      <c r="D13" s="270"/>
      <c r="E13" t="s">
        <v>591</v>
      </c>
      <c r="F13" s="54" t="s">
        <v>592</v>
      </c>
      <c r="G13" t="s">
        <v>593</v>
      </c>
      <c r="H13" s="54" t="s">
        <v>594</v>
      </c>
    </row>
    <row r="14" spans="1:8" s="269" customFormat="1" ht="45">
      <c r="B14" s="269" t="s">
        <v>584</v>
      </c>
      <c r="C14" s="270" t="s">
        <v>605</v>
      </c>
      <c r="D14" s="270"/>
      <c r="E14" s="270" t="s">
        <v>606</v>
      </c>
      <c r="F14" s="270" t="s">
        <v>604</v>
      </c>
      <c r="G14" s="270" t="s">
        <v>612</v>
      </c>
      <c r="H14" s="270" t="s">
        <v>610</v>
      </c>
    </row>
    <row r="15" spans="1:8" s="269" customFormat="1" ht="45">
      <c r="B15" s="269" t="s">
        <v>584</v>
      </c>
      <c r="C15" s="270" t="s">
        <v>607</v>
      </c>
      <c r="D15" s="270"/>
      <c r="E15" s="270" t="s">
        <v>608</v>
      </c>
      <c r="F15" s="270" t="s">
        <v>609</v>
      </c>
      <c r="G15" s="270" t="s">
        <v>612</v>
      </c>
      <c r="H15" s="270" t="s">
        <v>610</v>
      </c>
    </row>
    <row r="16" spans="1:8" s="269" customFormat="1" ht="45">
      <c r="B16" s="269" t="s">
        <v>584</v>
      </c>
      <c r="C16" s="270" t="s">
        <v>607</v>
      </c>
      <c r="D16" s="270"/>
      <c r="E16" s="270" t="s">
        <v>611</v>
      </c>
      <c r="F16" s="270" t="s">
        <v>604</v>
      </c>
      <c r="G16" s="270" t="s">
        <v>612</v>
      </c>
      <c r="H16" s="270" t="s">
        <v>610</v>
      </c>
    </row>
    <row r="17" spans="2:8" ht="30">
      <c r="B17" t="s">
        <v>9</v>
      </c>
      <c r="C17" t="s">
        <v>478</v>
      </c>
      <c r="E17" t="s">
        <v>596</v>
      </c>
      <c r="F17" s="270" t="s">
        <v>597</v>
      </c>
      <c r="G17" s="270" t="s">
        <v>598</v>
      </c>
      <c r="H17" s="270" t="s">
        <v>599</v>
      </c>
    </row>
    <row r="18" spans="2:8" ht="30">
      <c r="B18" s="270" t="s">
        <v>613</v>
      </c>
      <c r="C18" s="270" t="s">
        <v>605</v>
      </c>
      <c r="D18" s="270"/>
      <c r="E18" s="270" t="s">
        <v>616</v>
      </c>
      <c r="F18" s="270" t="s">
        <v>614</v>
      </c>
      <c r="G18" s="270" t="s">
        <v>615</v>
      </c>
      <c r="H18" s="270" t="s">
        <v>107</v>
      </c>
    </row>
    <row r="19" spans="2:8" s="269" customFormat="1" ht="45">
      <c r="B19" s="270" t="s">
        <v>613</v>
      </c>
      <c r="C19" s="270" t="s">
        <v>605</v>
      </c>
      <c r="D19" s="270"/>
      <c r="E19" s="270" t="s">
        <v>617</v>
      </c>
      <c r="F19" s="270" t="s">
        <v>618</v>
      </c>
      <c r="G19" s="270" t="s">
        <v>615</v>
      </c>
      <c r="H19" s="270" t="s">
        <v>107</v>
      </c>
    </row>
    <row r="20" spans="2:8" ht="60">
      <c r="B20" t="s">
        <v>619</v>
      </c>
      <c r="C20" s="270" t="s">
        <v>605</v>
      </c>
      <c r="D20" s="270"/>
      <c r="E20" s="270" t="s">
        <v>621</v>
      </c>
      <c r="F20" s="270" t="s">
        <v>1406</v>
      </c>
      <c r="G20" s="270" t="s">
        <v>620</v>
      </c>
      <c r="H20" s="270" t="s">
        <v>107</v>
      </c>
    </row>
    <row r="21" spans="2:8" ht="60">
      <c r="B21" s="269" t="s">
        <v>619</v>
      </c>
      <c r="C21" s="270" t="s">
        <v>622</v>
      </c>
      <c r="D21" s="270"/>
      <c r="E21" s="270" t="s">
        <v>623</v>
      </c>
      <c r="F21" s="270" t="s">
        <v>1406</v>
      </c>
      <c r="G21" s="270" t="s">
        <v>620</v>
      </c>
      <c r="H21" s="270" t="s">
        <v>107</v>
      </c>
    </row>
    <row r="22" spans="2:8" ht="105">
      <c r="B22" s="269" t="s">
        <v>619</v>
      </c>
      <c r="C22" s="270" t="s">
        <v>605</v>
      </c>
      <c r="D22" s="270"/>
      <c r="E22" s="270" t="s">
        <v>626</v>
      </c>
      <c r="F22" s="270" t="s">
        <v>1407</v>
      </c>
      <c r="G22" s="270" t="s">
        <v>1133</v>
      </c>
      <c r="H22" s="270" t="s">
        <v>107</v>
      </c>
    </row>
    <row r="23" spans="2:8" ht="105">
      <c r="B23" s="269" t="s">
        <v>619</v>
      </c>
      <c r="C23" s="270" t="s">
        <v>622</v>
      </c>
      <c r="D23" s="270"/>
      <c r="E23" s="270" t="s">
        <v>627</v>
      </c>
      <c r="F23" s="270" t="s">
        <v>1407</v>
      </c>
      <c r="G23" s="270" t="s">
        <v>1133</v>
      </c>
      <c r="H23" s="270" t="s">
        <v>107</v>
      </c>
    </row>
    <row r="24" spans="2:8" ht="135">
      <c r="B24" s="269" t="s">
        <v>619</v>
      </c>
      <c r="C24" s="270" t="s">
        <v>605</v>
      </c>
      <c r="D24" s="270"/>
      <c r="E24" s="270" t="s">
        <v>626</v>
      </c>
      <c r="F24" s="270" t="s">
        <v>625</v>
      </c>
      <c r="G24" s="270" t="s">
        <v>624</v>
      </c>
      <c r="H24" s="270" t="s">
        <v>107</v>
      </c>
    </row>
    <row r="25" spans="2:8" ht="135">
      <c r="B25" s="269" t="s">
        <v>619</v>
      </c>
      <c r="C25" s="270" t="s">
        <v>622</v>
      </c>
      <c r="D25" s="270"/>
      <c r="E25" s="270" t="s">
        <v>627</v>
      </c>
      <c r="F25" s="270" t="s">
        <v>625</v>
      </c>
      <c r="G25" s="270" t="s">
        <v>624</v>
      </c>
      <c r="H25" s="270" t="s">
        <v>107</v>
      </c>
    </row>
    <row r="26" spans="2:8" s="269" customFormat="1" ht="30">
      <c r="B26" s="269" t="s">
        <v>479</v>
      </c>
      <c r="C26" s="270" t="s">
        <v>479</v>
      </c>
      <c r="D26" s="270"/>
      <c r="E26" s="143" t="s">
        <v>643</v>
      </c>
      <c r="F26" s="143" t="s">
        <v>644</v>
      </c>
      <c r="G26" s="270" t="s">
        <v>642</v>
      </c>
      <c r="H26" s="270" t="s">
        <v>641</v>
      </c>
    </row>
    <row r="27" spans="2:8" ht="45">
      <c r="B27" t="s">
        <v>630</v>
      </c>
      <c r="C27" s="270" t="s">
        <v>566</v>
      </c>
      <c r="D27" s="270"/>
      <c r="E27" s="270" t="s">
        <v>628</v>
      </c>
      <c r="F27" s="270" t="s">
        <v>629</v>
      </c>
      <c r="G27" s="270" t="s">
        <v>639</v>
      </c>
      <c r="H27" s="269" t="s">
        <v>523</v>
      </c>
    </row>
    <row r="28" spans="2:8">
      <c r="B28" s="269" t="s">
        <v>539</v>
      </c>
      <c r="C28" s="270" t="s">
        <v>479</v>
      </c>
      <c r="D28" s="270"/>
      <c r="E28" s="270" t="s">
        <v>632</v>
      </c>
      <c r="F28" s="270" t="s">
        <v>634</v>
      </c>
      <c r="G28" s="270" t="s">
        <v>633</v>
      </c>
      <c r="H28" s="270" t="s">
        <v>107</v>
      </c>
    </row>
    <row r="29" spans="2:8" ht="30">
      <c r="B29" t="s">
        <v>636</v>
      </c>
      <c r="C29" s="270" t="s">
        <v>518</v>
      </c>
      <c r="D29" s="270"/>
      <c r="E29" s="270" t="s">
        <v>637</v>
      </c>
      <c r="F29" s="270" t="s">
        <v>638</v>
      </c>
      <c r="G29" s="270" t="s">
        <v>640</v>
      </c>
      <c r="H29" s="270" t="s">
        <v>107</v>
      </c>
    </row>
    <row r="30" spans="2:8" ht="30">
      <c r="B30" t="s">
        <v>1111</v>
      </c>
      <c r="C30" s="270" t="s">
        <v>1108</v>
      </c>
      <c r="D30" s="270"/>
      <c r="E30" s="270" t="s">
        <v>645</v>
      </c>
      <c r="F30" s="270" t="s">
        <v>1408</v>
      </c>
      <c r="G30" s="270" t="s">
        <v>791</v>
      </c>
      <c r="H30" s="270" t="s">
        <v>107</v>
      </c>
    </row>
    <row r="31" spans="2:8" ht="30">
      <c r="B31" t="s">
        <v>786</v>
      </c>
      <c r="C31" s="270" t="s">
        <v>607</v>
      </c>
      <c r="D31" s="270"/>
      <c r="E31" s="270" t="s">
        <v>645</v>
      </c>
      <c r="F31" s="270" t="s">
        <v>788</v>
      </c>
      <c r="G31" s="270" t="s">
        <v>787</v>
      </c>
      <c r="H31" s="270" t="s">
        <v>107</v>
      </c>
    </row>
    <row r="32" spans="2:8" ht="65.25" customHeight="1">
      <c r="B32" t="s">
        <v>789</v>
      </c>
      <c r="C32" s="270" t="s">
        <v>1108</v>
      </c>
      <c r="D32" s="270"/>
      <c r="E32" s="270" t="s">
        <v>790</v>
      </c>
      <c r="F32" s="270" t="s">
        <v>798</v>
      </c>
      <c r="G32" s="270" t="s">
        <v>799</v>
      </c>
      <c r="H32" s="270" t="s">
        <v>107</v>
      </c>
    </row>
    <row r="33" spans="1:8" ht="30">
      <c r="B33" t="s">
        <v>1112</v>
      </c>
      <c r="C33" s="270" t="s">
        <v>1108</v>
      </c>
      <c r="D33" s="270"/>
      <c r="E33" s="270" t="s">
        <v>1113</v>
      </c>
      <c r="F33" s="270" t="s">
        <v>1110</v>
      </c>
      <c r="G33" s="270" t="s">
        <v>1109</v>
      </c>
      <c r="H33" s="270" t="s">
        <v>523</v>
      </c>
    </row>
    <row r="34" spans="1:8" ht="45">
      <c r="B34" t="s">
        <v>1114</v>
      </c>
      <c r="C34" s="270" t="s">
        <v>518</v>
      </c>
      <c r="D34" s="270"/>
      <c r="E34" s="270" t="s">
        <v>1115</v>
      </c>
      <c r="F34" s="270" t="s">
        <v>1409</v>
      </c>
      <c r="G34" s="270" t="s">
        <v>791</v>
      </c>
      <c r="H34" s="270" t="s">
        <v>107</v>
      </c>
    </row>
    <row r="35" spans="1:8" ht="108.75" customHeight="1">
      <c r="B35" s="269" t="s">
        <v>1116</v>
      </c>
      <c r="C35" s="270" t="s">
        <v>1108</v>
      </c>
      <c r="D35" s="270"/>
      <c r="E35" s="270" t="s">
        <v>1118</v>
      </c>
      <c r="F35" s="270" t="s">
        <v>1119</v>
      </c>
      <c r="G35" s="270" t="s">
        <v>1117</v>
      </c>
      <c r="H35" s="270" t="s">
        <v>594</v>
      </c>
    </row>
    <row r="36" spans="1:8" ht="90">
      <c r="B36" t="s">
        <v>1120</v>
      </c>
      <c r="C36" s="270" t="s">
        <v>1108</v>
      </c>
      <c r="D36" s="270"/>
      <c r="E36" s="270" t="s">
        <v>1121</v>
      </c>
      <c r="F36" s="270" t="s">
        <v>1122</v>
      </c>
      <c r="G36" s="270" t="s">
        <v>1123</v>
      </c>
    </row>
    <row r="37" spans="1:8" ht="45">
      <c r="B37" t="s">
        <v>1124</v>
      </c>
      <c r="C37" s="270" t="s">
        <v>1108</v>
      </c>
      <c r="D37" s="270"/>
      <c r="E37" s="270" t="s">
        <v>1125</v>
      </c>
      <c r="F37" s="270" t="s">
        <v>1410</v>
      </c>
      <c r="G37" s="270" t="s">
        <v>1126</v>
      </c>
      <c r="H37" s="270" t="s">
        <v>523</v>
      </c>
    </row>
    <row r="38" spans="1:8" ht="45">
      <c r="B38" t="s">
        <v>1128</v>
      </c>
      <c r="C38" s="270" t="s">
        <v>1108</v>
      </c>
      <c r="D38" s="270"/>
      <c r="E38" s="270" t="s">
        <v>1131</v>
      </c>
      <c r="F38" s="270" t="s">
        <v>1129</v>
      </c>
      <c r="G38" s="270" t="s">
        <v>1130</v>
      </c>
      <c r="H38" s="270" t="s">
        <v>107</v>
      </c>
    </row>
    <row r="40" spans="1:8">
      <c r="B40" s="81" t="s">
        <v>1132</v>
      </c>
    </row>
    <row r="41" spans="1:8" ht="60">
      <c r="A41" s="278">
        <v>43678</v>
      </c>
      <c r="B41" s="269" t="s">
        <v>619</v>
      </c>
      <c r="C41" s="270" t="s">
        <v>622</v>
      </c>
      <c r="D41" s="270" t="s">
        <v>1293</v>
      </c>
      <c r="E41" s="270" t="s">
        <v>1292</v>
      </c>
      <c r="F41" s="270" t="s">
        <v>1406</v>
      </c>
      <c r="G41" s="270" t="s">
        <v>1290</v>
      </c>
      <c r="H41" s="270" t="s">
        <v>1134</v>
      </c>
    </row>
    <row r="42" spans="1:8" ht="60">
      <c r="A42" s="278">
        <v>43678</v>
      </c>
      <c r="B42" t="s">
        <v>157</v>
      </c>
      <c r="C42" s="270" t="s">
        <v>622</v>
      </c>
      <c r="D42" s="269" t="s">
        <v>1299</v>
      </c>
      <c r="E42" s="270" t="s">
        <v>1300</v>
      </c>
      <c r="F42" s="270" t="s">
        <v>1287</v>
      </c>
      <c r="G42" s="270" t="s">
        <v>1139</v>
      </c>
      <c r="H42" s="270" t="s">
        <v>1136</v>
      </c>
    </row>
    <row r="43" spans="1:8" ht="60">
      <c r="A43" s="278">
        <v>43678</v>
      </c>
      <c r="B43" s="269" t="s">
        <v>157</v>
      </c>
      <c r="C43" s="270" t="s">
        <v>605</v>
      </c>
      <c r="D43" s="269" t="s">
        <v>1302</v>
      </c>
      <c r="E43" s="270" t="s">
        <v>1301</v>
      </c>
      <c r="F43" s="270" t="s">
        <v>1287</v>
      </c>
      <c r="G43" s="270" t="s">
        <v>1138</v>
      </c>
      <c r="H43" s="270" t="s">
        <v>107</v>
      </c>
    </row>
    <row r="44" spans="1:8" ht="30">
      <c r="A44" s="278">
        <v>43678</v>
      </c>
      <c r="B44" s="269" t="s">
        <v>157</v>
      </c>
      <c r="C44" s="270" t="s">
        <v>622</v>
      </c>
      <c r="D44" s="270" t="s">
        <v>1294</v>
      </c>
      <c r="E44" s="270" t="s">
        <v>1137</v>
      </c>
      <c r="F44" s="270" t="s">
        <v>1296</v>
      </c>
      <c r="G44" s="270" t="s">
        <v>1297</v>
      </c>
      <c r="H44" s="270" t="s">
        <v>1298</v>
      </c>
    </row>
    <row r="45" spans="1:8" ht="30">
      <c r="A45" s="278">
        <v>43678</v>
      </c>
      <c r="B45" s="269" t="s">
        <v>157</v>
      </c>
      <c r="C45" s="270" t="s">
        <v>605</v>
      </c>
      <c r="D45" s="270" t="s">
        <v>1295</v>
      </c>
      <c r="E45" s="270" t="s">
        <v>1140</v>
      </c>
      <c r="F45" s="270" t="s">
        <v>1296</v>
      </c>
      <c r="G45" s="270" t="s">
        <v>1297</v>
      </c>
      <c r="H45" s="270" t="s">
        <v>1298</v>
      </c>
    </row>
    <row r="46" spans="1:8" ht="45">
      <c r="A46" s="278">
        <v>43678</v>
      </c>
      <c r="B46" s="270" t="s">
        <v>1303</v>
      </c>
      <c r="C46" s="270" t="s">
        <v>605</v>
      </c>
      <c r="E46" s="270" t="s">
        <v>1304</v>
      </c>
      <c r="F46" s="270" t="s">
        <v>1305</v>
      </c>
      <c r="G46" s="270" t="s">
        <v>1306</v>
      </c>
      <c r="H46" s="270" t="s">
        <v>1134</v>
      </c>
    </row>
    <row r="47" spans="1:8" s="269" customFormat="1" ht="45">
      <c r="A47" s="278">
        <v>43678</v>
      </c>
      <c r="B47" s="270" t="s">
        <v>1303</v>
      </c>
      <c r="C47" s="270" t="s">
        <v>622</v>
      </c>
      <c r="E47" s="270" t="s">
        <v>1304</v>
      </c>
      <c r="F47" s="270" t="s">
        <v>1305</v>
      </c>
      <c r="G47" s="270" t="s">
        <v>1306</v>
      </c>
      <c r="H47" s="270" t="s">
        <v>1134</v>
      </c>
    </row>
    <row r="48" spans="1:8" ht="45">
      <c r="A48" s="278">
        <v>43709</v>
      </c>
      <c r="B48" s="270" t="s">
        <v>1310</v>
      </c>
      <c r="C48" s="270" t="s">
        <v>540</v>
      </c>
      <c r="E48" s="270" t="s">
        <v>1312</v>
      </c>
      <c r="F48" s="270" t="s">
        <v>1314</v>
      </c>
      <c r="G48" s="270" t="s">
        <v>1318</v>
      </c>
      <c r="H48" s="270" t="s">
        <v>1311</v>
      </c>
    </row>
    <row r="49" spans="1:8" ht="30">
      <c r="A49" s="278">
        <v>43709</v>
      </c>
      <c r="B49" s="270" t="s">
        <v>1313</v>
      </c>
      <c r="C49" s="270" t="s">
        <v>59</v>
      </c>
      <c r="E49" s="270" t="s">
        <v>1317</v>
      </c>
      <c r="F49" s="270" t="s">
        <v>1315</v>
      </c>
      <c r="G49" s="270" t="s">
        <v>1306</v>
      </c>
      <c r="H49" s="270" t="s">
        <v>1316</v>
      </c>
    </row>
    <row r="50" spans="1:8">
      <c r="A50" s="278">
        <v>43739</v>
      </c>
      <c r="B50" s="270" t="s">
        <v>1326</v>
      </c>
      <c r="C50" s="270" t="s">
        <v>622</v>
      </c>
      <c r="D50" s="269" t="s">
        <v>1329</v>
      </c>
      <c r="E50" s="270" t="s">
        <v>1330</v>
      </c>
      <c r="F50" s="270" t="s">
        <v>1327</v>
      </c>
      <c r="G50" s="270" t="s">
        <v>1306</v>
      </c>
      <c r="H50" s="270" t="s">
        <v>1328</v>
      </c>
    </row>
    <row r="51" spans="1:8" ht="45">
      <c r="A51" s="278">
        <v>43739</v>
      </c>
      <c r="B51" s="270" t="s">
        <v>1326</v>
      </c>
      <c r="C51" s="270" t="s">
        <v>605</v>
      </c>
      <c r="D51" s="270" t="s">
        <v>1333</v>
      </c>
      <c r="E51" s="270" t="s">
        <v>1331</v>
      </c>
      <c r="F51" s="270" t="s">
        <v>1332</v>
      </c>
      <c r="G51" s="270" t="s">
        <v>1306</v>
      </c>
      <c r="H51" s="270" t="s">
        <v>610</v>
      </c>
    </row>
    <row r="52" spans="1:8" ht="45">
      <c r="A52" s="278">
        <v>43739</v>
      </c>
      <c r="B52" s="270" t="s">
        <v>1341</v>
      </c>
      <c r="C52" s="270" t="s">
        <v>605</v>
      </c>
      <c r="D52" s="270" t="s">
        <v>1336</v>
      </c>
      <c r="E52" s="270" t="s">
        <v>1337</v>
      </c>
      <c r="F52" s="270" t="s">
        <v>1334</v>
      </c>
      <c r="G52" s="270" t="s">
        <v>1335</v>
      </c>
      <c r="H52" s="270" t="s">
        <v>528</v>
      </c>
    </row>
    <row r="53" spans="1:8" ht="30">
      <c r="A53" s="278">
        <v>43739</v>
      </c>
      <c r="B53" s="270" t="s">
        <v>1326</v>
      </c>
      <c r="C53" s="270" t="s">
        <v>622</v>
      </c>
      <c r="D53" s="269" t="s">
        <v>684</v>
      </c>
      <c r="E53" s="270" t="s">
        <v>1338</v>
      </c>
      <c r="F53" s="270" t="s">
        <v>1339</v>
      </c>
      <c r="G53" s="270" t="s">
        <v>1340</v>
      </c>
      <c r="H53" s="270" t="s">
        <v>610</v>
      </c>
    </row>
    <row r="54" spans="1:8" ht="75">
      <c r="A54" s="278">
        <v>43739</v>
      </c>
      <c r="B54" s="270" t="s">
        <v>1326</v>
      </c>
      <c r="C54" s="270" t="s">
        <v>622</v>
      </c>
      <c r="D54" s="270" t="s">
        <v>1355</v>
      </c>
      <c r="E54" s="270" t="s">
        <v>1356</v>
      </c>
      <c r="F54" s="270" t="s">
        <v>1346</v>
      </c>
      <c r="G54" s="270" t="s">
        <v>1347</v>
      </c>
      <c r="H54" s="270" t="s">
        <v>1353</v>
      </c>
    </row>
    <row r="55" spans="1:8" ht="60">
      <c r="A55" s="278">
        <v>43739</v>
      </c>
      <c r="B55" s="270" t="s">
        <v>1363</v>
      </c>
      <c r="C55" s="270" t="s">
        <v>622</v>
      </c>
      <c r="D55" s="129" t="s">
        <v>1388</v>
      </c>
      <c r="E55" s="129" t="s">
        <v>1389</v>
      </c>
      <c r="F55" s="143" t="s">
        <v>1366</v>
      </c>
      <c r="G55" s="270" t="s">
        <v>1364</v>
      </c>
      <c r="H55" s="270" t="s">
        <v>528</v>
      </c>
    </row>
    <row r="56" spans="1:8" s="269" customFormat="1" ht="30">
      <c r="A56" s="278">
        <v>43739</v>
      </c>
      <c r="B56" s="270" t="s">
        <v>1363</v>
      </c>
      <c r="C56" s="270" t="s">
        <v>622</v>
      </c>
      <c r="D56" s="269" t="s">
        <v>1367</v>
      </c>
      <c r="E56" s="129" t="s">
        <v>1390</v>
      </c>
      <c r="F56" s="270" t="s">
        <v>1368</v>
      </c>
      <c r="G56" s="270" t="s">
        <v>1368</v>
      </c>
      <c r="H56" s="270" t="s">
        <v>1364</v>
      </c>
    </row>
    <row r="57" spans="1:8" s="269" customFormat="1" ht="30">
      <c r="A57" s="278">
        <v>43739</v>
      </c>
      <c r="B57" s="270" t="s">
        <v>1369</v>
      </c>
      <c r="C57" s="270" t="s">
        <v>622</v>
      </c>
      <c r="D57" s="129" t="s">
        <v>1393</v>
      </c>
      <c r="E57" s="129" t="s">
        <v>1394</v>
      </c>
      <c r="F57" s="143" t="s">
        <v>1371</v>
      </c>
      <c r="G57" s="270" t="s">
        <v>1370</v>
      </c>
      <c r="H57" s="270"/>
    </row>
    <row r="58" spans="1:8" s="269" customFormat="1" ht="75">
      <c r="A58" s="278">
        <v>43739</v>
      </c>
      <c r="B58" s="270" t="s">
        <v>1375</v>
      </c>
      <c r="C58" s="270" t="s">
        <v>622</v>
      </c>
      <c r="D58" s="129" t="s">
        <v>735</v>
      </c>
      <c r="E58" s="129" t="s">
        <v>1395</v>
      </c>
      <c r="F58" s="143" t="s">
        <v>1382</v>
      </c>
      <c r="G58" s="143" t="s">
        <v>1411</v>
      </c>
      <c r="H58" s="270" t="s">
        <v>528</v>
      </c>
    </row>
    <row r="59" spans="1:8" s="269" customFormat="1" ht="45">
      <c r="A59" s="278">
        <v>43739</v>
      </c>
      <c r="B59" s="270" t="s">
        <v>1396</v>
      </c>
      <c r="C59" s="270" t="s">
        <v>622</v>
      </c>
      <c r="D59" s="129" t="s">
        <v>1397</v>
      </c>
      <c r="E59" s="129" t="s">
        <v>1398</v>
      </c>
      <c r="F59" s="143" t="s">
        <v>1380</v>
      </c>
      <c r="G59" s="143" t="s">
        <v>1377</v>
      </c>
      <c r="H59" s="270" t="s">
        <v>528</v>
      </c>
    </row>
    <row r="60" spans="1:8" s="269" customFormat="1" ht="75">
      <c r="A60" s="278">
        <v>43739</v>
      </c>
      <c r="B60" s="270" t="s">
        <v>1376</v>
      </c>
      <c r="C60" s="270" t="s">
        <v>622</v>
      </c>
      <c r="D60" s="129" t="s">
        <v>1392</v>
      </c>
      <c r="E60" s="129" t="s">
        <v>1391</v>
      </c>
      <c r="F60" s="143" t="s">
        <v>1378</v>
      </c>
      <c r="G60" s="143" t="s">
        <v>1412</v>
      </c>
      <c r="H60" s="270" t="s">
        <v>528</v>
      </c>
    </row>
    <row r="61" spans="1:8" ht="60">
      <c r="A61" s="278">
        <v>43739</v>
      </c>
      <c r="B61" s="270" t="s">
        <v>1363</v>
      </c>
      <c r="C61" s="270" t="s">
        <v>605</v>
      </c>
      <c r="D61" s="269" t="s">
        <v>1388</v>
      </c>
      <c r="E61" s="129" t="s">
        <v>1365</v>
      </c>
      <c r="F61" s="143" t="s">
        <v>1366</v>
      </c>
      <c r="G61" s="270" t="s">
        <v>1364</v>
      </c>
      <c r="H61" s="270" t="s">
        <v>528</v>
      </c>
    </row>
    <row r="62" spans="1:8" ht="30">
      <c r="A62" s="278">
        <v>43739</v>
      </c>
      <c r="B62" s="270" t="s">
        <v>1363</v>
      </c>
      <c r="C62" s="270" t="s">
        <v>605</v>
      </c>
      <c r="D62" s="269" t="s">
        <v>1367</v>
      </c>
      <c r="E62" t="s">
        <v>1387</v>
      </c>
      <c r="F62" s="270" t="s">
        <v>1368</v>
      </c>
      <c r="G62" s="270" t="s">
        <v>1364</v>
      </c>
      <c r="H62" s="270" t="s">
        <v>528</v>
      </c>
    </row>
    <row r="63" spans="1:8" ht="30">
      <c r="A63" s="278">
        <v>43739</v>
      </c>
      <c r="B63" s="270" t="s">
        <v>1369</v>
      </c>
      <c r="C63" s="270" t="s">
        <v>605</v>
      </c>
      <c r="D63" s="129" t="s">
        <v>1372</v>
      </c>
      <c r="E63" t="s">
        <v>1373</v>
      </c>
      <c r="F63" s="143" t="s">
        <v>1371</v>
      </c>
      <c r="G63" s="270" t="s">
        <v>1370</v>
      </c>
      <c r="H63" s="270" t="s">
        <v>1328</v>
      </c>
    </row>
    <row r="64" spans="1:8" ht="75">
      <c r="A64" s="278">
        <v>43739</v>
      </c>
      <c r="B64" s="270" t="s">
        <v>1375</v>
      </c>
      <c r="C64" s="270" t="s">
        <v>605</v>
      </c>
      <c r="D64" s="129" t="s">
        <v>1383</v>
      </c>
      <c r="E64" t="s">
        <v>1384</v>
      </c>
      <c r="F64" s="143" t="s">
        <v>1382</v>
      </c>
      <c r="G64" s="143" t="s">
        <v>1411</v>
      </c>
      <c r="H64" s="270" t="s">
        <v>528</v>
      </c>
    </row>
    <row r="65" spans="1:8" ht="45">
      <c r="A65" s="278">
        <v>43739</v>
      </c>
      <c r="B65" s="270" t="s">
        <v>1374</v>
      </c>
      <c r="C65" s="270" t="s">
        <v>605</v>
      </c>
      <c r="D65" s="269" t="s">
        <v>1381</v>
      </c>
      <c r="E65" t="s">
        <v>1385</v>
      </c>
      <c r="F65" s="143" t="s">
        <v>1380</v>
      </c>
      <c r="G65" s="143" t="s">
        <v>1377</v>
      </c>
      <c r="H65" s="270" t="s">
        <v>528</v>
      </c>
    </row>
    <row r="66" spans="1:8" ht="90.75" customHeight="1">
      <c r="A66" s="278">
        <v>43739</v>
      </c>
      <c r="B66" s="270" t="s">
        <v>1376</v>
      </c>
      <c r="C66" s="270" t="s">
        <v>605</v>
      </c>
      <c r="D66" s="269" t="s">
        <v>1379</v>
      </c>
      <c r="E66" t="s">
        <v>1386</v>
      </c>
      <c r="F66" s="143" t="s">
        <v>1378</v>
      </c>
      <c r="G66" s="143" t="s">
        <v>1412</v>
      </c>
      <c r="H66" s="270" t="s">
        <v>528</v>
      </c>
    </row>
    <row r="67" spans="1:8" ht="45">
      <c r="A67" s="278">
        <v>43739</v>
      </c>
      <c r="B67" s="270" t="s">
        <v>1400</v>
      </c>
      <c r="C67" s="270" t="s">
        <v>622</v>
      </c>
      <c r="D67" s="269" t="s">
        <v>1401</v>
      </c>
      <c r="E67" t="s">
        <v>1402</v>
      </c>
      <c r="F67" s="143" t="s">
        <v>1413</v>
      </c>
      <c r="G67" s="143" t="s">
        <v>1403</v>
      </c>
      <c r="H67" s="270" t="s">
        <v>610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390"/>
  </sheetPr>
  <dimension ref="A1:H9"/>
  <sheetViews>
    <sheetView workbookViewId="0"/>
  </sheetViews>
  <sheetFormatPr defaultColWidth="8.85546875" defaultRowHeight="15"/>
  <cols>
    <col min="1" max="1" width="24.140625" customWidth="1"/>
    <col min="2" max="2" width="50.28515625" customWidth="1"/>
  </cols>
  <sheetData>
    <row r="1" spans="1:8">
      <c r="A1" s="81" t="s">
        <v>86</v>
      </c>
    </row>
    <row r="3" spans="1:8">
      <c r="A3" s="7" t="s">
        <v>29</v>
      </c>
      <c r="B3" s="7" t="s">
        <v>385</v>
      </c>
      <c r="C3" s="7"/>
      <c r="D3" s="315"/>
      <c r="E3" s="315"/>
      <c r="F3" s="315"/>
      <c r="G3" s="315"/>
      <c r="H3" s="315"/>
    </row>
    <row r="4" spans="1:8">
      <c r="A4" s="7" t="s">
        <v>376</v>
      </c>
      <c r="B4" s="7" t="s">
        <v>377</v>
      </c>
      <c r="C4" s="7"/>
      <c r="D4" s="315"/>
      <c r="E4" s="315"/>
      <c r="F4" s="315"/>
      <c r="G4" s="315"/>
      <c r="H4" s="315"/>
    </row>
    <row r="5" spans="1:8">
      <c r="A5" s="7" t="s">
        <v>57</v>
      </c>
      <c r="B5" s="7" t="s">
        <v>386</v>
      </c>
      <c r="C5" s="7"/>
      <c r="D5" s="315"/>
      <c r="E5" s="315"/>
      <c r="F5" s="315"/>
      <c r="G5" s="315"/>
      <c r="H5" s="315"/>
    </row>
    <row r="6" spans="1:8">
      <c r="A6" s="7"/>
      <c r="B6" s="7" t="s">
        <v>387</v>
      </c>
      <c r="C6" s="7"/>
      <c r="D6" s="315"/>
      <c r="E6" s="315"/>
      <c r="F6" s="315"/>
      <c r="G6" s="315"/>
      <c r="H6" s="315"/>
    </row>
    <row r="7" spans="1:8">
      <c r="A7" s="7" t="s">
        <v>205</v>
      </c>
      <c r="B7" s="7" t="s">
        <v>207</v>
      </c>
      <c r="C7" s="7"/>
      <c r="D7" s="315"/>
      <c r="E7" s="315"/>
      <c r="F7" s="315"/>
      <c r="G7" s="315"/>
      <c r="H7" s="315"/>
    </row>
    <row r="8" spans="1:8">
      <c r="A8" s="7" t="s">
        <v>208</v>
      </c>
      <c r="B8" s="7" t="s">
        <v>378</v>
      </c>
      <c r="C8" s="7"/>
      <c r="D8" s="315"/>
      <c r="E8" s="315"/>
      <c r="F8" s="315"/>
      <c r="G8" s="315"/>
      <c r="H8" s="315"/>
    </row>
    <row r="9" spans="1:8">
      <c r="A9" s="7" t="s">
        <v>305</v>
      </c>
      <c r="B9" s="7" t="s">
        <v>379</v>
      </c>
      <c r="C9" s="7"/>
      <c r="D9" s="315"/>
      <c r="E9" s="315"/>
      <c r="F9" s="315"/>
      <c r="G9" s="315"/>
      <c r="H9" s="315"/>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1"/>
  <sheetViews>
    <sheetView workbookViewId="0"/>
  </sheetViews>
  <sheetFormatPr defaultColWidth="8.85546875" defaultRowHeight="15"/>
  <cols>
    <col min="1" max="1" width="37" customWidth="1"/>
    <col min="2" max="2" width="22.42578125" customWidth="1"/>
    <col min="3" max="3" width="19.140625" customWidth="1"/>
    <col min="4" max="4" width="19.7109375" customWidth="1"/>
    <col min="5" max="5" width="70.140625" customWidth="1"/>
    <col min="6" max="6" width="42.7109375" style="122" customWidth="1"/>
    <col min="7" max="7" width="16.85546875" customWidth="1"/>
  </cols>
  <sheetData>
    <row r="1" spans="1:6" s="118" customFormat="1">
      <c r="A1" s="118" t="s">
        <v>201</v>
      </c>
      <c r="F1" s="122"/>
    </row>
    <row r="3" spans="1:6">
      <c r="A3" s="23" t="s">
        <v>106</v>
      </c>
    </row>
    <row r="4" spans="1:6" s="53" customFormat="1">
      <c r="A4" s="7" t="s">
        <v>108</v>
      </c>
      <c r="F4" s="122"/>
    </row>
    <row r="5" spans="1:6">
      <c r="A5" t="s">
        <v>69</v>
      </c>
    </row>
    <row r="6" spans="1:6">
      <c r="A6" t="s">
        <v>70</v>
      </c>
    </row>
    <row r="7" spans="1:6">
      <c r="A7" t="s">
        <v>71</v>
      </c>
    </row>
    <row r="8" spans="1:6">
      <c r="A8" t="s">
        <v>72</v>
      </c>
    </row>
    <row r="9" spans="1:6">
      <c r="A9" t="s">
        <v>73</v>
      </c>
    </row>
    <row r="10" spans="1:6">
      <c r="A10" t="s">
        <v>74</v>
      </c>
    </row>
    <row r="11" spans="1:6">
      <c r="A11" t="s">
        <v>41</v>
      </c>
    </row>
    <row r="12" spans="1:6">
      <c r="A12" t="s">
        <v>75</v>
      </c>
    </row>
    <row r="13" spans="1:6">
      <c r="A13" t="s">
        <v>76</v>
      </c>
    </row>
    <row r="14" spans="1:6">
      <c r="B14" s="23" t="s">
        <v>60</v>
      </c>
    </row>
    <row r="15" spans="1:6" s="53" customFormat="1">
      <c r="B15" s="7" t="s">
        <v>0</v>
      </c>
      <c r="F15" s="122"/>
    </row>
    <row r="16" spans="1:6">
      <c r="B16" t="s">
        <v>77</v>
      </c>
    </row>
    <row r="17" spans="2:4">
      <c r="B17" t="s">
        <v>78</v>
      </c>
    </row>
    <row r="18" spans="2:4">
      <c r="B18" t="s">
        <v>79</v>
      </c>
    </row>
    <row r="19" spans="2:4">
      <c r="B19" t="s">
        <v>80</v>
      </c>
    </row>
    <row r="20" spans="2:4">
      <c r="B20" t="s">
        <v>198</v>
      </c>
    </row>
    <row r="22" spans="2:4">
      <c r="C22" s="23" t="s">
        <v>57</v>
      </c>
    </row>
    <row r="23" spans="2:4">
      <c r="C23" t="s">
        <v>109</v>
      </c>
      <c r="D23" t="s">
        <v>303</v>
      </c>
    </row>
    <row r="24" spans="2:4">
      <c r="C24" t="s">
        <v>110</v>
      </c>
      <c r="D24" t="s">
        <v>304</v>
      </c>
    </row>
    <row r="26" spans="2:4">
      <c r="D26" s="23" t="s">
        <v>115</v>
      </c>
    </row>
    <row r="27" spans="2:4" s="122" customFormat="1">
      <c r="D27" s="7" t="s">
        <v>214</v>
      </c>
    </row>
    <row r="28" spans="2:4" s="122" customFormat="1">
      <c r="D28" s="7" t="s">
        <v>211</v>
      </c>
    </row>
    <row r="29" spans="2:4">
      <c r="D29" t="s">
        <v>116</v>
      </c>
    </row>
    <row r="30" spans="2:4">
      <c r="D30" t="s">
        <v>117</v>
      </c>
    </row>
    <row r="31" spans="2:4">
      <c r="D31" t="s">
        <v>83</v>
      </c>
    </row>
    <row r="32" spans="2:4">
      <c r="D32" t="s">
        <v>118</v>
      </c>
    </row>
    <row r="33" spans="4:6">
      <c r="D33" t="s">
        <v>193</v>
      </c>
    </row>
    <row r="34" spans="4:6" s="118" customFormat="1">
      <c r="D34" s="118" t="s">
        <v>154</v>
      </c>
      <c r="F34" s="122"/>
    </row>
    <row r="35" spans="4:6">
      <c r="D35" t="s">
        <v>194</v>
      </c>
    </row>
    <row r="36" spans="4:6">
      <c r="D36" t="s">
        <v>156</v>
      </c>
    </row>
    <row r="37" spans="4:6" s="80" customFormat="1">
      <c r="D37" s="80" t="s">
        <v>157</v>
      </c>
      <c r="F37" s="122"/>
    </row>
    <row r="38" spans="4:6" s="80" customFormat="1">
      <c r="D38" s="80" t="s">
        <v>158</v>
      </c>
      <c r="F38" s="122"/>
    </row>
    <row r="39" spans="4:6" s="80" customFormat="1">
      <c r="D39" s="80" t="s">
        <v>159</v>
      </c>
      <c r="F39" s="122"/>
    </row>
    <row r="40" spans="4:6">
      <c r="D40" t="s">
        <v>160</v>
      </c>
    </row>
    <row r="41" spans="4:6">
      <c r="D41" t="s">
        <v>161</v>
      </c>
    </row>
    <row r="42" spans="4:6">
      <c r="D42" t="s">
        <v>162</v>
      </c>
    </row>
    <row r="43" spans="4:6">
      <c r="D43" t="s">
        <v>203</v>
      </c>
    </row>
    <row r="44" spans="4:6">
      <c r="D44" t="s">
        <v>176</v>
      </c>
    </row>
    <row r="45" spans="4:6">
      <c r="D45" t="s">
        <v>179</v>
      </c>
    </row>
    <row r="46" spans="4:6">
      <c r="D46" t="s">
        <v>221</v>
      </c>
    </row>
    <row r="47" spans="4:6">
      <c r="D47" t="s">
        <v>227</v>
      </c>
    </row>
    <row r="48" spans="4:6">
      <c r="D48" t="s">
        <v>234</v>
      </c>
    </row>
    <row r="49" spans="4:6">
      <c r="D49" t="s">
        <v>235</v>
      </c>
    </row>
    <row r="50" spans="4:6">
      <c r="D50" t="s">
        <v>312</v>
      </c>
    </row>
    <row r="51" spans="4:6">
      <c r="E51" s="81" t="s">
        <v>104</v>
      </c>
      <c r="F51" s="81" t="s">
        <v>302</v>
      </c>
    </row>
    <row r="52" spans="4:6">
      <c r="E52" s="7" t="s">
        <v>127</v>
      </c>
      <c r="F52" t="s">
        <v>252</v>
      </c>
    </row>
    <row r="53" spans="4:6">
      <c r="E53" s="7" t="s">
        <v>122</v>
      </c>
      <c r="F53" t="s">
        <v>253</v>
      </c>
    </row>
    <row r="54" spans="4:6">
      <c r="E54" s="7" t="s">
        <v>128</v>
      </c>
      <c r="F54" t="s">
        <v>254</v>
      </c>
    </row>
    <row r="55" spans="4:6" s="165" customFormat="1">
      <c r="E55" s="7" t="s">
        <v>448</v>
      </c>
      <c r="F55" s="165" t="s">
        <v>451</v>
      </c>
    </row>
    <row r="56" spans="4:6" s="165" customFormat="1">
      <c r="E56" s="7" t="s">
        <v>449</v>
      </c>
      <c r="F56" s="165" t="s">
        <v>452</v>
      </c>
    </row>
    <row r="57" spans="4:6" s="165" customFormat="1">
      <c r="E57" s="7" t="s">
        <v>450</v>
      </c>
      <c r="F57" s="165" t="s">
        <v>453</v>
      </c>
    </row>
    <row r="58" spans="4:6" s="165" customFormat="1">
      <c r="E58" s="7" t="s">
        <v>445</v>
      </c>
      <c r="F58" s="165" t="s">
        <v>454</v>
      </c>
    </row>
    <row r="59" spans="4:6" s="165" customFormat="1">
      <c r="E59" s="7" t="s">
        <v>446</v>
      </c>
      <c r="F59" s="165" t="s">
        <v>455</v>
      </c>
    </row>
    <row r="60" spans="4:6" s="165" customFormat="1">
      <c r="E60" s="7" t="s">
        <v>447</v>
      </c>
      <c r="F60" s="165" t="s">
        <v>456</v>
      </c>
    </row>
    <row r="61" spans="4:6">
      <c r="E61" t="s">
        <v>105</v>
      </c>
      <c r="F61" t="s">
        <v>255</v>
      </c>
    </row>
    <row r="62" spans="4:6">
      <c r="E62" t="s">
        <v>112</v>
      </c>
      <c r="F62" t="s">
        <v>256</v>
      </c>
    </row>
    <row r="63" spans="4:6">
      <c r="E63" t="s">
        <v>119</v>
      </c>
      <c r="F63" t="s">
        <v>257</v>
      </c>
    </row>
    <row r="64" spans="4:6">
      <c r="E64" t="s">
        <v>111</v>
      </c>
      <c r="F64" t="s">
        <v>258</v>
      </c>
    </row>
    <row r="65" spans="2:9">
      <c r="E65" t="s">
        <v>121</v>
      </c>
      <c r="F65" t="s">
        <v>259</v>
      </c>
    </row>
    <row r="66" spans="2:9">
      <c r="E66" t="s">
        <v>123</v>
      </c>
      <c r="F66" t="s">
        <v>260</v>
      </c>
    </row>
    <row r="67" spans="2:9">
      <c r="E67" t="s">
        <v>124</v>
      </c>
      <c r="F67" t="s">
        <v>261</v>
      </c>
    </row>
    <row r="68" spans="2:9">
      <c r="E68" t="s">
        <v>125</v>
      </c>
      <c r="F68" t="s">
        <v>262</v>
      </c>
    </row>
    <row r="69" spans="2:9">
      <c r="E69" t="s">
        <v>145</v>
      </c>
      <c r="F69" t="s">
        <v>263</v>
      </c>
    </row>
    <row r="70" spans="2:9">
      <c r="E70" t="s">
        <v>146</v>
      </c>
      <c r="F70" t="s">
        <v>146</v>
      </c>
    </row>
    <row r="71" spans="2:9">
      <c r="E71" t="s">
        <v>147</v>
      </c>
      <c r="F71" t="s">
        <v>264</v>
      </c>
    </row>
    <row r="72" spans="2:9">
      <c r="E72" t="s">
        <v>148</v>
      </c>
      <c r="F72" t="s">
        <v>265</v>
      </c>
    </row>
    <row r="73" spans="2:9">
      <c r="E73" t="s">
        <v>149</v>
      </c>
      <c r="F73" t="s">
        <v>266</v>
      </c>
    </row>
    <row r="74" spans="2:9">
      <c r="E74" t="s">
        <v>150</v>
      </c>
      <c r="F74" t="s">
        <v>267</v>
      </c>
    </row>
    <row r="75" spans="2:9">
      <c r="B75" s="165" t="s">
        <v>151</v>
      </c>
      <c r="E75" t="s">
        <v>405</v>
      </c>
      <c r="F75" t="s">
        <v>268</v>
      </c>
      <c r="I75" s="80"/>
    </row>
    <row r="76" spans="2:9">
      <c r="E76" t="s">
        <v>152</v>
      </c>
      <c r="F76" t="s">
        <v>269</v>
      </c>
    </row>
    <row r="77" spans="2:9">
      <c r="E77" t="s">
        <v>406</v>
      </c>
      <c r="F77" s="122" t="s">
        <v>270</v>
      </c>
    </row>
    <row r="78" spans="2:9">
      <c r="E78" t="s">
        <v>153</v>
      </c>
      <c r="F78" s="122" t="s">
        <v>271</v>
      </c>
    </row>
    <row r="79" spans="2:9">
      <c r="E79" t="s">
        <v>407</v>
      </c>
      <c r="F79" s="122" t="s">
        <v>272</v>
      </c>
    </row>
    <row r="80" spans="2:9" s="165" customFormat="1">
      <c r="E80" s="165" t="s">
        <v>419</v>
      </c>
      <c r="F80" s="165" t="s">
        <v>431</v>
      </c>
    </row>
    <row r="81" spans="5:6" s="165" customFormat="1">
      <c r="E81" s="165" t="s">
        <v>420</v>
      </c>
      <c r="F81" s="165" t="s">
        <v>432</v>
      </c>
    </row>
    <row r="82" spans="5:6" s="165" customFormat="1">
      <c r="E82" s="165" t="s">
        <v>421</v>
      </c>
      <c r="F82" s="165" t="s">
        <v>433</v>
      </c>
    </row>
    <row r="83" spans="5:6" s="165" customFormat="1">
      <c r="E83" s="165" t="s">
        <v>422</v>
      </c>
      <c r="F83" s="165" t="s">
        <v>434</v>
      </c>
    </row>
    <row r="84" spans="5:6" s="165" customFormat="1">
      <c r="E84" s="165" t="s">
        <v>423</v>
      </c>
      <c r="F84" s="165" t="s">
        <v>435</v>
      </c>
    </row>
    <row r="85" spans="5:6" s="165" customFormat="1">
      <c r="E85" s="165" t="s">
        <v>424</v>
      </c>
      <c r="F85" s="165" t="s">
        <v>436</v>
      </c>
    </row>
    <row r="86" spans="5:6" s="165" customFormat="1">
      <c r="E86" s="165" t="s">
        <v>429</v>
      </c>
      <c r="F86" s="165" t="s">
        <v>437</v>
      </c>
    </row>
    <row r="87" spans="5:6" s="165" customFormat="1">
      <c r="E87" s="165" t="s">
        <v>430</v>
      </c>
      <c r="F87" s="165" t="s">
        <v>438</v>
      </c>
    </row>
    <row r="88" spans="5:6" s="165" customFormat="1">
      <c r="E88" s="165" t="s">
        <v>425</v>
      </c>
      <c r="F88" s="165" t="s">
        <v>439</v>
      </c>
    </row>
    <row r="89" spans="5:6" s="165" customFormat="1">
      <c r="E89" s="165" t="s">
        <v>426</v>
      </c>
      <c r="F89" s="165" t="s">
        <v>440</v>
      </c>
    </row>
    <row r="90" spans="5:6" s="165" customFormat="1">
      <c r="E90" s="165" t="s">
        <v>427</v>
      </c>
      <c r="F90" s="165" t="s">
        <v>441</v>
      </c>
    </row>
    <row r="91" spans="5:6" s="165" customFormat="1">
      <c r="E91" s="165" t="s">
        <v>428</v>
      </c>
      <c r="F91" s="165" t="s">
        <v>442</v>
      </c>
    </row>
    <row r="92" spans="5:6">
      <c r="E92" t="s">
        <v>236</v>
      </c>
      <c r="F92" s="122" t="s">
        <v>273</v>
      </c>
    </row>
    <row r="93" spans="5:6" s="165" customFormat="1">
      <c r="E93" s="165" t="s">
        <v>397</v>
      </c>
      <c r="F93" s="165" t="s">
        <v>398</v>
      </c>
    </row>
    <row r="94" spans="5:6">
      <c r="E94" s="122" t="s">
        <v>237</v>
      </c>
      <c r="F94" s="122" t="s">
        <v>274</v>
      </c>
    </row>
    <row r="95" spans="5:6" s="165" customFormat="1">
      <c r="E95" s="165" t="s">
        <v>396</v>
      </c>
      <c r="F95" s="165" t="s">
        <v>399</v>
      </c>
    </row>
    <row r="96" spans="5:6">
      <c r="E96" s="122" t="s">
        <v>238</v>
      </c>
      <c r="F96" s="122" t="s">
        <v>275</v>
      </c>
    </row>
    <row r="97" spans="2:6" s="165" customFormat="1">
      <c r="E97" t="s">
        <v>394</v>
      </c>
      <c r="F97" s="165" t="s">
        <v>401</v>
      </c>
    </row>
    <row r="98" spans="2:6">
      <c r="E98" t="s">
        <v>239</v>
      </c>
      <c r="F98" s="122" t="s">
        <v>402</v>
      </c>
    </row>
    <row r="99" spans="2:6" s="165" customFormat="1">
      <c r="E99" s="165" t="s">
        <v>395</v>
      </c>
      <c r="F99" s="165" t="s">
        <v>400</v>
      </c>
    </row>
    <row r="100" spans="2:6">
      <c r="E100" t="s">
        <v>411</v>
      </c>
      <c r="F100" s="122" t="s">
        <v>276</v>
      </c>
    </row>
    <row r="101" spans="2:6" s="165" customFormat="1">
      <c r="E101" s="165" t="s">
        <v>412</v>
      </c>
      <c r="F101" s="165" t="s">
        <v>403</v>
      </c>
    </row>
    <row r="102" spans="2:6">
      <c r="E102" t="s">
        <v>413</v>
      </c>
      <c r="F102" s="122" t="s">
        <v>277</v>
      </c>
    </row>
    <row r="103" spans="2:6" s="165" customFormat="1">
      <c r="E103" s="165" t="s">
        <v>414</v>
      </c>
      <c r="F103" s="165" t="s">
        <v>404</v>
      </c>
    </row>
    <row r="104" spans="2:6">
      <c r="E104" t="s">
        <v>217</v>
      </c>
      <c r="F104" s="122" t="s">
        <v>278</v>
      </c>
    </row>
    <row r="105" spans="2:6">
      <c r="E105" t="s">
        <v>218</v>
      </c>
      <c r="F105" s="122" t="s">
        <v>279</v>
      </c>
    </row>
    <row r="106" spans="2:6" s="165" customFormat="1">
      <c r="E106" t="s">
        <v>219</v>
      </c>
      <c r="F106" s="122" t="s">
        <v>280</v>
      </c>
    </row>
    <row r="107" spans="2:6">
      <c r="E107" t="s">
        <v>220</v>
      </c>
      <c r="F107" s="122" t="s">
        <v>281</v>
      </c>
    </row>
    <row r="108" spans="2:6" s="165" customFormat="1">
      <c r="B108"/>
      <c r="E108" t="s">
        <v>443</v>
      </c>
      <c r="F108" s="122" t="s">
        <v>282</v>
      </c>
    </row>
    <row r="109" spans="2:6">
      <c r="B109" s="165"/>
      <c r="E109" t="s">
        <v>444</v>
      </c>
      <c r="F109" s="122" t="s">
        <v>283</v>
      </c>
    </row>
    <row r="110" spans="2:6" s="165" customFormat="1">
      <c r="E110" t="s">
        <v>222</v>
      </c>
      <c r="F110" s="122" t="s">
        <v>284</v>
      </c>
    </row>
    <row r="111" spans="2:6">
      <c r="E111" s="165" t="s">
        <v>349</v>
      </c>
      <c r="F111" s="165" t="s">
        <v>353</v>
      </c>
    </row>
    <row r="112" spans="2:6" s="165" customFormat="1">
      <c r="E112" t="s">
        <v>223</v>
      </c>
      <c r="F112" s="122" t="s">
        <v>285</v>
      </c>
    </row>
    <row r="113" spans="5:6">
      <c r="E113" s="165" t="s">
        <v>350</v>
      </c>
      <c r="F113" s="165" t="s">
        <v>352</v>
      </c>
    </row>
    <row r="114" spans="5:6" s="165" customFormat="1">
      <c r="E114" t="s">
        <v>224</v>
      </c>
      <c r="F114" s="122" t="s">
        <v>286</v>
      </c>
    </row>
    <row r="115" spans="5:6">
      <c r="E115" s="165" t="s">
        <v>351</v>
      </c>
      <c r="F115" s="165" t="s">
        <v>354</v>
      </c>
    </row>
    <row r="116" spans="5:6" s="165" customFormat="1">
      <c r="E116" t="s">
        <v>225</v>
      </c>
      <c r="F116" s="122" t="s">
        <v>287</v>
      </c>
    </row>
    <row r="117" spans="5:6">
      <c r="E117" s="165" t="s">
        <v>355</v>
      </c>
      <c r="F117" s="165" t="s">
        <v>356</v>
      </c>
    </row>
    <row r="118" spans="5:6">
      <c r="E118" t="s">
        <v>415</v>
      </c>
      <c r="F118" s="122" t="s">
        <v>288</v>
      </c>
    </row>
    <row r="119" spans="5:6">
      <c r="E119" s="165" t="s">
        <v>416</v>
      </c>
      <c r="F119" s="165" t="s">
        <v>357</v>
      </c>
    </row>
    <row r="120" spans="5:6">
      <c r="E120" t="s">
        <v>417</v>
      </c>
      <c r="F120" s="122" t="s">
        <v>289</v>
      </c>
    </row>
    <row r="121" spans="5:6">
      <c r="E121" s="165" t="s">
        <v>418</v>
      </c>
      <c r="F121" s="165" t="s">
        <v>358</v>
      </c>
    </row>
    <row r="122" spans="5:6">
      <c r="E122" t="s">
        <v>228</v>
      </c>
      <c r="F122" s="122" t="s">
        <v>290</v>
      </c>
    </row>
    <row r="123" spans="5:6">
      <c r="E123" t="s">
        <v>229</v>
      </c>
      <c r="F123" s="122" t="s">
        <v>291</v>
      </c>
    </row>
    <row r="124" spans="5:6" s="165" customFormat="1">
      <c r="E124" t="s">
        <v>241</v>
      </c>
      <c r="F124" s="165" t="s">
        <v>388</v>
      </c>
    </row>
    <row r="125" spans="5:6" s="122" customFormat="1">
      <c r="E125" t="s">
        <v>230</v>
      </c>
      <c r="F125" s="122" t="s">
        <v>292</v>
      </c>
    </row>
    <row r="126" spans="5:6" s="165" customFormat="1">
      <c r="E126" s="165" t="s">
        <v>242</v>
      </c>
      <c r="F126" s="165" t="s">
        <v>297</v>
      </c>
    </row>
    <row r="127" spans="5:6">
      <c r="E127" t="s">
        <v>231</v>
      </c>
      <c r="F127" s="122" t="s">
        <v>298</v>
      </c>
    </row>
    <row r="128" spans="5:6" s="165" customFormat="1">
      <c r="E128" t="s">
        <v>408</v>
      </c>
      <c r="F128" s="165" t="s">
        <v>299</v>
      </c>
    </row>
    <row r="129" spans="2:8">
      <c r="E129" t="s">
        <v>232</v>
      </c>
      <c r="F129" s="122" t="s">
        <v>293</v>
      </c>
    </row>
    <row r="130" spans="2:8">
      <c r="E130" t="s">
        <v>233</v>
      </c>
      <c r="F130" s="122" t="s">
        <v>294</v>
      </c>
    </row>
    <row r="131" spans="2:8">
      <c r="E131" t="s">
        <v>240</v>
      </c>
      <c r="F131" s="122" t="s">
        <v>295</v>
      </c>
    </row>
    <row r="132" spans="2:8">
      <c r="B132" t="s">
        <v>409</v>
      </c>
      <c r="E132" s="122" t="s">
        <v>410</v>
      </c>
      <c r="F132" s="122" t="s">
        <v>296</v>
      </c>
    </row>
    <row r="133" spans="2:8">
      <c r="E133" t="s">
        <v>242</v>
      </c>
      <c r="F133" s="122" t="s">
        <v>297</v>
      </c>
    </row>
    <row r="134" spans="2:8">
      <c r="E134" t="s">
        <v>243</v>
      </c>
      <c r="F134" s="122" t="s">
        <v>299</v>
      </c>
    </row>
    <row r="135" spans="2:8">
      <c r="E135" t="s">
        <v>244</v>
      </c>
      <c r="F135" s="122" t="s">
        <v>300</v>
      </c>
    </row>
    <row r="136" spans="2:8">
      <c r="E136" t="s">
        <v>245</v>
      </c>
      <c r="F136" s="122" t="s">
        <v>301</v>
      </c>
    </row>
    <row r="137" spans="2:8">
      <c r="G137" s="81" t="s">
        <v>131</v>
      </c>
    </row>
    <row r="138" spans="2:8">
      <c r="G138">
        <v>0</v>
      </c>
      <c r="H138" t="s">
        <v>190</v>
      </c>
    </row>
    <row r="139" spans="2:8">
      <c r="G139" s="82">
        <f>5/60</f>
        <v>8.3333333333333329E-2</v>
      </c>
      <c r="H139" t="s">
        <v>180</v>
      </c>
    </row>
    <row r="140" spans="2:8">
      <c r="G140" s="82">
        <f>15/60</f>
        <v>0.25</v>
      </c>
      <c r="H140" t="s">
        <v>132</v>
      </c>
    </row>
    <row r="141" spans="2:8">
      <c r="G141" s="82">
        <f>20/60</f>
        <v>0.33333333333333331</v>
      </c>
      <c r="H141" t="s">
        <v>133</v>
      </c>
    </row>
    <row r="142" spans="2:8">
      <c r="G142" s="82">
        <f>24/60</f>
        <v>0.4</v>
      </c>
      <c r="H142" t="s">
        <v>165</v>
      </c>
    </row>
    <row r="143" spans="2:8">
      <c r="G143" s="82">
        <f>25/60</f>
        <v>0.41666666666666669</v>
      </c>
      <c r="H143" t="s">
        <v>134</v>
      </c>
    </row>
    <row r="144" spans="2:8" s="122" customFormat="1">
      <c r="G144" s="82">
        <f>26/60</f>
        <v>0.43333333333333335</v>
      </c>
      <c r="H144" t="s">
        <v>171</v>
      </c>
    </row>
    <row r="145" spans="7:8">
      <c r="G145" s="82">
        <f>27/60</f>
        <v>0.45</v>
      </c>
      <c r="H145" t="s">
        <v>172</v>
      </c>
    </row>
    <row r="146" spans="7:8">
      <c r="G146" s="82">
        <f>28/60</f>
        <v>0.46666666666666667</v>
      </c>
      <c r="H146" t="s">
        <v>169</v>
      </c>
    </row>
    <row r="147" spans="7:8">
      <c r="G147" s="82">
        <f>30/60</f>
        <v>0.5</v>
      </c>
      <c r="H147" t="s">
        <v>135</v>
      </c>
    </row>
    <row r="148" spans="7:8">
      <c r="G148" s="82">
        <f>31/60</f>
        <v>0.51666666666666672</v>
      </c>
      <c r="H148" t="s">
        <v>173</v>
      </c>
    </row>
    <row r="149" spans="7:8">
      <c r="G149" s="82">
        <f>35/60</f>
        <v>0.58333333333333337</v>
      </c>
      <c r="H149" t="s">
        <v>136</v>
      </c>
    </row>
    <row r="150" spans="7:8">
      <c r="G150" s="82">
        <f>40/60</f>
        <v>0.66666666666666663</v>
      </c>
      <c r="H150" t="s">
        <v>144</v>
      </c>
    </row>
    <row r="151" spans="7:8">
      <c r="G151" s="82">
        <f>42/60</f>
        <v>0.7</v>
      </c>
      <c r="H151" t="s">
        <v>170</v>
      </c>
    </row>
    <row r="152" spans="7:8">
      <c r="G152" s="82">
        <f>43/60</f>
        <v>0.71666666666666667</v>
      </c>
      <c r="H152" s="80" t="s">
        <v>177</v>
      </c>
    </row>
    <row r="153" spans="7:8">
      <c r="G153" s="82">
        <f>45/60</f>
        <v>0.75</v>
      </c>
      <c r="H153" s="80" t="s">
        <v>137</v>
      </c>
    </row>
    <row r="154" spans="7:8">
      <c r="G154" s="82">
        <f>53/60</f>
        <v>0.8833333333333333</v>
      </c>
      <c r="H154" t="s">
        <v>166</v>
      </c>
    </row>
    <row r="155" spans="7:8">
      <c r="G155" s="82">
        <f>60/60</f>
        <v>1</v>
      </c>
      <c r="H155" s="80" t="s">
        <v>163</v>
      </c>
    </row>
    <row r="156" spans="7:8">
      <c r="G156" s="82">
        <f>66/60</f>
        <v>1.1000000000000001</v>
      </c>
      <c r="H156" s="80" t="s">
        <v>174</v>
      </c>
    </row>
    <row r="157" spans="7:8">
      <c r="G157" s="82">
        <f>69/60</f>
        <v>1.1499999999999999</v>
      </c>
      <c r="H157" s="80" t="s">
        <v>175</v>
      </c>
    </row>
    <row r="158" spans="7:8">
      <c r="G158" s="82">
        <f>120/60</f>
        <v>2</v>
      </c>
      <c r="H158" s="80" t="s">
        <v>191</v>
      </c>
    </row>
    <row r="159" spans="7:8">
      <c r="G159" s="82">
        <f>123/60</f>
        <v>2.0499999999999998</v>
      </c>
      <c r="H159" s="80" t="s">
        <v>167</v>
      </c>
    </row>
    <row r="160" spans="7:8">
      <c r="G160" s="82">
        <f>130/60</f>
        <v>2.1666666666666665</v>
      </c>
      <c r="H160" s="80" t="s">
        <v>168</v>
      </c>
    </row>
    <row r="161" spans="7:13">
      <c r="G161" s="82">
        <f>136/60</f>
        <v>2.2666666666666666</v>
      </c>
      <c r="H161" s="80" t="s">
        <v>178</v>
      </c>
    </row>
    <row r="162" spans="7:13">
      <c r="G162" s="82">
        <f>150/60</f>
        <v>2.5</v>
      </c>
      <c r="H162" s="122" t="s">
        <v>215</v>
      </c>
    </row>
    <row r="163" spans="7:13">
      <c r="G163" s="82">
        <f>180/60</f>
        <v>3</v>
      </c>
      <c r="H163" s="80" t="s">
        <v>192</v>
      </c>
    </row>
    <row r="164" spans="7:13">
      <c r="G164" s="82">
        <f>270/60</f>
        <v>4.5</v>
      </c>
      <c r="H164" s="80" t="s">
        <v>164</v>
      </c>
    </row>
    <row r="165" spans="7:13">
      <c r="G165">
        <f>90/60</f>
        <v>1.5</v>
      </c>
      <c r="H165" t="s">
        <v>380</v>
      </c>
    </row>
    <row r="166" spans="7:13">
      <c r="J166" s="81" t="s">
        <v>138</v>
      </c>
    </row>
    <row r="167" spans="7:13">
      <c r="J167" t="s">
        <v>47</v>
      </c>
    </row>
    <row r="168" spans="7:13">
      <c r="J168" t="s">
        <v>113</v>
      </c>
    </row>
    <row r="169" spans="7:13">
      <c r="K169" s="81" t="s">
        <v>202</v>
      </c>
    </row>
    <row r="170" spans="7:13">
      <c r="K170" t="s">
        <v>139</v>
      </c>
    </row>
    <row r="171" spans="7:13">
      <c r="K171" t="s">
        <v>140</v>
      </c>
    </row>
    <row r="172" spans="7:13">
      <c r="L172" s="81" t="s">
        <v>141</v>
      </c>
    </row>
    <row r="173" spans="7:13">
      <c r="L173" t="s">
        <v>49</v>
      </c>
    </row>
    <row r="174" spans="7:13">
      <c r="L174" t="s">
        <v>142</v>
      </c>
    </row>
    <row r="175" spans="7:13">
      <c r="L175" t="s">
        <v>143</v>
      </c>
    </row>
    <row r="176" spans="7:13">
      <c r="M176" s="81" t="s">
        <v>186</v>
      </c>
    </row>
    <row r="177" spans="13:14">
      <c r="M177" t="s">
        <v>49</v>
      </c>
    </row>
    <row r="178" spans="13:14">
      <c r="M178" t="s">
        <v>142</v>
      </c>
    </row>
    <row r="179" spans="13:14">
      <c r="N179" s="81" t="s">
        <v>36</v>
      </c>
    </row>
    <row r="180" spans="13:14">
      <c r="N180" s="7" t="s">
        <v>107</v>
      </c>
    </row>
    <row r="181" spans="13:14">
      <c r="N181" t="s">
        <v>16</v>
      </c>
    </row>
    <row r="182" spans="13:14">
      <c r="N182" t="s">
        <v>12</v>
      </c>
    </row>
    <row r="183" spans="13:14">
      <c r="N183" t="s">
        <v>17</v>
      </c>
    </row>
    <row r="184" spans="13:14">
      <c r="N184" t="s">
        <v>18</v>
      </c>
    </row>
    <row r="185" spans="13:14">
      <c r="N185" t="s">
        <v>19</v>
      </c>
    </row>
    <row r="186" spans="13:14">
      <c r="N186" t="s">
        <v>20</v>
      </c>
    </row>
    <row r="187" spans="13:14">
      <c r="N187" t="s">
        <v>21</v>
      </c>
    </row>
    <row r="188" spans="13:14">
      <c r="N188" t="s">
        <v>22</v>
      </c>
    </row>
    <row r="189" spans="13:14">
      <c r="N189" t="s">
        <v>23</v>
      </c>
    </row>
    <row r="190" spans="13:14">
      <c r="N190" t="s">
        <v>32</v>
      </c>
    </row>
    <row r="191" spans="13:14">
      <c r="N191" t="s">
        <v>33</v>
      </c>
    </row>
  </sheetData>
  <sortState ref="G71:H95">
    <sortCondition ref="G7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54"/>
  <sheetViews>
    <sheetView zoomScale="80" zoomScaleNormal="80" workbookViewId="0"/>
  </sheetViews>
  <sheetFormatPr defaultColWidth="8.85546875" defaultRowHeight="15"/>
  <cols>
    <col min="1" max="1" width="16.28515625" customWidth="1"/>
    <col min="2" max="2" width="19.7109375" customWidth="1"/>
    <col min="3" max="3" width="12.42578125" style="80" customWidth="1"/>
    <col min="4" max="4" width="10.42578125" style="53" customWidth="1"/>
    <col min="5" max="6" width="9.28515625" customWidth="1"/>
    <col min="7" max="7" width="10.42578125" customWidth="1"/>
    <col min="8" max="8" width="10.7109375" customWidth="1"/>
    <col min="9" max="9" width="10" customWidth="1"/>
    <col min="10" max="10" width="13.140625" style="122" customWidth="1"/>
    <col min="11" max="11" width="5.140625" style="165" customWidth="1"/>
    <col min="12" max="12" width="61.42578125" customWidth="1"/>
    <col min="13" max="13" width="10" customWidth="1"/>
    <col min="14" max="14" width="14.140625" customWidth="1"/>
  </cols>
  <sheetData>
    <row r="1" spans="1:22">
      <c r="A1" s="5" t="s">
        <v>1463</v>
      </c>
      <c r="E1" s="19"/>
    </row>
    <row r="2" spans="1:22">
      <c r="E2" s="381" t="s">
        <v>101</v>
      </c>
      <c r="F2" s="381"/>
      <c r="G2" s="381"/>
      <c r="H2" s="381"/>
      <c r="I2" s="381"/>
      <c r="J2" s="124"/>
      <c r="K2" s="124"/>
    </row>
    <row r="3" spans="1:22" s="3" customFormat="1">
      <c r="A3" s="4"/>
      <c r="B3" s="6"/>
      <c r="C3" s="178" t="s">
        <v>458</v>
      </c>
      <c r="D3" s="178" t="s">
        <v>578</v>
      </c>
      <c r="E3" s="133" t="s">
        <v>14</v>
      </c>
      <c r="F3" s="179" t="s">
        <v>14</v>
      </c>
      <c r="G3" s="179" t="s">
        <v>14</v>
      </c>
      <c r="H3" s="179" t="s">
        <v>14</v>
      </c>
      <c r="I3" s="180" t="s">
        <v>14</v>
      </c>
      <c r="J3" s="126"/>
      <c r="K3" s="126"/>
    </row>
    <row r="4" spans="1:22" s="3" customFormat="1">
      <c r="A4" s="4"/>
      <c r="B4" s="37" t="s">
        <v>24</v>
      </c>
      <c r="C4" s="73" t="s">
        <v>81</v>
      </c>
      <c r="D4" s="73" t="s">
        <v>1</v>
      </c>
      <c r="E4" s="30" t="s">
        <v>2</v>
      </c>
      <c r="F4" s="31" t="s">
        <v>3</v>
      </c>
      <c r="G4" s="30" t="s">
        <v>4</v>
      </c>
      <c r="H4" s="30" t="s">
        <v>5</v>
      </c>
      <c r="I4" s="43" t="s">
        <v>6</v>
      </c>
      <c r="J4" s="126"/>
      <c r="K4" s="126"/>
      <c r="L4" s="133" t="s">
        <v>84</v>
      </c>
    </row>
    <row r="5" spans="1:22" s="3" customFormat="1" ht="15.75">
      <c r="A5" s="4"/>
      <c r="B5" s="33" t="s">
        <v>1323</v>
      </c>
      <c r="C5" s="283">
        <v>1.9099999999999999E-2</v>
      </c>
      <c r="D5" s="284">
        <v>1.7841213202497899E-2</v>
      </c>
      <c r="E5" s="285">
        <v>2.3699999999999999E-2</v>
      </c>
      <c r="F5" s="316">
        <f>E5</f>
        <v>2.3699999999999999E-2</v>
      </c>
      <c r="G5" s="316">
        <f>F5</f>
        <v>2.3699999999999999E-2</v>
      </c>
      <c r="H5" s="316">
        <f>G5</f>
        <v>2.3699999999999999E-2</v>
      </c>
      <c r="I5" s="316">
        <f>H5</f>
        <v>2.3699999999999999E-2</v>
      </c>
      <c r="J5" s="125"/>
      <c r="K5" s="125"/>
      <c r="L5" s="3" t="s">
        <v>1324</v>
      </c>
      <c r="N5" s="322" t="s">
        <v>1440</v>
      </c>
      <c r="O5" s="322" t="s">
        <v>1</v>
      </c>
      <c r="P5" s="322" t="s">
        <v>2</v>
      </c>
      <c r="Q5" s="322" t="s">
        <v>3</v>
      </c>
      <c r="R5" s="322" t="s">
        <v>4</v>
      </c>
      <c r="S5" s="322" t="s">
        <v>5</v>
      </c>
      <c r="T5" s="322" t="s">
        <v>6</v>
      </c>
      <c r="U5" s="323"/>
      <c r="V5" s="323"/>
    </row>
    <row r="6" spans="1:22" s="3" customFormat="1" ht="15.75">
      <c r="A6" s="4"/>
      <c r="B6" s="6"/>
      <c r="C6" s="18"/>
      <c r="D6" s="18"/>
      <c r="E6" s="2"/>
      <c r="F6" s="2"/>
      <c r="G6" s="2"/>
      <c r="H6" s="2"/>
      <c r="I6" s="9"/>
      <c r="J6" s="127"/>
      <c r="K6" s="127"/>
      <c r="N6" s="324"/>
      <c r="O6" s="325"/>
      <c r="P6" s="325"/>
      <c r="Q6" s="325"/>
      <c r="R6" s="325"/>
      <c r="S6" s="325"/>
      <c r="T6" s="325"/>
      <c r="U6" s="323"/>
      <c r="V6" s="323"/>
    </row>
    <row r="7" spans="1:22" s="3" customFormat="1" ht="15.75">
      <c r="A7" s="37" t="s">
        <v>31</v>
      </c>
      <c r="B7" s="37" t="s">
        <v>15</v>
      </c>
      <c r="C7" s="75" t="s">
        <v>81</v>
      </c>
      <c r="D7" s="75" t="s">
        <v>1</v>
      </c>
      <c r="E7" s="44" t="s">
        <v>2</v>
      </c>
      <c r="F7" s="45" t="s">
        <v>3</v>
      </c>
      <c r="G7" s="45" t="s">
        <v>4</v>
      </c>
      <c r="H7" s="45" t="s">
        <v>5</v>
      </c>
      <c r="I7" s="46" t="s">
        <v>6</v>
      </c>
      <c r="J7" s="126"/>
      <c r="K7" s="126"/>
      <c r="L7" s="133" t="s">
        <v>84</v>
      </c>
      <c r="N7" s="324"/>
      <c r="O7" s="323"/>
      <c r="P7" s="325"/>
      <c r="Q7" s="325"/>
      <c r="R7" s="325"/>
      <c r="S7" s="325"/>
      <c r="T7" s="325"/>
      <c r="U7"/>
      <c r="V7"/>
    </row>
    <row r="8" spans="1:22" s="3" customFormat="1">
      <c r="A8" s="47" t="s">
        <v>10</v>
      </c>
      <c r="B8" s="42" t="s">
        <v>29</v>
      </c>
      <c r="C8" s="137"/>
      <c r="D8" s="137">
        <f t="shared" ref="D8:I8" si="0">D12*-1</f>
        <v>-9.1000000000000004E-3</v>
      </c>
      <c r="E8" s="137">
        <f t="shared" si="0"/>
        <v>-6.8491222314366849E-3</v>
      </c>
      <c r="F8" s="137">
        <f t="shared" si="0"/>
        <v>-8.6425611965758563E-3</v>
      </c>
      <c r="G8" s="137">
        <f t="shared" si="0"/>
        <v>-9.1219124004980282E-3</v>
      </c>
      <c r="H8" s="137">
        <f t="shared" si="0"/>
        <v>-9.3851484987669768E-3</v>
      </c>
      <c r="I8" s="137">
        <f t="shared" si="0"/>
        <v>-6.99202884332056E-3</v>
      </c>
      <c r="J8" s="128"/>
      <c r="K8" s="128"/>
      <c r="L8" s="3" t="s">
        <v>1461</v>
      </c>
    </row>
    <row r="9" spans="1:22" s="3" customFormat="1">
      <c r="A9" s="42" t="s">
        <v>11</v>
      </c>
      <c r="B9" s="42" t="s">
        <v>85</v>
      </c>
      <c r="C9" s="137"/>
      <c r="D9" s="137">
        <f t="shared" ref="D9:I9" si="1">D15*-1</f>
        <v>-9.1000000000000004E-3</v>
      </c>
      <c r="E9" s="137">
        <f t="shared" si="1"/>
        <v>-6.8491222314366849E-3</v>
      </c>
      <c r="F9" s="137">
        <f t="shared" si="1"/>
        <v>-8.6425611965758563E-3</v>
      </c>
      <c r="G9" s="137">
        <f t="shared" si="1"/>
        <v>-9.1219124004980282E-3</v>
      </c>
      <c r="H9" s="137">
        <f t="shared" si="1"/>
        <v>-9.3851484987669768E-3</v>
      </c>
      <c r="I9" s="137">
        <f t="shared" si="1"/>
        <v>-6.99202884332056E-3</v>
      </c>
      <c r="J9" s="125"/>
      <c r="K9" s="125"/>
      <c r="L9" s="269" t="s">
        <v>1442</v>
      </c>
    </row>
    <row r="10" spans="1:22" s="3" customFormat="1">
      <c r="A10" s="4"/>
      <c r="B10" s="6"/>
      <c r="C10" s="6"/>
      <c r="D10" s="6"/>
      <c r="E10" s="4"/>
      <c r="F10" s="1"/>
      <c r="G10" s="4"/>
      <c r="H10" s="4"/>
      <c r="J10" s="129"/>
      <c r="K10" s="129"/>
    </row>
    <row r="11" spans="1:22" s="3" customFormat="1">
      <c r="A11" s="37" t="s">
        <v>31</v>
      </c>
      <c r="B11" s="38" t="s">
        <v>25</v>
      </c>
      <c r="C11" s="76" t="s">
        <v>81</v>
      </c>
      <c r="D11" s="76" t="s">
        <v>1</v>
      </c>
      <c r="E11" s="40" t="s">
        <v>2</v>
      </c>
      <c r="F11" s="39" t="s">
        <v>3</v>
      </c>
      <c r="G11" s="40" t="s">
        <v>4</v>
      </c>
      <c r="H11" s="40" t="s">
        <v>5</v>
      </c>
      <c r="I11" s="41" t="s">
        <v>6</v>
      </c>
      <c r="J11" s="126"/>
      <c r="K11" s="126"/>
      <c r="L11" s="279"/>
    </row>
    <row r="12" spans="1:22" s="3" customFormat="1">
      <c r="A12" s="17" t="s">
        <v>10</v>
      </c>
      <c r="B12" s="32" t="s">
        <v>26</v>
      </c>
      <c r="C12" s="286">
        <v>7.6E-3</v>
      </c>
      <c r="D12" s="286">
        <v>9.1000000000000004E-3</v>
      </c>
      <c r="E12" s="286">
        <v>6.8491222314366849E-3</v>
      </c>
      <c r="F12" s="286">
        <v>8.6425611965758563E-3</v>
      </c>
      <c r="G12" s="286">
        <v>9.1219124004980282E-3</v>
      </c>
      <c r="H12" s="286">
        <v>9.3851484987669768E-3</v>
      </c>
      <c r="I12" s="286">
        <v>6.99202884332056E-3</v>
      </c>
      <c r="J12" s="128"/>
      <c r="K12" s="128"/>
      <c r="L12" s="269" t="s">
        <v>1462</v>
      </c>
      <c r="M12" s="326"/>
    </row>
    <row r="13" spans="1:22" s="3" customFormat="1">
      <c r="A13" s="17"/>
      <c r="B13" s="17" t="s">
        <v>27</v>
      </c>
      <c r="C13" s="287">
        <v>7.6E-3</v>
      </c>
      <c r="D13" s="287">
        <v>9.1000000000000004E-3</v>
      </c>
      <c r="E13" s="287">
        <v>6.8491222314366849E-3</v>
      </c>
      <c r="F13" s="287">
        <v>8.6425611965758563E-3</v>
      </c>
      <c r="G13" s="287">
        <v>9.1219124004980282E-3</v>
      </c>
      <c r="H13" s="287">
        <v>9.3851484987669768E-3</v>
      </c>
      <c r="I13" s="287">
        <v>6.99202884332056E-3</v>
      </c>
      <c r="J13" s="125"/>
      <c r="K13" s="125"/>
      <c r="L13" s="269" t="s">
        <v>1462</v>
      </c>
    </row>
    <row r="14" spans="1:22" s="3" customFormat="1">
      <c r="A14" s="33"/>
      <c r="B14" s="33" t="s">
        <v>28</v>
      </c>
      <c r="C14" s="12">
        <f>C$5</f>
        <v>1.9099999999999999E-2</v>
      </c>
      <c r="D14" s="12">
        <f t="shared" ref="D14:I14" si="2">D$5</f>
        <v>1.7841213202497899E-2</v>
      </c>
      <c r="E14" s="12">
        <f t="shared" si="2"/>
        <v>2.3699999999999999E-2</v>
      </c>
      <c r="F14" s="12">
        <f t="shared" si="2"/>
        <v>2.3699999999999999E-2</v>
      </c>
      <c r="G14" s="12">
        <f t="shared" si="2"/>
        <v>2.3699999999999999E-2</v>
      </c>
      <c r="H14" s="12">
        <f t="shared" si="2"/>
        <v>2.3699999999999999E-2</v>
      </c>
      <c r="I14" s="12">
        <f t="shared" si="2"/>
        <v>2.3699999999999999E-2</v>
      </c>
      <c r="J14" s="125"/>
      <c r="K14" s="125"/>
      <c r="L14" s="269" t="s">
        <v>459</v>
      </c>
    </row>
    <row r="15" spans="1:22" s="3" customFormat="1">
      <c r="A15" s="17" t="s">
        <v>11</v>
      </c>
      <c r="B15" s="17" t="s">
        <v>26</v>
      </c>
      <c r="C15" s="286">
        <v>7.6E-3</v>
      </c>
      <c r="D15" s="286">
        <v>9.1000000000000004E-3</v>
      </c>
      <c r="E15" s="286">
        <v>6.8491222314366849E-3</v>
      </c>
      <c r="F15" s="286">
        <v>8.6425611965758563E-3</v>
      </c>
      <c r="G15" s="286">
        <v>9.1219124004980282E-3</v>
      </c>
      <c r="H15" s="286">
        <v>9.3851484987669768E-3</v>
      </c>
      <c r="I15" s="286">
        <v>6.99202884332056E-3</v>
      </c>
      <c r="J15" s="128"/>
      <c r="K15" s="128"/>
      <c r="L15" s="269" t="s">
        <v>1462</v>
      </c>
      <c r="M15" s="16"/>
      <c r="N15" s="16"/>
    </row>
    <row r="16" spans="1:22" s="3" customFormat="1">
      <c r="A16" s="17"/>
      <c r="B16" s="17" t="s">
        <v>27</v>
      </c>
      <c r="C16" s="287">
        <v>7.6E-3</v>
      </c>
      <c r="D16" s="287">
        <v>9.1000000000000004E-3</v>
      </c>
      <c r="E16" s="287">
        <v>6.8491222314366849E-3</v>
      </c>
      <c r="F16" s="287">
        <v>8.6425611965758563E-3</v>
      </c>
      <c r="G16" s="287">
        <v>9.1219124004980282E-3</v>
      </c>
      <c r="H16" s="287">
        <v>9.3851484987669768E-3</v>
      </c>
      <c r="I16" s="287">
        <v>6.99202884332056E-3</v>
      </c>
      <c r="J16" s="125"/>
      <c r="K16" s="125"/>
      <c r="L16" s="269" t="s">
        <v>1462</v>
      </c>
    </row>
    <row r="17" spans="1:15" s="3" customFormat="1">
      <c r="A17" s="33"/>
      <c r="B17" s="33" t="s">
        <v>28</v>
      </c>
      <c r="C17" s="12">
        <f>C$5</f>
        <v>1.9099999999999999E-2</v>
      </c>
      <c r="D17" s="12">
        <f t="shared" ref="D17:I17" si="3">D$5</f>
        <v>1.7841213202497899E-2</v>
      </c>
      <c r="E17" s="12">
        <f t="shared" si="3"/>
        <v>2.3699999999999999E-2</v>
      </c>
      <c r="F17" s="12">
        <f t="shared" si="3"/>
        <v>2.3699999999999999E-2</v>
      </c>
      <c r="G17" s="12">
        <f t="shared" si="3"/>
        <v>2.3699999999999999E-2</v>
      </c>
      <c r="H17" s="12">
        <f t="shared" si="3"/>
        <v>2.3699999999999999E-2</v>
      </c>
      <c r="I17" s="12">
        <f t="shared" si="3"/>
        <v>2.3699999999999999E-2</v>
      </c>
      <c r="J17" s="125"/>
      <c r="K17" s="125"/>
      <c r="L17" s="269" t="s">
        <v>459</v>
      </c>
    </row>
    <row r="18" spans="1:15" s="80" customFormat="1">
      <c r="A18" s="18"/>
      <c r="B18" s="18"/>
      <c r="C18" s="18"/>
      <c r="D18" s="18"/>
      <c r="E18" s="1"/>
      <c r="F18" s="1"/>
      <c r="G18" s="1"/>
      <c r="H18" s="1"/>
      <c r="I18" s="1"/>
      <c r="J18" s="128"/>
      <c r="K18" s="128"/>
      <c r="L18" s="269"/>
    </row>
    <row r="19" spans="1:15" s="53" customFormat="1">
      <c r="A19" s="38" t="s">
        <v>31</v>
      </c>
      <c r="B19" s="38" t="s">
        <v>100</v>
      </c>
      <c r="C19" s="77" t="s">
        <v>81</v>
      </c>
      <c r="D19" s="76" t="s">
        <v>1</v>
      </c>
      <c r="E19" s="40" t="s">
        <v>2</v>
      </c>
      <c r="F19" s="39" t="s">
        <v>3</v>
      </c>
      <c r="G19" s="40" t="s">
        <v>4</v>
      </c>
      <c r="H19" s="40" t="s">
        <v>5</v>
      </c>
      <c r="I19" s="41" t="s">
        <v>6</v>
      </c>
      <c r="J19" s="126"/>
      <c r="K19" s="126"/>
      <c r="L19" s="269"/>
    </row>
    <row r="20" spans="1:15" s="53" customFormat="1">
      <c r="A20" s="10" t="s">
        <v>10</v>
      </c>
      <c r="B20" s="13" t="s">
        <v>26</v>
      </c>
      <c r="C20" s="288">
        <v>0.41699999999999998</v>
      </c>
      <c r="D20" s="289">
        <v>0.41699999999999998</v>
      </c>
      <c r="E20" s="289">
        <v>0.41699999999999998</v>
      </c>
      <c r="F20" s="289">
        <v>0.41699999999999998</v>
      </c>
      <c r="G20" s="289">
        <v>0.41699999999999998</v>
      </c>
      <c r="H20" s="289">
        <v>0.41699999999999998</v>
      </c>
      <c r="I20" s="290">
        <v>0.41699999999999998</v>
      </c>
      <c r="J20" s="98"/>
      <c r="K20" s="98"/>
      <c r="L20" s="328"/>
    </row>
    <row r="21" spans="1:15" s="53" customFormat="1">
      <c r="A21" s="78"/>
      <c r="B21" s="42" t="s">
        <v>102</v>
      </c>
      <c r="C21" s="291">
        <v>3.4500000000000003E-2</v>
      </c>
      <c r="D21" s="292">
        <v>3.4500000000000003E-2</v>
      </c>
      <c r="E21" s="292">
        <v>3.4500000000000003E-2</v>
      </c>
      <c r="F21" s="292">
        <v>3.4500000000000003E-2</v>
      </c>
      <c r="G21" s="292">
        <v>3.4500000000000003E-2</v>
      </c>
      <c r="H21" s="292">
        <v>3.4500000000000003E-2</v>
      </c>
      <c r="I21" s="293">
        <v>3.4500000000000003E-2</v>
      </c>
      <c r="J21" s="98"/>
      <c r="K21" s="98"/>
      <c r="L21" s="327"/>
    </row>
    <row r="22" spans="1:15" s="53" customFormat="1">
      <c r="A22" s="10" t="s">
        <v>11</v>
      </c>
      <c r="B22" s="99" t="s">
        <v>26</v>
      </c>
      <c r="C22" s="294">
        <v>0.435</v>
      </c>
      <c r="D22" s="295">
        <v>0.435</v>
      </c>
      <c r="E22" s="295">
        <v>0.435</v>
      </c>
      <c r="F22" s="295">
        <v>0.435</v>
      </c>
      <c r="G22" s="295">
        <v>0.435</v>
      </c>
      <c r="H22" s="295">
        <v>0.435</v>
      </c>
      <c r="I22" s="296">
        <v>0.435</v>
      </c>
      <c r="J22" s="98"/>
      <c r="K22" s="98"/>
      <c r="L22" s="279"/>
    </row>
    <row r="23" spans="1:15" s="53" customFormat="1">
      <c r="A23" s="78"/>
      <c r="B23" s="74" t="s">
        <v>102</v>
      </c>
      <c r="C23" s="297">
        <v>5.6000000000000001E-2</v>
      </c>
      <c r="D23" s="298">
        <v>5.6000000000000001E-2</v>
      </c>
      <c r="E23" s="298">
        <v>5.6000000000000001E-2</v>
      </c>
      <c r="F23" s="298">
        <v>5.6000000000000001E-2</v>
      </c>
      <c r="G23" s="298">
        <v>5.6000000000000001E-2</v>
      </c>
      <c r="H23" s="298">
        <v>5.6000000000000001E-2</v>
      </c>
      <c r="I23" s="299">
        <v>5.6000000000000001E-2</v>
      </c>
      <c r="J23" s="130"/>
      <c r="K23" s="130"/>
      <c r="L23" s="279"/>
    </row>
    <row r="24" spans="1:15" s="3" customFormat="1">
      <c r="A24" s="4"/>
      <c r="B24" s="4"/>
      <c r="C24" s="18"/>
      <c r="D24" s="18"/>
      <c r="E24" s="4"/>
      <c r="F24" s="1"/>
      <c r="G24" s="4"/>
      <c r="H24" s="4"/>
      <c r="J24" s="122"/>
      <c r="K24" s="165"/>
      <c r="L24" s="279"/>
    </row>
    <row r="25" spans="1:15" ht="60">
      <c r="A25" s="37" t="s">
        <v>31</v>
      </c>
      <c r="B25" s="37" t="s">
        <v>97</v>
      </c>
      <c r="C25" s="75" t="s">
        <v>81</v>
      </c>
      <c r="D25" s="75" t="s">
        <v>1</v>
      </c>
      <c r="E25" s="45" t="s">
        <v>2</v>
      </c>
      <c r="F25" s="44" t="s">
        <v>3</v>
      </c>
      <c r="G25" s="45" t="s">
        <v>4</v>
      </c>
      <c r="H25" s="45" t="s">
        <v>5</v>
      </c>
      <c r="I25" s="46" t="s">
        <v>6</v>
      </c>
      <c r="J25" s="132" t="s">
        <v>251</v>
      </c>
      <c r="L25" s="279"/>
    </row>
    <row r="26" spans="1:15">
      <c r="A26" s="17" t="s">
        <v>10</v>
      </c>
      <c r="B26" s="17" t="s">
        <v>99</v>
      </c>
      <c r="C26" s="300">
        <v>0.49045921860000002</v>
      </c>
      <c r="D26" s="300">
        <v>0.47613405419999999</v>
      </c>
      <c r="E26" s="301">
        <v>0.47975055560000002</v>
      </c>
      <c r="F26" s="301">
        <v>0.49128493350000002</v>
      </c>
      <c r="G26" s="301">
        <v>0.47988521880000001</v>
      </c>
      <c r="H26" s="301">
        <v>0.475049534</v>
      </c>
      <c r="I26" s="302">
        <v>0.47091812770000002</v>
      </c>
      <c r="J26" s="171">
        <f>AVERAGE(E26:I26)</f>
        <v>0.47937767392000002</v>
      </c>
      <c r="K26" s="173"/>
    </row>
    <row r="27" spans="1:15">
      <c r="A27" s="33"/>
      <c r="B27" s="33" t="s">
        <v>98</v>
      </c>
      <c r="C27" s="303">
        <v>0.23495143509999999</v>
      </c>
      <c r="D27" s="303">
        <v>0.2279892224</v>
      </c>
      <c r="E27" s="303">
        <v>0.22134919810000001</v>
      </c>
      <c r="F27" s="303">
        <v>0.21507999359999999</v>
      </c>
      <c r="G27" s="303">
        <v>0.20747371840000001</v>
      </c>
      <c r="H27" s="303">
        <v>0.20771304569999999</v>
      </c>
      <c r="I27" s="303">
        <v>0.20706812450000001</v>
      </c>
      <c r="J27" s="172">
        <f>AVERAGE(E27:I27)</f>
        <v>0.21173681606</v>
      </c>
      <c r="K27" s="173"/>
      <c r="L27" s="165"/>
    </row>
    <row r="28" spans="1:15">
      <c r="A28" s="17" t="s">
        <v>11</v>
      </c>
      <c r="B28" s="17" t="s">
        <v>99</v>
      </c>
      <c r="C28" s="300">
        <v>0.52361292390000003</v>
      </c>
      <c r="D28" s="300">
        <v>0.51072051350000003</v>
      </c>
      <c r="E28" s="301">
        <v>0.50213179600000002</v>
      </c>
      <c r="F28" s="301">
        <v>0.50812025139999994</v>
      </c>
      <c r="G28" s="301">
        <v>0.495188146</v>
      </c>
      <c r="H28" s="301">
        <v>0.49185153529999998</v>
      </c>
      <c r="I28" s="302">
        <v>0.48803097709999999</v>
      </c>
      <c r="J28" s="171">
        <f>AVERAGE(E28:I28)</f>
        <v>0.49706454115999998</v>
      </c>
      <c r="K28" s="173"/>
      <c r="L28" s="165"/>
    </row>
    <row r="29" spans="1:15" s="3" customFormat="1">
      <c r="A29" s="33"/>
      <c r="B29" s="33" t="s">
        <v>98</v>
      </c>
      <c r="C29" s="304">
        <v>0.27235021570000001</v>
      </c>
      <c r="D29" s="304">
        <v>0.26331651900000003</v>
      </c>
      <c r="E29" s="305">
        <v>0.24758793170000001</v>
      </c>
      <c r="F29" s="305">
        <v>0.23657203809999999</v>
      </c>
      <c r="G29" s="305">
        <v>0.22349531349999999</v>
      </c>
      <c r="H29" s="305">
        <v>0.22497991540000001</v>
      </c>
      <c r="I29" s="306">
        <v>0.22558652300000001</v>
      </c>
      <c r="J29" s="172">
        <f>AVERAGE(E29:I29)</f>
        <v>0.23164434433999997</v>
      </c>
      <c r="K29" s="173"/>
      <c r="L29" s="165"/>
    </row>
    <row r="30" spans="1:15" s="165" customFormat="1">
      <c r="A30" s="119"/>
      <c r="B30" s="119"/>
      <c r="C30" s="174"/>
      <c r="D30" s="174"/>
      <c r="E30" s="175"/>
      <c r="F30" s="175"/>
      <c r="G30" s="175"/>
      <c r="H30" s="175"/>
      <c r="I30" s="175"/>
      <c r="J30" s="173"/>
      <c r="K30" s="173"/>
    </row>
    <row r="31" spans="1:15" s="165" customFormat="1" ht="60">
      <c r="A31" s="38" t="s">
        <v>31</v>
      </c>
      <c r="B31" s="38" t="s">
        <v>504</v>
      </c>
      <c r="C31" s="75" t="s">
        <v>81</v>
      </c>
      <c r="D31" s="75" t="s">
        <v>1</v>
      </c>
      <c r="E31" s="39" t="s">
        <v>2</v>
      </c>
      <c r="F31" s="40" t="s">
        <v>3</v>
      </c>
      <c r="G31" s="40" t="s">
        <v>4</v>
      </c>
      <c r="H31" s="40" t="s">
        <v>5</v>
      </c>
      <c r="I31" s="40" t="s">
        <v>6</v>
      </c>
      <c r="J31" s="161" t="s">
        <v>251</v>
      </c>
      <c r="K31" s="173"/>
      <c r="L31" s="133" t="s">
        <v>84</v>
      </c>
    </row>
    <row r="32" spans="1:15" s="165" customFormat="1" ht="45">
      <c r="A32" s="32" t="s">
        <v>10</v>
      </c>
      <c r="B32" s="222" t="s">
        <v>505</v>
      </c>
      <c r="C32" s="162"/>
      <c r="D32" s="162"/>
      <c r="E32" s="319">
        <v>4.5</v>
      </c>
      <c r="F32" s="334">
        <v>6.1362113176511501</v>
      </c>
      <c r="G32" s="319">
        <v>7.3282210000000001</v>
      </c>
      <c r="H32" s="319">
        <v>8.8833491999999996</v>
      </c>
      <c r="I32" s="319">
        <v>10.2932179</v>
      </c>
      <c r="J32" s="223">
        <f t="shared" ref="J32:J37" si="4">AVERAGE(E32:I32)</f>
        <v>7.4281998835302305</v>
      </c>
      <c r="K32" s="173"/>
      <c r="L32" s="54" t="s">
        <v>1455</v>
      </c>
      <c r="O32" s="165" t="s">
        <v>1307</v>
      </c>
    </row>
    <row r="33" spans="1:12" s="165" customFormat="1">
      <c r="A33" s="17"/>
      <c r="B33" s="224" t="s">
        <v>506</v>
      </c>
      <c r="C33" s="225"/>
      <c r="D33" s="225"/>
      <c r="E33" s="226">
        <f xml:space="preserve"> 1.0953*(1+$C$5)*(1+$D$5)*(1+$E$5)</f>
        <v>1.1630613514929449</v>
      </c>
      <c r="F33" s="226">
        <f>1.0866*(1+$C$5)*(1+$D$5)*(1+$E$5)</f>
        <v>1.1538231210921517</v>
      </c>
      <c r="G33" s="226">
        <f>1.0779*(1+$C$5)*(1+$D$5)*(1+$E$5)</f>
        <v>1.1445848906913587</v>
      </c>
      <c r="H33" s="226">
        <f>1.0701*(1+$C$5)*(1+$D$5)*(1+$E$5)</f>
        <v>1.1363023392975444</v>
      </c>
      <c r="I33" s="226">
        <f>1.0625*(1+$C$5)*(1+$D$5)*(1+$E$5)</f>
        <v>1.1282321610163917</v>
      </c>
      <c r="J33" s="227">
        <f t="shared" si="4"/>
        <v>1.1452007727180784</v>
      </c>
      <c r="K33" s="173"/>
      <c r="L33" s="165" t="s">
        <v>508</v>
      </c>
    </row>
    <row r="34" spans="1:12" s="165" customFormat="1">
      <c r="A34" s="33"/>
      <c r="B34" s="228" t="s">
        <v>507</v>
      </c>
      <c r="C34" s="229"/>
      <c r="D34" s="229"/>
      <c r="E34" s="230">
        <f>1.9829*(1+$C$5)*(1+$D$5)*(1+$E$5)</f>
        <v>2.1055732254864972</v>
      </c>
      <c r="F34" s="230">
        <f>1.9671*(1+$C$5)*(1+$D$5)*(1+$E$5)</f>
        <v>2.0887957495862062</v>
      </c>
      <c r="G34" s="230">
        <f>1.9515*(1+$C$5)*(1+$D$5)*(1+$E$5)</f>
        <v>2.0722306467985772</v>
      </c>
      <c r="H34" s="230">
        <f>1.9373*(1+$C$5)*(1+$D$5)*(1+$E$5)</f>
        <v>2.0571521557995815</v>
      </c>
      <c r="I34" s="230">
        <f>1.9236*(1+$C$5)*(1+$D$5)*(1+$E$5)</f>
        <v>2.0426045975822409</v>
      </c>
      <c r="J34" s="231">
        <f t="shared" si="4"/>
        <v>2.0732712750506206</v>
      </c>
      <c r="K34" s="173"/>
      <c r="L34" s="165" t="s">
        <v>508</v>
      </c>
    </row>
    <row r="35" spans="1:12" s="165" customFormat="1" ht="45">
      <c r="A35" s="32" t="s">
        <v>30</v>
      </c>
      <c r="B35" s="232" t="s">
        <v>505</v>
      </c>
      <c r="C35" s="233"/>
      <c r="D35" s="233"/>
      <c r="E35" s="319">
        <v>3.78</v>
      </c>
      <c r="F35" s="319">
        <v>5.78</v>
      </c>
      <c r="G35" s="319">
        <v>7.12</v>
      </c>
      <c r="H35" s="319">
        <v>8.56</v>
      </c>
      <c r="I35" s="335">
        <v>9.7899999999999991</v>
      </c>
      <c r="J35" s="223">
        <f>AVERAGE(E35:I35)</f>
        <v>7.0060000000000002</v>
      </c>
      <c r="K35" s="173"/>
      <c r="L35" s="270" t="s">
        <v>1455</v>
      </c>
    </row>
    <row r="36" spans="1:12" s="165" customFormat="1">
      <c r="A36" s="17"/>
      <c r="B36" s="224" t="s">
        <v>506</v>
      </c>
      <c r="C36" s="6"/>
      <c r="D36" s="6"/>
      <c r="E36" s="226">
        <f>1.6058*(1+$C$5)*(1+$D$5)*(1+$E$5)</f>
        <v>1.7051437215624676</v>
      </c>
      <c r="F36" s="226">
        <f>1.5542*(1+$C$5)*(1+$D$5)*(1+$E$5)</f>
        <v>1.6503514584956949</v>
      </c>
      <c r="G36" s="226">
        <f>1.4926*(1+$C$5)*(1+$D$5)*(1+$E$5)</f>
        <v>1.5849405397958269</v>
      </c>
      <c r="H36" s="226">
        <f>1.4809*(1+$C$5)*(1+$D$5)*(1+$E$5)</f>
        <v>1.5725167127051056</v>
      </c>
      <c r="I36" s="234">
        <f>1.4699*(1+$C$5)*(1+$D$5)*(1+$E$5)</f>
        <v>1.5608361915087001</v>
      </c>
      <c r="J36" s="227">
        <f t="shared" si="4"/>
        <v>1.6147577248135589</v>
      </c>
      <c r="K36" s="173"/>
      <c r="L36" s="165" t="s">
        <v>508</v>
      </c>
    </row>
    <row r="37" spans="1:12" s="165" customFormat="1">
      <c r="A37" s="33"/>
      <c r="B37" s="228" t="s">
        <v>507</v>
      </c>
      <c r="C37" s="145"/>
      <c r="D37" s="145"/>
      <c r="E37" s="230">
        <f>2.1456*(1+$C$5)*(1+$D$5)*(1+$E$5)</f>
        <v>2.2783387526369596</v>
      </c>
      <c r="F37" s="230">
        <f>2.0767*(1+$C$5)*(1+$D$5)*(1+$E$5)</f>
        <v>2.2051762153249324</v>
      </c>
      <c r="G37" s="230">
        <f>1.9944*(1+$C$5)*(1+$D$5)*(1+$E$5)</f>
        <v>2.117784679464557</v>
      </c>
      <c r="H37" s="230">
        <f>1.9788*(1+$C$5)*(1+$D$5)*(1+$E$5)</f>
        <v>2.1012195766769275</v>
      </c>
      <c r="I37" s="235">
        <f>1.9641*(1+$C$5)*(1+$D$5)*(1+$E$5)</f>
        <v>2.0856101528962778</v>
      </c>
      <c r="J37" s="231">
        <f t="shared" si="4"/>
        <v>2.1576258753999307</v>
      </c>
      <c r="K37" s="173"/>
      <c r="L37" s="165" t="s">
        <v>508</v>
      </c>
    </row>
    <row r="38" spans="1:12" s="165" customFormat="1">
      <c r="A38" s="119"/>
      <c r="B38" s="238"/>
      <c r="C38" s="6"/>
      <c r="D38" s="6"/>
      <c r="E38" s="226"/>
      <c r="F38" s="226"/>
      <c r="G38" s="226"/>
      <c r="H38" s="226"/>
      <c r="I38" s="226"/>
      <c r="J38" s="239"/>
      <c r="K38" s="173"/>
    </row>
    <row r="39" spans="1:12" s="165" customFormat="1">
      <c r="A39" s="119" t="s">
        <v>511</v>
      </c>
      <c r="B39" s="119"/>
      <c r="C39" s="174"/>
      <c r="D39" s="174"/>
      <c r="E39" s="175"/>
      <c r="F39" s="175"/>
      <c r="G39" s="175"/>
      <c r="H39" s="175"/>
      <c r="I39" s="175"/>
      <c r="J39" s="173"/>
      <c r="K39" s="173"/>
    </row>
    <row r="40" spans="1:12" s="165" customFormat="1" ht="60">
      <c r="A40" s="37" t="s">
        <v>509</v>
      </c>
      <c r="B40" s="163" t="s">
        <v>510</v>
      </c>
      <c r="C40" s="77"/>
      <c r="D40" s="76"/>
      <c r="E40" s="39" t="s">
        <v>2</v>
      </c>
      <c r="F40" s="40" t="s">
        <v>3</v>
      </c>
      <c r="G40" s="40" t="s">
        <v>4</v>
      </c>
      <c r="H40" s="40" t="s">
        <v>5</v>
      </c>
      <c r="I40" s="41" t="s">
        <v>6</v>
      </c>
      <c r="J40" s="161" t="s">
        <v>251</v>
      </c>
      <c r="K40" s="173"/>
      <c r="L40" s="133" t="s">
        <v>84</v>
      </c>
    </row>
    <row r="41" spans="1:12" s="165" customFormat="1">
      <c r="A41" s="17" t="s">
        <v>10</v>
      </c>
      <c r="B41" s="17" t="s">
        <v>512</v>
      </c>
      <c r="C41" s="236"/>
      <c r="D41" s="119"/>
      <c r="E41" s="320">
        <v>125.54505485871201</v>
      </c>
      <c r="F41" s="226">
        <f>125.9686274496/(1+$F$5)</f>
        <v>123.05228821881411</v>
      </c>
      <c r="G41" s="226">
        <f>126.563689771615/(1+$G$5)/(1+$F$5)</f>
        <v>120.77129438922046</v>
      </c>
      <c r="H41" s="226">
        <f>127.068403491318/(1+$H$5)/(1+$G$5)/(1+$F$5)</f>
        <v>118.4457449014314</v>
      </c>
      <c r="I41" s="226">
        <f>127.106520791308/(1+$I$5)/(1+$H$5)/(1+$G$5)/(1+$F$5)</f>
        <v>115.73827842377672</v>
      </c>
      <c r="J41" s="237">
        <f>AVERAGE(E41:I41)</f>
        <v>120.71053215839095</v>
      </c>
      <c r="K41" s="173"/>
      <c r="L41" s="165" t="s">
        <v>513</v>
      </c>
    </row>
    <row r="42" spans="1:12" s="165" customFormat="1">
      <c r="A42" s="33" t="s">
        <v>11</v>
      </c>
      <c r="B42" s="42" t="s">
        <v>512</v>
      </c>
      <c r="C42" s="74"/>
      <c r="D42" s="11"/>
      <c r="E42" s="321">
        <v>77.431294650470605</v>
      </c>
      <c r="F42" s="230">
        <f>77.8757764380836/(1+$F$5)</f>
        <v>76.072849895558861</v>
      </c>
      <c r="G42" s="230">
        <f>78.4382738800358/(1+$G$5)/(1+$F$5)</f>
        <v>74.848417292845681</v>
      </c>
      <c r="H42" s="230">
        <f>78.8544642985628/(1+$H$5)/(1+$G$5)/(1+$F$5)</f>
        <v>73.503526494568391</v>
      </c>
      <c r="I42" s="235">
        <f>79.6792102091063/(1+$I$5)/(1+$H$5)/(1+$G$5)/(1+$F$5)</f>
        <v>72.55280498873357</v>
      </c>
      <c r="J42" s="231">
        <f>AVERAGE(E42:I42)</f>
        <v>74.881778664435416</v>
      </c>
      <c r="K42" s="173"/>
      <c r="L42" s="165" t="s">
        <v>513</v>
      </c>
    </row>
    <row r="43" spans="1:12" s="165" customFormat="1">
      <c r="A43" s="119"/>
      <c r="B43" s="119"/>
      <c r="C43" s="174"/>
      <c r="D43" s="174"/>
      <c r="E43" s="175"/>
      <c r="F43" s="175"/>
      <c r="G43" s="175"/>
      <c r="H43" s="175"/>
      <c r="I43" s="175"/>
      <c r="J43" s="173"/>
      <c r="K43" s="173"/>
    </row>
    <row r="44" spans="1:12" ht="75">
      <c r="A44" s="38" t="s">
        <v>31</v>
      </c>
      <c r="B44" s="163" t="s">
        <v>348</v>
      </c>
      <c r="C44" s="76"/>
      <c r="D44" s="76"/>
      <c r="E44" s="39" t="s">
        <v>2</v>
      </c>
      <c r="F44" s="40" t="s">
        <v>3</v>
      </c>
      <c r="G44" s="40" t="s">
        <v>4</v>
      </c>
      <c r="H44" s="40" t="s">
        <v>5</v>
      </c>
      <c r="I44" s="40" t="s">
        <v>6</v>
      </c>
      <c r="J44" s="132" t="s">
        <v>251</v>
      </c>
      <c r="K44" s="129"/>
      <c r="L44" s="165"/>
    </row>
    <row r="45" spans="1:12">
      <c r="A45" s="32" t="s">
        <v>10</v>
      </c>
      <c r="B45" s="164"/>
      <c r="C45" s="162"/>
      <c r="D45" s="162"/>
      <c r="E45" s="181">
        <f t="shared" ref="E45:J45" si="5">SUM(E32:E34)/E41</f>
        <v>6.18792559031675E-2</v>
      </c>
      <c r="F45" s="181">
        <f t="shared" si="5"/>
        <v>7.6218250989789627E-2</v>
      </c>
      <c r="G45" s="181">
        <f t="shared" si="5"/>
        <v>8.7314097201819346E-2</v>
      </c>
      <c r="H45" s="181">
        <f t="shared" si="5"/>
        <v>0.10196063780211982</v>
      </c>
      <c r="I45" s="181">
        <f t="shared" si="5"/>
        <v>0.11633190714397772</v>
      </c>
      <c r="J45" s="307">
        <f t="shared" si="5"/>
        <v>8.8200024810832944E-2</v>
      </c>
      <c r="K45" s="173"/>
      <c r="L45" t="s">
        <v>1325</v>
      </c>
    </row>
    <row r="46" spans="1:12">
      <c r="A46" s="33" t="s">
        <v>30</v>
      </c>
      <c r="B46" s="42"/>
      <c r="C46" s="145"/>
      <c r="D46" s="145"/>
      <c r="E46" s="137">
        <f t="shared" ref="E46:J46" si="6">SUM(E35:E37)/E42</f>
        <v>0.10026285249709747</v>
      </c>
      <c r="F46" s="137">
        <f t="shared" si="6"/>
        <v>0.12666184699336669</v>
      </c>
      <c r="G46" s="137">
        <f t="shared" si="6"/>
        <v>0.14459524477206098</v>
      </c>
      <c r="H46" s="137">
        <f t="shared" si="6"/>
        <v>0.16643740610576088</v>
      </c>
      <c r="I46" s="137">
        <f t="shared" si="6"/>
        <v>0.18519540831662495</v>
      </c>
      <c r="J46" s="172">
        <f t="shared" si="6"/>
        <v>0.1439386696263481</v>
      </c>
      <c r="K46" s="173"/>
      <c r="L46" s="269" t="s">
        <v>1325</v>
      </c>
    </row>
    <row r="47" spans="1:12">
      <c r="A47" s="17"/>
      <c r="B47" s="13"/>
      <c r="C47" s="6"/>
      <c r="D47" s="6"/>
      <c r="E47" s="131"/>
      <c r="F47" s="131"/>
      <c r="G47" s="131"/>
      <c r="H47" s="131"/>
      <c r="I47" s="131"/>
      <c r="J47" s="131"/>
      <c r="K47" s="131"/>
      <c r="L47" s="269"/>
    </row>
    <row r="48" spans="1:12">
      <c r="E48" s="129"/>
      <c r="F48" s="129"/>
      <c r="G48" s="129"/>
      <c r="H48" s="129"/>
      <c r="I48" s="129"/>
      <c r="J48" s="129"/>
      <c r="K48" s="129"/>
    </row>
    <row r="49" spans="5:11">
      <c r="E49" s="55"/>
      <c r="J49" s="129"/>
      <c r="K49" s="129"/>
    </row>
    <row r="50" spans="5:11">
      <c r="J50" s="129"/>
      <c r="K50" s="129"/>
    </row>
    <row r="51" spans="5:11">
      <c r="J51" s="129"/>
      <c r="K51" s="129"/>
    </row>
    <row r="52" spans="5:11">
      <c r="J52" s="129"/>
      <c r="K52" s="129"/>
    </row>
    <row r="53" spans="5:11">
      <c r="J53" s="129"/>
      <c r="K53" s="129"/>
    </row>
    <row r="54" spans="5:11">
      <c r="J54" s="129"/>
      <c r="K54" s="129"/>
    </row>
  </sheetData>
  <mergeCells count="1">
    <mergeCell ref="E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85"/>
  <sheetViews>
    <sheetView zoomScale="70" zoomScaleNormal="70" workbookViewId="0"/>
  </sheetViews>
  <sheetFormatPr defaultColWidth="8.85546875" defaultRowHeight="15"/>
  <cols>
    <col min="1" max="1" width="13.7109375" customWidth="1"/>
    <col min="2" max="2" width="25.7109375" customWidth="1"/>
    <col min="3" max="3" width="13.85546875" style="53" customWidth="1"/>
    <col min="4" max="4" width="12.85546875" style="16" customWidth="1"/>
    <col min="5" max="5" width="12.140625" customWidth="1"/>
    <col min="6" max="6" width="12.85546875" customWidth="1"/>
    <col min="7" max="7" width="11.85546875" customWidth="1"/>
    <col min="8" max="8" width="12.85546875" customWidth="1"/>
    <col min="9" max="9" width="13.28515625" customWidth="1"/>
    <col min="10" max="10" width="3.140625" customWidth="1"/>
    <col min="11" max="11" width="14.7109375" style="53" customWidth="1"/>
    <col min="12" max="12" width="13.7109375" style="16" customWidth="1"/>
    <col min="13" max="13" width="12" customWidth="1"/>
    <col min="14" max="14" width="12.7109375" customWidth="1"/>
    <col min="15" max="15" width="13.28515625" customWidth="1"/>
    <col min="16" max="16" width="11.28515625" customWidth="1"/>
    <col min="17" max="17" width="11.42578125" bestFit="1" customWidth="1"/>
    <col min="18" max="18" width="3.85546875" bestFit="1" customWidth="1"/>
    <col min="19" max="19" width="12.42578125" customWidth="1"/>
    <col min="20" max="22" width="11.140625" bestFit="1" customWidth="1"/>
    <col min="23" max="25" width="11.42578125" bestFit="1" customWidth="1"/>
  </cols>
  <sheetData>
    <row r="1" spans="1:25">
      <c r="B1">
        <f>COLUMN()-1</f>
        <v>1</v>
      </c>
      <c r="C1" s="100">
        <f t="shared" ref="C1:Y1" si="0">COLUMN()-1</f>
        <v>2</v>
      </c>
      <c r="D1" s="100">
        <f t="shared" si="0"/>
        <v>3</v>
      </c>
      <c r="E1" s="100">
        <f t="shared" si="0"/>
        <v>4</v>
      </c>
      <c r="F1" s="100">
        <f t="shared" si="0"/>
        <v>5</v>
      </c>
      <c r="G1" s="100">
        <f t="shared" si="0"/>
        <v>6</v>
      </c>
      <c r="H1" s="100">
        <f t="shared" si="0"/>
        <v>7</v>
      </c>
      <c r="I1" s="100">
        <f t="shared" si="0"/>
        <v>8</v>
      </c>
      <c r="J1" s="100">
        <f t="shared" si="0"/>
        <v>9</v>
      </c>
      <c r="K1" s="100">
        <f t="shared" si="0"/>
        <v>10</v>
      </c>
      <c r="L1" s="100">
        <f t="shared" si="0"/>
        <v>11</v>
      </c>
      <c r="M1" s="100">
        <f t="shared" si="0"/>
        <v>12</v>
      </c>
      <c r="N1" s="100">
        <f t="shared" si="0"/>
        <v>13</v>
      </c>
      <c r="O1" s="100">
        <f t="shared" si="0"/>
        <v>14</v>
      </c>
      <c r="P1" s="100">
        <f t="shared" si="0"/>
        <v>15</v>
      </c>
      <c r="Q1" s="100">
        <f t="shared" si="0"/>
        <v>16</v>
      </c>
      <c r="R1" s="269">
        <f t="shared" si="0"/>
        <v>17</v>
      </c>
      <c r="S1" s="269">
        <f t="shared" si="0"/>
        <v>18</v>
      </c>
      <c r="T1" s="269">
        <f t="shared" si="0"/>
        <v>19</v>
      </c>
      <c r="U1" s="269">
        <f t="shared" si="0"/>
        <v>20</v>
      </c>
      <c r="V1" s="269">
        <f t="shared" si="0"/>
        <v>21</v>
      </c>
      <c r="W1" s="269">
        <f t="shared" si="0"/>
        <v>22</v>
      </c>
      <c r="X1" s="269">
        <f t="shared" si="0"/>
        <v>23</v>
      </c>
      <c r="Y1" s="269">
        <f t="shared" si="0"/>
        <v>24</v>
      </c>
    </row>
    <row r="2" spans="1:25" s="269" customFormat="1">
      <c r="A2" s="34"/>
      <c r="B2" s="34"/>
      <c r="C2" s="35" t="s">
        <v>7</v>
      </c>
      <c r="D2" s="35"/>
      <c r="E2" s="34"/>
      <c r="F2" s="34"/>
      <c r="G2" s="34"/>
      <c r="H2" s="34"/>
      <c r="I2" s="34"/>
      <c r="K2" s="35" t="s">
        <v>8</v>
      </c>
      <c r="L2" s="35"/>
      <c r="M2" s="34"/>
      <c r="N2" s="34"/>
      <c r="O2" s="34"/>
      <c r="P2" s="34"/>
      <c r="Q2" s="34"/>
      <c r="S2" s="35" t="s">
        <v>1135</v>
      </c>
      <c r="T2" s="35"/>
      <c r="U2" s="34"/>
      <c r="V2" s="34"/>
      <c r="W2" s="34"/>
      <c r="X2" s="34"/>
      <c r="Y2" s="34"/>
    </row>
    <row r="3" spans="1:25" s="269" customFormat="1" ht="30">
      <c r="A3" s="35" t="s">
        <v>31</v>
      </c>
      <c r="B3" s="48" t="s">
        <v>1322</v>
      </c>
      <c r="C3" s="35" t="s">
        <v>81</v>
      </c>
      <c r="D3" s="36" t="s">
        <v>1</v>
      </c>
      <c r="E3" s="36" t="s">
        <v>2</v>
      </c>
      <c r="F3" s="36" t="s">
        <v>3</v>
      </c>
      <c r="G3" s="36" t="s">
        <v>4</v>
      </c>
      <c r="H3" s="36" t="s">
        <v>5</v>
      </c>
      <c r="I3" s="36" t="s">
        <v>6</v>
      </c>
      <c r="K3" s="36" t="s">
        <v>81</v>
      </c>
      <c r="L3" s="36" t="s">
        <v>1</v>
      </c>
      <c r="M3" s="36" t="s">
        <v>2</v>
      </c>
      <c r="N3" s="36" t="s">
        <v>3</v>
      </c>
      <c r="O3" s="36" t="s">
        <v>4</v>
      </c>
      <c r="P3" s="36" t="s">
        <v>5</v>
      </c>
      <c r="Q3" s="36" t="s">
        <v>6</v>
      </c>
      <c r="S3" s="36" t="s">
        <v>81</v>
      </c>
      <c r="T3" s="36" t="s">
        <v>1</v>
      </c>
      <c r="U3" s="36" t="s">
        <v>2</v>
      </c>
      <c r="V3" s="36" t="s">
        <v>3</v>
      </c>
      <c r="W3" s="36" t="s">
        <v>4</v>
      </c>
      <c r="X3" s="36" t="s">
        <v>5</v>
      </c>
      <c r="Y3" s="36" t="s">
        <v>6</v>
      </c>
    </row>
    <row r="4" spans="1:25" s="269" customFormat="1">
      <c r="A4" s="269" t="s">
        <v>10</v>
      </c>
      <c r="B4" s="269" t="s">
        <v>16</v>
      </c>
      <c r="C4" s="120">
        <f>C32*(1+'Escalators &amp; overheads'!$J$26)*(1+'Escalators &amp; overheads'!$J$27)*(1+'Escalators &amp; overheads'!$J$45)</f>
        <v>126.62157290253798</v>
      </c>
      <c r="D4" s="120">
        <f>D32*(1+'Escalators &amp; overheads'!$J$26)*(1+'Escalators &amp; overheads'!$J$27)*(1+'Escalators &amp; overheads'!$J$45)</f>
        <v>127.77382921595107</v>
      </c>
      <c r="E4" s="120">
        <f>E32*(1+'Escalators &amp; overheads'!$J$26)*(1+'Escalators &amp; overheads'!$J$27)*(1+'Escalators &amp; overheads'!$J$45)</f>
        <v>128.64896779022982</v>
      </c>
      <c r="F4" s="120">
        <f>F32*(1+'Escalators &amp; overheads'!$J$26)*(1+'Escalators &amp; overheads'!$J$27)*(1+'Escalators &amp; overheads'!$J$45)</f>
        <v>129.76082436723323</v>
      </c>
      <c r="G4" s="120">
        <f>G32*(1+'Escalators &amp; overheads'!$J$26)*(1+'Escalators &amp; overheads'!$J$27)*(1+'Escalators &amp; overheads'!$J$45)</f>
        <v>130.94449124012752</v>
      </c>
      <c r="H4" s="120">
        <f>H32*(1+'Escalators &amp; overheads'!$J$26)*(1+'Escalators &amp; overheads'!$J$27)*(1+'Escalators &amp; overheads'!$J$45)</f>
        <v>132.17342473551162</v>
      </c>
      <c r="I4" s="120">
        <f>I32*(1+'Escalators &amp; overheads'!$J$26)*(1+'Escalators &amp; overheads'!$J$27)*(1+'Escalators &amp; overheads'!$J$45)</f>
        <v>133.09758513358278</v>
      </c>
      <c r="K4" s="120">
        <f>K32*(1+'Escalators &amp; overheads'!$J$26)*(1+'Escalators &amp; overheads'!$J$27)*(1+'Escalators &amp; overheads'!$J$45)</f>
        <v>166.49439604423995</v>
      </c>
      <c r="L4" s="120">
        <f>L32*(1+'Escalators &amp; overheads'!$J$26)*(1+'Escalators &amp; overheads'!$J$27)*(1+'Escalators &amp; overheads'!$J$45)</f>
        <v>168.00949504824257</v>
      </c>
      <c r="M4" s="120">
        <f>M32*(1+'Escalators &amp; overheads'!$J$26)*(1+'Escalators &amp; overheads'!$J$27)*(1+'Escalators &amp; overheads'!$J$45)</f>
        <v>169.16021261586991</v>
      </c>
      <c r="N4" s="120">
        <f>N32*(1+'Escalators &amp; overheads'!$J$26)*(1+'Escalators &amp; overheads'!$J$27)*(1+'Escalators &amp; overheads'!$J$45)</f>
        <v>170.62219010542839</v>
      </c>
      <c r="O4" s="120">
        <f>O32*(1+'Escalators &amp; overheads'!$J$26)*(1+'Escalators &amp; overheads'!$J$27)*(1+'Escalators &amp; overheads'!$J$45)</f>
        <v>172.17859077715119</v>
      </c>
      <c r="P4" s="120">
        <f>P32*(1+'Escalators &amp; overheads'!$J$26)*(1+'Escalators &amp; overheads'!$J$27)*(1+'Escalators &amp; overheads'!$J$45)</f>
        <v>173.79451241990321</v>
      </c>
      <c r="Q4" s="120">
        <f>Q32*(1+'Escalators &amp; overheads'!$J$26)*(1+'Escalators &amp; overheads'!$J$27)*(1+'Escalators &amp; overheads'!$J$45)</f>
        <v>175.00968866355402</v>
      </c>
      <c r="S4" s="55">
        <f>K4-C4</f>
        <v>39.872823141701971</v>
      </c>
      <c r="T4" s="20">
        <f t="shared" ref="T4:T12" si="1">L4-D4</f>
        <v>40.235665832291502</v>
      </c>
      <c r="U4" s="20">
        <f t="shared" ref="U4:U12" si="2">M4-E4</f>
        <v>40.511244825640091</v>
      </c>
      <c r="V4" s="20">
        <f t="shared" ref="V4:V12" si="3">N4-F4</f>
        <v>40.861365738195161</v>
      </c>
      <c r="W4" s="20">
        <f t="shared" ref="W4:W12" si="4">O4-G4</f>
        <v>41.234099537023667</v>
      </c>
      <c r="X4" s="20">
        <f t="shared" ref="X4:X12" si="5">P4-H4</f>
        <v>41.621087684391597</v>
      </c>
      <c r="Y4" s="20">
        <f t="shared" ref="Y4:Y12" si="6">Q4-I4</f>
        <v>41.912103529971233</v>
      </c>
    </row>
    <row r="5" spans="1:25" s="269" customFormat="1">
      <c r="B5" s="269" t="s">
        <v>12</v>
      </c>
      <c r="C5" s="120">
        <f>C33*(1+'Escalators &amp; overheads'!$J$26)*(1+'Escalators &amp; overheads'!$J$27)*(1+'Escalators &amp; overheads'!$J$45)</f>
        <v>188.26448930556063</v>
      </c>
      <c r="D5" s="120">
        <f>D33*(1+'Escalators &amp; overheads'!$J$26)*(1+'Escalators &amp; overheads'!$J$27)*(1+'Escalators &amp; overheads'!$J$45)</f>
        <v>189.97769615824126</v>
      </c>
      <c r="E5" s="120">
        <f>E33*(1+'Escalators &amp; overheads'!$J$26)*(1+'Escalators &amp; overheads'!$J$27)*(1+'Escalators &amp; overheads'!$J$45)</f>
        <v>191.27887662047578</v>
      </c>
      <c r="F5" s="120">
        <f>F33*(1+'Escalators &amp; overheads'!$J$26)*(1+'Escalators &amp; overheads'!$J$27)*(1+'Escalators &amp; overheads'!$J$45)</f>
        <v>192.93201601728055</v>
      </c>
      <c r="G5" s="120">
        <f>G33*(1+'Escalators &amp; overheads'!$J$26)*(1+'Escalators &amp; overheads'!$J$27)*(1+'Escalators &amp; overheads'!$J$45)</f>
        <v>194.69192496664166</v>
      </c>
      <c r="H5" s="120">
        <f>H33*(1+'Escalators &amp; overheads'!$J$26)*(1+'Escalators &amp; overheads'!$J$27)*(1+'Escalators &amp; overheads'!$J$45)</f>
        <v>196.51913759396439</v>
      </c>
      <c r="I5" s="120">
        <f>I33*(1+'Escalators &amp; overheads'!$J$26)*(1+'Escalators &amp; overheads'!$J$27)*(1+'Escalators &amp; overheads'!$J$45)</f>
        <v>197.89320507228584</v>
      </c>
      <c r="K5" s="120">
        <f>K33*(1+'Escalators &amp; overheads'!$J$26)*(1+'Escalators &amp; overheads'!$J$27)*(1+'Escalators &amp; overheads'!$J$45)</f>
        <v>248.3273182944551</v>
      </c>
      <c r="L5" s="120">
        <f>L33*(1+'Escalators &amp; overheads'!$J$26)*(1+'Escalators &amp; overheads'!$J$27)*(1+'Escalators &amp; overheads'!$J$45)</f>
        <v>250.5870968909347</v>
      </c>
      <c r="M5" s="120">
        <f>M33*(1+'Escalators &amp; overheads'!$J$26)*(1+'Escalators &amp; overheads'!$J$27)*(1+'Escalators &amp; overheads'!$J$45)</f>
        <v>252.30339854716158</v>
      </c>
      <c r="N5" s="120">
        <f>N33*(1+'Escalators &amp; overheads'!$J$26)*(1+'Escalators &amp; overheads'!$J$27)*(1+'Escalators &amp; overheads'!$J$45)</f>
        <v>254.48394610920951</v>
      </c>
      <c r="O5" s="120">
        <f>O33*(1+'Escalators &amp; overheads'!$J$26)*(1+'Escalators &amp; overheads'!$J$27)*(1+'Escalators &amp; overheads'!$J$45)</f>
        <v>256.80532637295079</v>
      </c>
      <c r="P5" s="120">
        <f>P33*(1+'Escalators &amp; overheads'!$J$26)*(1+'Escalators &amp; overheads'!$J$27)*(1+'Escalators &amp; overheads'!$J$45)</f>
        <v>259.21548249623521</v>
      </c>
      <c r="Q5" s="120">
        <f>Q33*(1+'Escalators &amp; overheads'!$J$26)*(1+'Escalators &amp; overheads'!$J$27)*(1+'Escalators &amp; overheads'!$J$45)</f>
        <v>261.02792462648415</v>
      </c>
      <c r="S5" s="20">
        <f t="shared" ref="S5:S12" si="7">K5-C5</f>
        <v>60.062828988894466</v>
      </c>
      <c r="T5" s="20">
        <f t="shared" si="1"/>
        <v>60.609400732693445</v>
      </c>
      <c r="U5" s="20">
        <f t="shared" si="2"/>
        <v>61.024521926685793</v>
      </c>
      <c r="V5" s="20">
        <f t="shared" si="3"/>
        <v>61.551930091928966</v>
      </c>
      <c r="W5" s="20">
        <f t="shared" si="4"/>
        <v>62.113401406309123</v>
      </c>
      <c r="X5" s="20">
        <f t="shared" si="5"/>
        <v>62.696344902270823</v>
      </c>
      <c r="Y5" s="20">
        <f t="shared" si="6"/>
        <v>63.134719554198313</v>
      </c>
    </row>
    <row r="6" spans="1:25" s="269" customFormat="1">
      <c r="B6" s="269" t="s">
        <v>17</v>
      </c>
      <c r="C6" s="120">
        <f>C34*(1+'Escalators &amp; overheads'!$J$26)*(1+'Escalators &amp; overheads'!$J$27)*(1+'Escalators &amp; overheads'!$J$45)</f>
        <v>116.43878734482347</v>
      </c>
      <c r="D6" s="120">
        <f>D34*(1+'Escalators &amp; overheads'!$J$26)*(1+'Escalators &amp; overheads'!$J$27)*(1+'Escalators &amp; overheads'!$J$45)</f>
        <v>117.49838030966139</v>
      </c>
      <c r="E6" s="120">
        <f>E34*(1+'Escalators &amp; overheads'!$J$26)*(1+'Escalators &amp; overheads'!$J$27)*(1+'Escalators &amp; overheads'!$J$45)</f>
        <v>118.30314107839806</v>
      </c>
      <c r="F6" s="120">
        <f>F34*(1+'Escalators &amp; overheads'!$J$26)*(1+'Escalators &amp; overheads'!$J$27)*(1+'Escalators &amp; overheads'!$J$45)</f>
        <v>119.32558321491528</v>
      </c>
      <c r="G6" s="120">
        <f>G34*(1+'Escalators &amp; overheads'!$J$26)*(1+'Escalators &amp; overheads'!$J$27)*(1+'Escalators &amp; overheads'!$J$45)</f>
        <v>120.41406073214009</v>
      </c>
      <c r="H6" s="120">
        <f>H34*(1+'Escalators &amp; overheads'!$J$26)*(1+'Escalators &amp; overheads'!$J$27)*(1+'Escalators &amp; overheads'!$J$45)</f>
        <v>121.54416457345077</v>
      </c>
      <c r="I6" s="120">
        <f>I34*(1+'Escalators &amp; overheads'!$J$26)*(1+'Escalators &amp; overheads'!$J$27)*(1+'Escalators &amp; overheads'!$J$45)</f>
        <v>122.39400487788562</v>
      </c>
      <c r="K6" s="120">
        <f>K34*(1+'Escalators &amp; overheads'!$J$26)*(1+'Escalators &amp; overheads'!$J$27)*(1+'Escalators &amp; overheads'!$J$45)</f>
        <v>161.89068456603951</v>
      </c>
      <c r="L6" s="120">
        <f>L34*(1+'Escalators &amp; overheads'!$J$26)*(1+'Escalators &amp; overheads'!$J$27)*(1+'Escalators &amp; overheads'!$J$45)</f>
        <v>163.3638897955905</v>
      </c>
      <c r="M6" s="120">
        <f>M34*(1+'Escalators &amp; overheads'!$J$26)*(1+'Escalators &amp; overheads'!$J$27)*(1+'Escalators &amp; overheads'!$J$45)</f>
        <v>164.48278904500344</v>
      </c>
      <c r="N6" s="120">
        <f>N34*(1+'Escalators &amp; overheads'!$J$26)*(1+'Escalators &amp; overheads'!$J$27)*(1+'Escalators &amp; overheads'!$J$45)</f>
        <v>165.90434161510834</v>
      </c>
      <c r="O6" s="120">
        <f>O34*(1+'Escalators &amp; overheads'!$J$26)*(1+'Escalators &amp; overheads'!$J$27)*(1+'Escalators &amp; overheads'!$J$45)</f>
        <v>167.41770648618368</v>
      </c>
      <c r="P6" s="120">
        <f>P34*(1+'Escalators &amp; overheads'!$J$26)*(1+'Escalators &amp; overheads'!$J$27)*(1+'Escalators &amp; overheads'!$J$45)</f>
        <v>168.9889465228795</v>
      </c>
      <c r="Q6" s="120">
        <f>Q34*(1+'Escalators &amp; overheads'!$J$26)*(1+'Escalators &amp; overheads'!$J$27)*(1+'Escalators &amp; overheads'!$J$45)</f>
        <v>170.17052211116984</v>
      </c>
      <c r="S6" s="20">
        <f t="shared" si="7"/>
        <v>45.451897221216043</v>
      </c>
      <c r="T6" s="20">
        <f t="shared" si="1"/>
        <v>45.86550948592911</v>
      </c>
      <c r="U6" s="20">
        <f t="shared" si="2"/>
        <v>46.179647966605387</v>
      </c>
      <c r="V6" s="20">
        <f t="shared" si="3"/>
        <v>46.578758400193053</v>
      </c>
      <c r="W6" s="20">
        <f t="shared" si="4"/>
        <v>47.003645754043589</v>
      </c>
      <c r="X6" s="20">
        <f t="shared" si="5"/>
        <v>47.44478194942873</v>
      </c>
      <c r="Y6" s="20">
        <f t="shared" si="6"/>
        <v>47.776517233284224</v>
      </c>
    </row>
    <row r="7" spans="1:25" s="269" customFormat="1">
      <c r="B7" s="269" t="s">
        <v>18</v>
      </c>
      <c r="C7" s="120">
        <f>C35*(1+'Escalators &amp; overheads'!$J$26)*(1+'Escalators &amp; overheads'!$J$27)*(1+'Escalators &amp; overheads'!$J$45)</f>
        <v>147.45531806659753</v>
      </c>
      <c r="D7" s="120">
        <f>D35*(1+'Escalators &amp; overheads'!$J$26)*(1+'Escalators &amp; overheads'!$J$27)*(1+'Escalators &amp; overheads'!$J$45)</f>
        <v>148.79716146100358</v>
      </c>
      <c r="E7" s="120">
        <f>E35*(1+'Escalators &amp; overheads'!$J$26)*(1+'Escalators &amp; overheads'!$J$27)*(1+'Escalators &amp; overheads'!$J$45)</f>
        <v>149.81629140754083</v>
      </c>
      <c r="F7" s="120">
        <f>F35*(1+'Escalators &amp; overheads'!$J$26)*(1+'Escalators &amp; overheads'!$J$27)*(1+'Escalators &amp; overheads'!$J$45)</f>
        <v>151.11108787427452</v>
      </c>
      <c r="G7" s="120">
        <f>G35*(1+'Escalators &amp; overheads'!$J$26)*(1+'Escalators &amp; overheads'!$J$27)*(1+'Escalators &amp; overheads'!$J$45)</f>
        <v>152.48950998060761</v>
      </c>
      <c r="H7" s="120">
        <f>H35*(1+'Escalators &amp; overheads'!$J$26)*(1+'Escalators &amp; overheads'!$J$27)*(1+'Escalators &amp; overheads'!$J$45)</f>
        <v>153.92064667627983</v>
      </c>
      <c r="I7" s="120">
        <f>I35*(1+'Escalators &amp; overheads'!$J$26)*(1+'Escalators &amp; overheads'!$J$27)*(1+'Escalators &amp; overheads'!$J$45)</f>
        <v>154.9968642774229</v>
      </c>
      <c r="K7" s="120">
        <f>K35*(1+'Escalators &amp; overheads'!$J$26)*(1+'Escalators &amp; overheads'!$J$27)*(1+'Escalators &amp; overheads'!$J$45)</f>
        <v>206.50376995012587</v>
      </c>
      <c r="L7" s="120">
        <f>L35*(1+'Escalators &amp; overheads'!$J$26)*(1+'Escalators &amp; overheads'!$J$27)*(1+'Escalators &amp; overheads'!$J$45)</f>
        <v>208.38295425667201</v>
      </c>
      <c r="M7" s="120">
        <f>M35*(1+'Escalators &amp; overheads'!$J$26)*(1+'Escalators &amp; overheads'!$J$27)*(1+'Escalators &amp; overheads'!$J$45)</f>
        <v>209.81019458132386</v>
      </c>
      <c r="N7" s="120">
        <f>N35*(1+'Escalators &amp; overheads'!$J$26)*(1+'Escalators &amp; overheads'!$J$27)*(1+'Escalators &amp; overheads'!$J$45)</f>
        <v>211.62349202765841</v>
      </c>
      <c r="O7" s="120">
        <f>O35*(1+'Escalators &amp; overheads'!$J$26)*(1+'Escalators &amp; overheads'!$J$27)*(1+'Escalators &amp; overheads'!$J$45)</f>
        <v>213.55390298382218</v>
      </c>
      <c r="P7" s="120">
        <f>P35*(1+'Escalators &amp; overheads'!$J$26)*(1+'Escalators &amp; overheads'!$J$27)*(1+'Escalators &amp; overheads'!$J$45)</f>
        <v>215.55813807581669</v>
      </c>
      <c r="Q7" s="120">
        <f>Q35*(1+'Escalators &amp; overheads'!$J$26)*(1+'Escalators &amp; overheads'!$J$27)*(1+'Escalators &amp; overheads'!$J$45)</f>
        <v>217.06532679465525</v>
      </c>
      <c r="S7" s="20">
        <f t="shared" si="7"/>
        <v>59.048451883528344</v>
      </c>
      <c r="T7" s="20">
        <f t="shared" si="1"/>
        <v>59.585792795668425</v>
      </c>
      <c r="U7" s="20">
        <f t="shared" si="2"/>
        <v>59.993903173783025</v>
      </c>
      <c r="V7" s="20">
        <f t="shared" si="3"/>
        <v>60.512404153383898</v>
      </c>
      <c r="W7" s="20">
        <f t="shared" si="4"/>
        <v>61.064393003214576</v>
      </c>
      <c r="X7" s="20">
        <f t="shared" si="5"/>
        <v>61.637491399536856</v>
      </c>
      <c r="Y7" s="20">
        <f t="shared" si="6"/>
        <v>62.068462517232348</v>
      </c>
    </row>
    <row r="8" spans="1:25" s="269" customFormat="1">
      <c r="B8" s="269" t="s">
        <v>19</v>
      </c>
      <c r="C8" s="120">
        <f>C36*(1+'Escalators &amp; overheads'!$J$26)*(1+'Escalators &amp; overheads'!$J$27)*(1+'Escalators &amp; overheads'!$J$45)</f>
        <v>138.20888060614411</v>
      </c>
      <c r="D8" s="120">
        <f>D36*(1+'Escalators &amp; overheads'!$J$26)*(1+'Escalators &amp; overheads'!$J$27)*(1+'Escalators &amp; overheads'!$J$45)</f>
        <v>139.46658141966006</v>
      </c>
      <c r="E8" s="120">
        <f>E36*(1+'Escalators &amp; overheads'!$J$26)*(1+'Escalators &amp; overheads'!$J$27)*(1+'Escalators &amp; overheads'!$J$45)</f>
        <v>140.42180508300387</v>
      </c>
      <c r="F8" s="120">
        <f>F36*(1+'Escalators &amp; overheads'!$J$26)*(1+'Escalators &amp; overheads'!$J$27)*(1+'Escalators &amp; overheads'!$J$45)</f>
        <v>141.63540912676743</v>
      </c>
      <c r="G8" s="120">
        <f>G36*(1+'Escalators &amp; overheads'!$J$26)*(1+'Escalators &amp; overheads'!$J$27)*(1+'Escalators &amp; overheads'!$J$45)</f>
        <v>142.92739492163051</v>
      </c>
      <c r="H8" s="120">
        <f>H36*(1+'Escalators &amp; overheads'!$J$26)*(1+'Escalators &amp; overheads'!$J$27)*(1+'Escalators &amp; overheads'!$J$45)</f>
        <v>144.2687897475119</v>
      </c>
      <c r="I8" s="120">
        <f>I36*(1+'Escalators &amp; overheads'!$J$26)*(1+'Escalators &amp; overheads'!$J$27)*(1+'Escalators &amp; overheads'!$J$45)</f>
        <v>145.27752128661749</v>
      </c>
      <c r="K8" s="120">
        <f>K36*(1+'Escalators &amp; overheads'!$J$26)*(1+'Escalators &amp; overheads'!$J$27)*(1+'Escalators &amp; overheads'!$J$45)</f>
        <v>187.38666296437833</v>
      </c>
      <c r="L8" s="120">
        <f>L36*(1+'Escalators &amp; overheads'!$J$26)*(1+'Escalators &amp; overheads'!$J$27)*(1+'Escalators &amp; overheads'!$J$45)</f>
        <v>189.09188159735416</v>
      </c>
      <c r="M8" s="120">
        <f>M36*(1+'Escalators &amp; overheads'!$J$26)*(1+'Escalators &amp; overheads'!$J$27)*(1+'Escalators &amp; overheads'!$J$45)</f>
        <v>190.38699500738679</v>
      </c>
      <c r="N8" s="120">
        <f>N36*(1+'Escalators &amp; overheads'!$J$26)*(1+'Escalators &amp; overheads'!$J$27)*(1+'Escalators &amp; overheads'!$J$45)</f>
        <v>192.03242626277034</v>
      </c>
      <c r="O8" s="120">
        <f>O36*(1+'Escalators &amp; overheads'!$J$26)*(1+'Escalators &amp; overheads'!$J$27)*(1+'Escalators &amp; overheads'!$J$45)</f>
        <v>193.78412923319442</v>
      </c>
      <c r="P8" s="120">
        <f>P36*(1+'Escalators &amp; overheads'!$J$26)*(1+'Escalators &amp; overheads'!$J$27)*(1+'Escalators &amp; overheads'!$J$45)</f>
        <v>195.60282206275221</v>
      </c>
      <c r="Q8" s="120">
        <f>Q36*(1+'Escalators &amp; overheads'!$J$26)*(1+'Escalators &amp; overheads'!$J$27)*(1+'Escalators &amp; overheads'!$J$45)</f>
        <v>196.97048263644982</v>
      </c>
      <c r="S8" s="20">
        <f t="shared" si="7"/>
        <v>49.177782358234225</v>
      </c>
      <c r="T8" s="20">
        <f t="shared" si="1"/>
        <v>49.625300177694101</v>
      </c>
      <c r="U8" s="20">
        <f t="shared" si="2"/>
        <v>49.965189924382912</v>
      </c>
      <c r="V8" s="20">
        <f t="shared" si="3"/>
        <v>50.397017136002916</v>
      </c>
      <c r="W8" s="20">
        <f t="shared" si="4"/>
        <v>50.856734311563912</v>
      </c>
      <c r="X8" s="20">
        <f t="shared" si="5"/>
        <v>51.334032315240307</v>
      </c>
      <c r="Y8" s="20">
        <f t="shared" si="6"/>
        <v>51.692961349832331</v>
      </c>
    </row>
    <row r="9" spans="1:25" s="269" customFormat="1">
      <c r="B9" s="269" t="s">
        <v>20</v>
      </c>
      <c r="C9" s="120">
        <f>C37*(1+'Escalators &amp; overheads'!$J$26)*(1+'Escalators &amp; overheads'!$J$27)*(1+'Escalators &amp; overheads'!$J$45)</f>
        <v>172.19051363591166</v>
      </c>
      <c r="D9" s="120">
        <f>D37*(1+'Escalators &amp; overheads'!$J$26)*(1+'Escalators &amp; overheads'!$J$27)*(1+'Escalators &amp; overheads'!$J$45)</f>
        <v>173.75744730999847</v>
      </c>
      <c r="E9" s="120">
        <f>E37*(1+'Escalators &amp; overheads'!$J$26)*(1+'Escalators &amp; overheads'!$J$27)*(1+'Escalators &amp; overheads'!$J$45)</f>
        <v>174.94753330524708</v>
      </c>
      <c r="F9" s="120">
        <f>F37*(1+'Escalators &amp; overheads'!$J$26)*(1+'Escalators &amp; overheads'!$J$27)*(1+'Escalators &amp; overheads'!$J$45)</f>
        <v>176.45952806802765</v>
      </c>
      <c r="G9" s="120">
        <f>G37*(1+'Escalators &amp; overheads'!$J$26)*(1+'Escalators &amp; overheads'!$J$27)*(1+'Escalators &amp; overheads'!$J$45)</f>
        <v>178.06917642529746</v>
      </c>
      <c r="H9" s="120">
        <f>H37*(1+'Escalators &amp; overheads'!$J$26)*(1+'Escalators &amp; overheads'!$J$27)*(1+'Escalators &amp; overheads'!$J$45)</f>
        <v>179.74038208910204</v>
      </c>
      <c r="I9" s="120">
        <f>I37*(1+'Escalators &amp; overheads'!$J$26)*(1+'Escalators &amp; overheads'!$J$27)*(1+'Escalators &amp; overheads'!$J$45)</f>
        <v>180.9971320249785</v>
      </c>
      <c r="K9" s="120">
        <f>K37*(1+'Escalators &amp; overheads'!$J$26)*(1+'Escalators &amp; overheads'!$J$27)*(1+'Escalators &amp; overheads'!$J$45)</f>
        <v>229.56134184518055</v>
      </c>
      <c r="L9" s="120">
        <f>L37*(1+'Escalators &amp; overheads'!$J$26)*(1+'Escalators &amp; overheads'!$J$27)*(1+'Escalators &amp; overheads'!$J$45)</f>
        <v>231.6503500559717</v>
      </c>
      <c r="M9" s="120">
        <f>M37*(1+'Escalators &amp; overheads'!$J$26)*(1+'Escalators &amp; overheads'!$J$27)*(1+'Escalators &amp; overheads'!$J$45)</f>
        <v>233.23695161846015</v>
      </c>
      <c r="N9" s="120">
        <f>N37*(1+'Escalators &amp; overheads'!$J$26)*(1+'Escalators &amp; overheads'!$J$27)*(1+'Escalators &amp; overheads'!$J$45)</f>
        <v>235.25271624612554</v>
      </c>
      <c r="O9" s="120">
        <f>O37*(1+'Escalators &amp; overheads'!$J$26)*(1+'Escalators &amp; overheads'!$J$27)*(1+'Escalators &amp; overheads'!$J$45)</f>
        <v>237.3986709157019</v>
      </c>
      <c r="P9" s="120">
        <f>P37*(1+'Escalators &amp; overheads'!$J$26)*(1+'Escalators &amp; overheads'!$J$27)*(1+'Escalators &amp; overheads'!$J$45)</f>
        <v>239.62669269565569</v>
      </c>
      <c r="Q9" s="120">
        <f>Q37*(1+'Escalators &amp; overheads'!$J$26)*(1+'Escalators &amp; overheads'!$J$27)*(1+'Escalators &amp; overheads'!$J$45)</f>
        <v>241.30216944261321</v>
      </c>
      <c r="S9" s="20">
        <f t="shared" si="7"/>
        <v>57.370828209268893</v>
      </c>
      <c r="T9" s="20">
        <f t="shared" si="1"/>
        <v>57.892902745973231</v>
      </c>
      <c r="U9" s="20">
        <f t="shared" si="2"/>
        <v>58.289418313213076</v>
      </c>
      <c r="V9" s="20">
        <f t="shared" si="3"/>
        <v>58.793188178097893</v>
      </c>
      <c r="W9" s="20">
        <f t="shared" si="4"/>
        <v>59.329494490404443</v>
      </c>
      <c r="X9" s="20">
        <f t="shared" si="5"/>
        <v>59.88631060655365</v>
      </c>
      <c r="Y9" s="20">
        <f t="shared" si="6"/>
        <v>60.305037417634708</v>
      </c>
    </row>
    <row r="10" spans="1:25" s="269" customFormat="1">
      <c r="B10" s="269" t="s">
        <v>21</v>
      </c>
      <c r="C10" s="120">
        <f>C38*(1+'Escalators &amp; overheads'!$J$26)*(1+'Escalators &amp; overheads'!$J$27)*(1+'Escalators &amp; overheads'!$J$45)</f>
        <v>162.4173803707489</v>
      </c>
      <c r="D10" s="120">
        <f>D38*(1+'Escalators &amp; overheads'!$J$26)*(1+'Escalators &amp; overheads'!$J$27)*(1+'Escalators &amp; overheads'!$J$45)</f>
        <v>163.89537853212275</v>
      </c>
      <c r="E10" s="120">
        <f>E38*(1+'Escalators &amp; overheads'!$J$26)*(1+'Escalators &amp; overheads'!$J$27)*(1+'Escalators &amp; overheads'!$J$45)</f>
        <v>165.01791801285682</v>
      </c>
      <c r="F10" s="120">
        <f>F38*(1+'Escalators &amp; overheads'!$J$26)*(1+'Escalators &amp; overheads'!$J$27)*(1+'Escalators &amp; overheads'!$J$45)</f>
        <v>166.44409546781449</v>
      </c>
      <c r="G10" s="120">
        <f>G38*(1+'Escalators &amp; overheads'!$J$26)*(1+'Escalators &amp; overheads'!$J$27)*(1+'Escalators &amp; overheads'!$J$45)</f>
        <v>167.96238392625202</v>
      </c>
      <c r="H10" s="120">
        <f>H38*(1+'Escalators &amp; overheads'!$J$26)*(1+'Escalators &amp; overheads'!$J$27)*(1+'Escalators &amp; overheads'!$J$45)</f>
        <v>169.53873584160681</v>
      </c>
      <c r="I10" s="120">
        <f>I38*(1+'Escalators &amp; overheads'!$J$26)*(1+'Escalators &amp; overheads'!$J$27)*(1+'Escalators &amp; overheads'!$J$45)</f>
        <v>170.72415557267141</v>
      </c>
      <c r="K10" s="120">
        <f>K38*(1+'Escalators &amp; overheads'!$J$26)*(1+'Escalators &amp; overheads'!$J$27)*(1+'Escalators &amp; overheads'!$J$45)</f>
        <v>219.32003453138722</v>
      </c>
      <c r="L10" s="120">
        <f>L38*(1+'Escalators &amp; overheads'!$J$26)*(1+'Escalators &amp; overheads'!$J$27)*(1+'Escalators &amp; overheads'!$J$45)</f>
        <v>221.31584684562287</v>
      </c>
      <c r="M10" s="120">
        <f>M38*(1+'Escalators &amp; overheads'!$J$26)*(1+'Escalators &amp; overheads'!$J$27)*(1+'Escalators &amp; overheads'!$J$45)</f>
        <v>222.83166613242247</v>
      </c>
      <c r="N10" s="120">
        <f>N38*(1+'Escalators &amp; overheads'!$J$26)*(1+'Escalators &amp; overheads'!$J$27)*(1+'Escalators &amp; overheads'!$J$45)</f>
        <v>224.75750244350687</v>
      </c>
      <c r="O10" s="120">
        <f>O38*(1+'Escalators &amp; overheads'!$J$26)*(1+'Escalators &amp; overheads'!$J$27)*(1+'Escalators &amp; overheads'!$J$45)</f>
        <v>226.80772069215126</v>
      </c>
      <c r="P10" s="120">
        <f>P38*(1+'Escalators &amp; overheads'!$J$26)*(1+'Escalators &amp; overheads'!$J$27)*(1+'Escalators &amp; overheads'!$J$45)</f>
        <v>228.93634483151399</v>
      </c>
      <c r="Q10" s="120">
        <f>Q38*(1+'Escalators &amp; overheads'!$J$26)*(1+'Escalators &amp; overheads'!$J$27)*(1+'Escalators &amp; overheads'!$J$45)</f>
        <v>230.53707435786032</v>
      </c>
      <c r="S10" s="20">
        <f t="shared" si="7"/>
        <v>56.90265416063832</v>
      </c>
      <c r="T10" s="20">
        <f t="shared" si="1"/>
        <v>57.420468313500123</v>
      </c>
      <c r="U10" s="20">
        <f t="shared" si="2"/>
        <v>57.813748119565645</v>
      </c>
      <c r="V10" s="20">
        <f t="shared" si="3"/>
        <v>58.313406975692374</v>
      </c>
      <c r="W10" s="20">
        <f t="shared" si="4"/>
        <v>58.845336765899248</v>
      </c>
      <c r="X10" s="20">
        <f t="shared" si="5"/>
        <v>59.397608989907184</v>
      </c>
      <c r="Y10" s="20">
        <f t="shared" si="6"/>
        <v>59.812918785188913</v>
      </c>
    </row>
    <row r="11" spans="1:25" s="269" customFormat="1">
      <c r="B11" s="269" t="s">
        <v>22</v>
      </c>
      <c r="C11" s="120">
        <f>C39*(1+'Escalators &amp; overheads'!$J$26)*(1+'Escalators &amp; overheads'!$J$27)*(1+'Escalators &amp; overheads'!$J$45)</f>
        <v>94.922288359844359</v>
      </c>
      <c r="D11" s="120">
        <f>D39*(1+'Escalators &amp; overheads'!$J$26)*(1+'Escalators &amp; overheads'!$J$27)*(1+'Escalators &amp; overheads'!$J$45)</f>
        <v>95.786081183918938</v>
      </c>
      <c r="E11" s="120">
        <f>E39*(1+'Escalators &amp; overheads'!$J$26)*(1+'Escalators &amp; overheads'!$J$27)*(1+'Escalators &amp; overheads'!$J$45)</f>
        <v>96.442131762017908</v>
      </c>
      <c r="F11" s="120">
        <f>F39*(1+'Escalators &amp; overheads'!$J$26)*(1+'Escalators &amp; overheads'!$J$27)*(1+'Escalators &amp; overheads'!$J$45)</f>
        <v>97.275638787699407</v>
      </c>
      <c r="G11" s="120">
        <f>G39*(1+'Escalators &amp; overheads'!$J$26)*(1+'Escalators &amp; overheads'!$J$27)*(1+'Escalators &amp; overheads'!$J$45)</f>
        <v>98.162978643423287</v>
      </c>
      <c r="H11" s="120">
        <f>H39*(1+'Escalators &amp; overheads'!$J$26)*(1+'Escalators &amp; overheads'!$J$27)*(1+'Escalators &amp; overheads'!$J$45)</f>
        <v>99.084252775073097</v>
      </c>
      <c r="I11" s="120">
        <f>I39*(1+'Escalators &amp; overheads'!$J$26)*(1+'Escalators &amp; overheads'!$J$27)*(1+'Escalators &amp; overheads'!$J$45)</f>
        <v>99.777052728395262</v>
      </c>
      <c r="K11" s="120">
        <f>K39*(1+'Escalators &amp; overheads'!$J$26)*(1+'Escalators &amp; overheads'!$J$27)*(1+'Escalators &amp; overheads'!$J$45)</f>
        <v>130.56203781184513</v>
      </c>
      <c r="L11" s="120">
        <f>L39*(1+'Escalators &amp; overheads'!$J$26)*(1+'Escalators &amp; overheads'!$J$27)*(1+'Escalators &amp; overheads'!$J$45)</f>
        <v>131.75015235593293</v>
      </c>
      <c r="M11" s="120">
        <f>M39*(1+'Escalators &amp; overheads'!$J$26)*(1+'Escalators &amp; overheads'!$J$27)*(1+'Escalators &amp; overheads'!$J$45)</f>
        <v>132.6525252534291</v>
      </c>
      <c r="N11" s="120">
        <f>N39*(1+'Escalators &amp; overheads'!$J$26)*(1+'Escalators &amp; overheads'!$J$27)*(1+'Escalators &amp; overheads'!$J$45)</f>
        <v>133.79898282081217</v>
      </c>
      <c r="O11" s="120">
        <f>O39*(1+'Escalators &amp; overheads'!$J$26)*(1+'Escalators &amp; overheads'!$J$27)*(1+'Escalators &amp; overheads'!$J$45)</f>
        <v>135.01948542137939</v>
      </c>
      <c r="P11" s="120">
        <f>P39*(1+'Escalators &amp; overheads'!$J$26)*(1+'Escalators &amp; overheads'!$J$27)*(1+'Escalators &amp; overheads'!$J$45)</f>
        <v>136.28666334228615</v>
      </c>
      <c r="Q11" s="120">
        <f>Q39*(1+'Escalators &amp; overheads'!$J$26)*(1+'Escalators &amp; overheads'!$J$27)*(1+'Escalators &amp; overheads'!$J$45)</f>
        <v>137.23958362333531</v>
      </c>
      <c r="S11" s="20">
        <f t="shared" si="7"/>
        <v>35.639749452000771</v>
      </c>
      <c r="T11" s="20">
        <f t="shared" si="1"/>
        <v>35.964071172013988</v>
      </c>
      <c r="U11" s="20">
        <f t="shared" si="2"/>
        <v>36.210393491411196</v>
      </c>
      <c r="V11" s="20">
        <f t="shared" si="3"/>
        <v>36.523344033112764</v>
      </c>
      <c r="W11" s="20">
        <f t="shared" si="4"/>
        <v>36.856506777956099</v>
      </c>
      <c r="X11" s="20">
        <f t="shared" si="5"/>
        <v>37.20241056721305</v>
      </c>
      <c r="Y11" s="20">
        <f t="shared" si="6"/>
        <v>37.462530894940045</v>
      </c>
    </row>
    <row r="12" spans="1:25" s="269" customFormat="1">
      <c r="B12" s="269" t="s">
        <v>23</v>
      </c>
      <c r="C12" s="120">
        <f>C40*(1+'Escalators &amp; overheads'!$J$26)*(1+'Escalators &amp; overheads'!$J$27)*(1+'Escalators &amp; overheads'!$J$45)</f>
        <v>203.30458061781709</v>
      </c>
      <c r="D12" s="120">
        <f>D40*(1+'Escalators &amp; overheads'!$J$26)*(1+'Escalators &amp; overheads'!$J$27)*(1+'Escalators &amp; overheads'!$J$45)</f>
        <v>205.15465230143926</v>
      </c>
      <c r="E12" s="120">
        <f>E40*(1+'Escalators &amp; overheads'!$J$26)*(1+'Escalators &amp; overheads'!$J$27)*(1+'Escalators &amp; overheads'!$J$45)</f>
        <v>206.55978159139971</v>
      </c>
      <c r="F12" s="120">
        <f>F40*(1+'Escalators &amp; overheads'!$J$26)*(1+'Escalators &amp; overheads'!$J$27)*(1+'Escalators &amp; overheads'!$J$45)</f>
        <v>208.34498714455475</v>
      </c>
      <c r="G12" s="120">
        <f>G40*(1+'Escalators &amp; overheads'!$J$26)*(1+'Escalators &amp; overheads'!$J$27)*(1+'Escalators &amp; overheads'!$J$45)</f>
        <v>210.24549186637023</v>
      </c>
      <c r="H12" s="120">
        <f>H40*(1+'Escalators &amp; overheads'!$J$26)*(1+'Escalators &amp; overheads'!$J$27)*(1+'Escalators &amp; overheads'!$J$45)</f>
        <v>212.21867702873243</v>
      </c>
      <c r="I12" s="120">
        <f>I40*(1+'Escalators &amp; overheads'!$J$26)*(1+'Escalators &amp; overheads'!$J$27)*(1+'Escalators &amp; overheads'!$J$45)</f>
        <v>213.70251613960866</v>
      </c>
      <c r="K12" s="120">
        <f>K40*(1+'Escalators &amp; overheads'!$J$26)*(1+'Escalators &amp; overheads'!$J$27)*(1+'Escalators &amp; overheads'!$J$45)</f>
        <v>285.93730020110951</v>
      </c>
      <c r="L12" s="120">
        <f>L40*(1+'Escalators &amp; overheads'!$J$26)*(1+'Escalators &amp; overheads'!$J$27)*(1+'Escalators &amp; overheads'!$J$45)</f>
        <v>288.53932963293965</v>
      </c>
      <c r="M12" s="120">
        <f>M40*(1+'Escalators &amp; overheads'!$J$26)*(1+'Escalators &amp; overheads'!$J$27)*(1+'Escalators &amp; overheads'!$J$45)</f>
        <v>290.51557077017242</v>
      </c>
      <c r="N12" s="120">
        <f>N40*(1+'Escalators &amp; overheads'!$J$26)*(1+'Escalators &amp; overheads'!$J$27)*(1+'Escalators &amp; overheads'!$J$45)</f>
        <v>293.02636936911182</v>
      </c>
      <c r="O12" s="120">
        <f>O40*(1+'Escalators &amp; overheads'!$J$26)*(1+'Escalators &amp; overheads'!$J$27)*(1+'Escalators &amp; overheads'!$J$45)</f>
        <v>295.69933024153278</v>
      </c>
      <c r="P12" s="120">
        <f>P40*(1+'Escalators &amp; overheads'!$J$26)*(1+'Escalators &amp; overheads'!$J$27)*(1+'Escalators &amp; overheads'!$J$45)</f>
        <v>298.47451236683554</v>
      </c>
      <c r="Q12" s="120">
        <f>Q40*(1+'Escalators &amp; overheads'!$J$26)*(1+'Escalators &amp; overheads'!$J$27)*(1+'Escalators &amp; overheads'!$J$45)</f>
        <v>300.56145476630047</v>
      </c>
      <c r="S12" s="20">
        <f t="shared" si="7"/>
        <v>82.632719583292413</v>
      </c>
      <c r="T12" s="20">
        <f t="shared" si="1"/>
        <v>83.384677331500399</v>
      </c>
      <c r="U12" s="20">
        <f t="shared" si="2"/>
        <v>83.955789178772704</v>
      </c>
      <c r="V12" s="20">
        <f t="shared" si="3"/>
        <v>84.681382224557069</v>
      </c>
      <c r="W12" s="20">
        <f t="shared" si="4"/>
        <v>85.453838375162547</v>
      </c>
      <c r="X12" s="20">
        <f t="shared" si="5"/>
        <v>86.255835338103111</v>
      </c>
      <c r="Y12" s="20">
        <f t="shared" si="6"/>
        <v>86.85893862669181</v>
      </c>
    </row>
    <row r="13" spans="1:25" s="269" customFormat="1"/>
    <row r="14" spans="1:25" s="269" customFormat="1">
      <c r="B14" s="269" t="s">
        <v>32</v>
      </c>
      <c r="C14" s="120">
        <f t="shared" ref="C14:I14" si="8">AVERAGE(C$6,C$7)</f>
        <v>131.94705270571049</v>
      </c>
      <c r="D14" s="120">
        <f t="shared" si="8"/>
        <v>133.14777088533248</v>
      </c>
      <c r="E14" s="120">
        <f t="shared" si="8"/>
        <v>134.05971624296944</v>
      </c>
      <c r="F14" s="120">
        <f t="shared" si="8"/>
        <v>135.21833554459491</v>
      </c>
      <c r="G14" s="120">
        <f t="shared" si="8"/>
        <v>136.45178535637385</v>
      </c>
      <c r="H14" s="120">
        <f t="shared" si="8"/>
        <v>137.73240562486529</v>
      </c>
      <c r="I14" s="120">
        <f t="shared" si="8"/>
        <v>138.69543457765425</v>
      </c>
      <c r="K14" s="120">
        <f t="shared" ref="K14:Q14" si="9">(K$6+K$7)/2</f>
        <v>184.19722725808271</v>
      </c>
      <c r="L14" s="120">
        <f t="shared" si="9"/>
        <v>185.87342202613127</v>
      </c>
      <c r="M14" s="120">
        <f t="shared" si="9"/>
        <v>187.14649181316366</v>
      </c>
      <c r="N14" s="120">
        <f t="shared" si="9"/>
        <v>188.76391682138336</v>
      </c>
      <c r="O14" s="120">
        <f t="shared" si="9"/>
        <v>190.48580473500294</v>
      </c>
      <c r="P14" s="120">
        <f t="shared" si="9"/>
        <v>192.27354229934809</v>
      </c>
      <c r="Q14" s="120">
        <f t="shared" si="9"/>
        <v>193.61792445291255</v>
      </c>
      <c r="S14" s="20">
        <f t="shared" ref="S14:Y15" si="10">K14-C14</f>
        <v>52.250174552372215</v>
      </c>
      <c r="T14" s="20">
        <f t="shared" si="10"/>
        <v>52.725651140798789</v>
      </c>
      <c r="U14" s="20">
        <f t="shared" si="10"/>
        <v>53.08677557019422</v>
      </c>
      <c r="V14" s="20">
        <f t="shared" si="10"/>
        <v>53.545581276788454</v>
      </c>
      <c r="W14" s="20">
        <f t="shared" si="10"/>
        <v>54.034019378629097</v>
      </c>
      <c r="X14" s="20">
        <f t="shared" si="10"/>
        <v>54.5411366744828</v>
      </c>
      <c r="Y14" s="20">
        <f t="shared" si="10"/>
        <v>54.922489875258293</v>
      </c>
    </row>
    <row r="15" spans="1:25" s="269" customFormat="1">
      <c r="B15" s="269" t="s">
        <v>33</v>
      </c>
      <c r="C15" s="120">
        <f t="shared" ref="C15:I15" si="11">AVERAGE(C$7,C$6,C$4)</f>
        <v>130.17189277131965</v>
      </c>
      <c r="D15" s="120">
        <f t="shared" si="11"/>
        <v>131.35645699553868</v>
      </c>
      <c r="E15" s="120">
        <f t="shared" si="11"/>
        <v>132.25613342538955</v>
      </c>
      <c r="F15" s="120">
        <f t="shared" si="11"/>
        <v>133.39916515214102</v>
      </c>
      <c r="G15" s="120">
        <f t="shared" si="11"/>
        <v>134.6160206509584</v>
      </c>
      <c r="H15" s="120">
        <f t="shared" si="11"/>
        <v>135.87941199508074</v>
      </c>
      <c r="I15" s="120">
        <f t="shared" si="11"/>
        <v>136.82948476296374</v>
      </c>
      <c r="K15" s="120">
        <f t="shared" ref="K15:Q15" si="12">(K$7+K$6+K$4)/3</f>
        <v>178.29628352013512</v>
      </c>
      <c r="L15" s="120">
        <f t="shared" si="12"/>
        <v>179.91877970016836</v>
      </c>
      <c r="M15" s="120">
        <f t="shared" si="12"/>
        <v>181.15106541406576</v>
      </c>
      <c r="N15" s="120">
        <f t="shared" si="12"/>
        <v>182.71667458273168</v>
      </c>
      <c r="O15" s="120">
        <f t="shared" si="12"/>
        <v>184.38340008238569</v>
      </c>
      <c r="P15" s="120">
        <f t="shared" si="12"/>
        <v>186.11386567286647</v>
      </c>
      <c r="Q15" s="120">
        <f t="shared" si="12"/>
        <v>187.41517918979307</v>
      </c>
      <c r="S15" s="20">
        <f t="shared" si="10"/>
        <v>48.124390748815472</v>
      </c>
      <c r="T15" s="20">
        <f t="shared" si="10"/>
        <v>48.562322704629679</v>
      </c>
      <c r="U15" s="20">
        <f t="shared" si="10"/>
        <v>48.894931988676205</v>
      </c>
      <c r="V15" s="20">
        <f t="shared" si="10"/>
        <v>49.317509430590661</v>
      </c>
      <c r="W15" s="20">
        <f t="shared" si="10"/>
        <v>49.767379431427287</v>
      </c>
      <c r="X15" s="20">
        <f t="shared" si="10"/>
        <v>50.234453677785723</v>
      </c>
      <c r="Y15" s="20">
        <f t="shared" si="10"/>
        <v>50.58569442682932</v>
      </c>
    </row>
    <row r="16" spans="1:25" s="269" customFormat="1"/>
    <row r="17" spans="1:25" s="269" customFormat="1">
      <c r="A17" s="269" t="s">
        <v>11</v>
      </c>
      <c r="B17" s="269" t="s">
        <v>16</v>
      </c>
      <c r="C17" s="20">
        <f>C45*(1+'Escalators &amp; overheads'!$J$28)*(1+'Escalators &amp; overheads'!$J$29)*(1+'Escalators &amp; overheads'!$J$46)</f>
        <v>129.88777178204134</v>
      </c>
      <c r="D17" s="20">
        <f>D45*(1+'Escalators &amp; overheads'!$J$28)*(1+'Escalators &amp; overheads'!$J$29)*(1+'Escalators &amp; overheads'!$J$46)</f>
        <v>131.06975050525796</v>
      </c>
      <c r="E17" s="20">
        <f>E45*(1+'Escalators &amp; overheads'!$J$28)*(1+'Escalators &amp; overheads'!$J$29)*(1+'Escalators &amp; overheads'!$J$46)</f>
        <v>131.96746324731237</v>
      </c>
      <c r="F17" s="20">
        <f>F45*(1+'Escalators &amp; overheads'!$J$28)*(1+'Escalators &amp; overheads'!$J$29)*(1+'Escalators &amp; overheads'!$J$46)</f>
        <v>133.10800012438415</v>
      </c>
      <c r="G17" s="20">
        <f>G45*(1+'Escalators &amp; overheads'!$J$28)*(1+'Escalators &amp; overheads'!$J$29)*(1+'Escalators &amp; overheads'!$J$46)</f>
        <v>134.32219964132423</v>
      </c>
      <c r="H17" s="20">
        <f>H45*(1+'Escalators &amp; overheads'!$J$28)*(1+'Escalators &amp; overheads'!$J$29)*(1+'Escalators &amp; overheads'!$J$46)</f>
        <v>135.58283343163913</v>
      </c>
      <c r="I17" s="20">
        <f>I45*(1+'Escalators &amp; overheads'!$J$28)*(1+'Escalators &amp; overheads'!$J$29)*(1+'Escalators &amp; overheads'!$J$46)</f>
        <v>136.53083251365226</v>
      </c>
      <c r="K17" s="120">
        <f>K32*(1+'Escalators &amp; overheads'!$J$28)*(1+'Escalators &amp; overheads'!$J$29)*(1+'Escalators &amp; overheads'!$J$46)</f>
        <v>180.02470480021483</v>
      </c>
      <c r="L17" s="120">
        <f>L32*(1+'Escalators &amp; overheads'!$J$28)*(1+'Escalators &amp; overheads'!$J$29)*(1+'Escalators &amp; overheads'!$J$46)</f>
        <v>181.66292961389684</v>
      </c>
      <c r="M17" s="120">
        <f>M32*(1+'Escalators &amp; overheads'!$J$28)*(1+'Escalators &amp; overheads'!$J$29)*(1+'Escalators &amp; overheads'!$J$46)</f>
        <v>182.90716122374326</v>
      </c>
      <c r="N17" s="120">
        <f>N32*(1+'Escalators &amp; overheads'!$J$28)*(1+'Escalators &amp; overheads'!$J$29)*(1+'Escalators &amp; overheads'!$J$46)</f>
        <v>184.48794755791144</v>
      </c>
      <c r="O17" s="120">
        <f>O32*(1+'Escalators &amp; overheads'!$J$28)*(1+'Escalators &amp; overheads'!$J$29)*(1+'Escalators &amp; overheads'!$J$46)</f>
        <v>186.17083045448237</v>
      </c>
      <c r="P17" s="120">
        <f>P32*(1+'Escalators &amp; overheads'!$J$28)*(1+'Escalators &amp; overheads'!$J$29)*(1+'Escalators &amp; overheads'!$J$46)</f>
        <v>187.91807134443647</v>
      </c>
      <c r="Q17" s="120">
        <f>Q32*(1+'Escalators &amp; overheads'!$J$28)*(1+'Escalators &amp; overheads'!$J$29)*(1+'Escalators &amp; overheads'!$J$46)</f>
        <v>189.23199991945796</v>
      </c>
      <c r="S17" s="20">
        <f t="shared" ref="S17:S25" si="13">K17-C17</f>
        <v>50.136933018173494</v>
      </c>
      <c r="T17" s="20">
        <f t="shared" ref="T17:T25" si="14">L17-D17</f>
        <v>50.593179108638878</v>
      </c>
      <c r="U17" s="20">
        <f t="shared" ref="U17:U25" si="15">M17-E17</f>
        <v>50.939697976430892</v>
      </c>
      <c r="V17" s="20">
        <f t="shared" ref="V17:V25" si="16">N17-F17</f>
        <v>51.379947433527292</v>
      </c>
      <c r="W17" s="20">
        <f t="shared" ref="W17:W25" si="17">O17-G17</f>
        <v>51.848630813158138</v>
      </c>
      <c r="X17" s="20">
        <f t="shared" ref="X17:X25" si="18">P17-H17</f>
        <v>52.335237912797339</v>
      </c>
      <c r="Y17" s="20">
        <f t="shared" ref="Y17:Y25" si="19">Q17-I17</f>
        <v>52.701167405805705</v>
      </c>
    </row>
    <row r="18" spans="1:25" s="269" customFormat="1">
      <c r="B18" s="269" t="s">
        <v>12</v>
      </c>
      <c r="C18" s="20">
        <f>C46*(1+'Escalators &amp; overheads'!$J$28)*(1+'Escalators &amp; overheads'!$J$29)*(1+'Escalators &amp; overheads'!$J$46)</f>
        <v>203.47959311161952</v>
      </c>
      <c r="D18" s="20">
        <f>D46*(1+'Escalators &amp; overheads'!$J$28)*(1+'Escalators &amp; overheads'!$J$29)*(1+'Escalators &amp; overheads'!$J$46)</f>
        <v>205.3312574089353</v>
      </c>
      <c r="E18" s="20">
        <f>E46*(1+'Escalators &amp; overheads'!$J$28)*(1+'Escalators &amp; overheads'!$J$29)*(1+'Escalators &amp; overheads'!$J$46)</f>
        <v>206.7375962888637</v>
      </c>
      <c r="F18" s="20">
        <f>F46*(1+'Escalators &amp; overheads'!$J$28)*(1+'Escalators &amp; overheads'!$J$29)*(1+'Escalators &amp; overheads'!$J$46)</f>
        <v>208.52433861642319</v>
      </c>
      <c r="G18" s="20">
        <f>G46*(1+'Escalators &amp; overheads'!$J$28)*(1+'Escalators &amp; overheads'!$J$29)*(1+'Escalators &amp; overheads'!$J$46)</f>
        <v>210.42647936665395</v>
      </c>
      <c r="H18" s="20">
        <f>H46*(1+'Escalators &amp; overheads'!$J$28)*(1+'Escalators &amp; overheads'!$J$29)*(1+'Escalators &amp; overheads'!$J$46)</f>
        <v>212.40136312358274</v>
      </c>
      <c r="I18" s="20">
        <f>I46*(1+'Escalators &amp; overheads'!$J$28)*(1+'Escalators &amp; overheads'!$J$29)*(1+'Escalators &amp; overheads'!$J$46)</f>
        <v>213.88647958090343</v>
      </c>
      <c r="K18" s="120">
        <f>K33*(1+'Escalators &amp; overheads'!$J$28)*(1+'Escalators &amp; overheads'!$J$29)*(1+'Escalators &amp; overheads'!$J$46)</f>
        <v>268.50784910447976</v>
      </c>
      <c r="L18" s="120">
        <f>L33*(1+'Escalators &amp; overheads'!$J$28)*(1+'Escalators &amp; overheads'!$J$29)*(1+'Escalators &amp; overheads'!$J$46)</f>
        <v>270.95127053133064</v>
      </c>
      <c r="M18" s="120">
        <f>M33*(1+'Escalators &amp; overheads'!$J$28)*(1+'Escalators &amp; overheads'!$J$29)*(1+'Escalators &amp; overheads'!$J$46)</f>
        <v>272.80704890196273</v>
      </c>
      <c r="N18" s="120">
        <f>N33*(1+'Escalators &amp; overheads'!$J$28)*(1+'Escalators &amp; overheads'!$J$29)*(1+'Escalators &amp; overheads'!$J$46)</f>
        <v>275.16480051695521</v>
      </c>
      <c r="O18" s="120">
        <f>O33*(1+'Escalators &amp; overheads'!$J$28)*(1+'Escalators &amp; overheads'!$J$29)*(1+'Escalators &amp; overheads'!$J$46)</f>
        <v>277.67482972297137</v>
      </c>
      <c r="P18" s="120">
        <f>P33*(1+'Escalators &amp; overheads'!$J$28)*(1+'Escalators &amp; overheads'!$J$29)*(1+'Escalators &amp; overheads'!$J$46)</f>
        <v>280.28084923429128</v>
      </c>
      <c r="Q18" s="120">
        <f>Q33*(1+'Escalators &amp; overheads'!$J$28)*(1+'Escalators &amp; overheads'!$J$29)*(1+'Escalators &amp; overheads'!$J$46)</f>
        <v>282.24058101636786</v>
      </c>
      <c r="S18" s="20">
        <f t="shared" si="13"/>
        <v>65.028255992860238</v>
      </c>
      <c r="T18" s="20">
        <f t="shared" si="14"/>
        <v>65.620013122395335</v>
      </c>
      <c r="U18" s="20">
        <f t="shared" si="15"/>
        <v>66.069452613099031</v>
      </c>
      <c r="V18" s="20">
        <f t="shared" si="16"/>
        <v>66.640461900532017</v>
      </c>
      <c r="W18" s="20">
        <f t="shared" si="17"/>
        <v>67.248350356317417</v>
      </c>
      <c r="X18" s="20">
        <f t="shared" si="18"/>
        <v>67.879486110708541</v>
      </c>
      <c r="Y18" s="20">
        <f t="shared" si="19"/>
        <v>68.354101435464429</v>
      </c>
    </row>
    <row r="19" spans="1:25" s="269" customFormat="1">
      <c r="B19" s="269" t="s">
        <v>17</v>
      </c>
      <c r="C19" s="20">
        <f>C47*(1+'Escalators &amp; overheads'!$J$28)*(1+'Escalators &amp; overheads'!$J$29)*(1+'Escalators &amp; overheads'!$J$46)</f>
        <v>141.08790280124629</v>
      </c>
      <c r="D19" s="20">
        <f>D47*(1+'Escalators &amp; overheads'!$J$28)*(1+'Escalators &amp; overheads'!$J$29)*(1+'Escalators &amp; overheads'!$J$46)</f>
        <v>142.37180271673765</v>
      </c>
      <c r="E19" s="20">
        <f>E47*(1+'Escalators &amp; overheads'!$J$28)*(1+'Escalators &amp; overheads'!$J$29)*(1+'Escalators &amp; overheads'!$J$46)</f>
        <v>143.34692459585457</v>
      </c>
      <c r="F19" s="20">
        <f>F47*(1+'Escalators &amp; overheads'!$J$28)*(1+'Escalators &amp; overheads'!$J$29)*(1+'Escalators &amp; overheads'!$J$46)</f>
        <v>144.58580916401519</v>
      </c>
      <c r="G19" s="20">
        <f>G47*(1+'Escalators &amp; overheads'!$J$28)*(1+'Escalators &amp; overheads'!$J$29)*(1+'Escalators &amp; overheads'!$J$46)</f>
        <v>145.90470824956444</v>
      </c>
      <c r="H19" s="20">
        <f>H47*(1+'Escalators &amp; overheads'!$J$28)*(1+'Escalators &amp; overheads'!$J$29)*(1+'Escalators &amp; overheads'!$J$46)</f>
        <v>147.27404560315588</v>
      </c>
      <c r="I19" s="20">
        <f>I47*(1+'Escalators &amp; overheads'!$J$28)*(1+'Escalators &amp; overheads'!$J$29)*(1+'Escalators &amp; overheads'!$J$46)</f>
        <v>148.30378997788566</v>
      </c>
      <c r="K19" s="120">
        <f>K34*(1+'Escalators &amp; overheads'!$J$28)*(1+'Escalators &amp; overheads'!$J$29)*(1+'Escalators &amp; overheads'!$J$46)</f>
        <v>175.04686879167929</v>
      </c>
      <c r="L19" s="120">
        <f>L34*(1+'Escalators &amp; overheads'!$J$28)*(1+'Escalators &amp; overheads'!$J$29)*(1+'Escalators &amp; overheads'!$J$46)</f>
        <v>176.63979529768361</v>
      </c>
      <c r="M19" s="120">
        <f>M34*(1+'Escalators &amp; overheads'!$J$28)*(1+'Escalators &amp; overheads'!$J$29)*(1+'Escalators &amp; overheads'!$J$46)</f>
        <v>177.84962284661336</v>
      </c>
      <c r="N19" s="120">
        <f>N34*(1+'Escalators &amp; overheads'!$J$28)*(1+'Escalators &amp; overheads'!$J$29)*(1+'Escalators &amp; overheads'!$J$46)</f>
        <v>179.3866990958532</v>
      </c>
      <c r="O19" s="120">
        <f>O34*(1+'Escalators &amp; overheads'!$J$28)*(1+'Escalators &amp; overheads'!$J$29)*(1+'Escalators &amp; overheads'!$J$46)</f>
        <v>181.02304885082006</v>
      </c>
      <c r="P19" s="120">
        <f>P34*(1+'Escalators &amp; overheads'!$J$28)*(1+'Escalators &amp; overheads'!$J$29)*(1+'Escalators &amp; overheads'!$J$46)</f>
        <v>182.72197704598457</v>
      </c>
      <c r="Q19" s="120">
        <f>Q34*(1+'Escalators &amp; overheads'!$J$28)*(1+'Escalators &amp; overheads'!$J$29)*(1+'Escalators &amp; overheads'!$J$46)</f>
        <v>183.99957437979867</v>
      </c>
      <c r="S19" s="20">
        <f t="shared" si="13"/>
        <v>33.958965990433001</v>
      </c>
      <c r="T19" s="20">
        <f t="shared" si="14"/>
        <v>34.267992580945958</v>
      </c>
      <c r="U19" s="20">
        <f t="shared" si="15"/>
        <v>34.502698250758783</v>
      </c>
      <c r="V19" s="20">
        <f t="shared" si="16"/>
        <v>34.800889931838014</v>
      </c>
      <c r="W19" s="20">
        <f t="shared" si="17"/>
        <v>35.118340601255625</v>
      </c>
      <c r="X19" s="20">
        <f t="shared" si="18"/>
        <v>35.44793144282869</v>
      </c>
      <c r="Y19" s="20">
        <f t="shared" si="19"/>
        <v>35.695784401913016</v>
      </c>
    </row>
    <row r="20" spans="1:25" s="269" customFormat="1">
      <c r="B20" s="269" t="s">
        <v>18</v>
      </c>
      <c r="C20" s="20">
        <f>C48*(1+'Escalators &amp; overheads'!$J$28)*(1+'Escalators &amp; overheads'!$J$29)*(1+'Escalators &amp; overheads'!$J$46)</f>
        <v>172.26265543097301</v>
      </c>
      <c r="D20" s="20">
        <f>D48*(1+'Escalators &amp; overheads'!$J$28)*(1+'Escalators &amp; overheads'!$J$29)*(1+'Escalators &amp; overheads'!$J$46)</f>
        <v>173.8302455953949</v>
      </c>
      <c r="E20" s="20">
        <f>E48*(1+'Escalators &amp; overheads'!$J$28)*(1+'Escalators &amp; overheads'!$J$29)*(1+'Escalators &amp; overheads'!$J$46)</f>
        <v>175.02083019499838</v>
      </c>
      <c r="F20" s="20">
        <f>F48*(1+'Escalators &amp; overheads'!$J$28)*(1+'Escalators &amp; overheads'!$J$29)*(1+'Escalators &amp; overheads'!$J$46)</f>
        <v>176.53345843063417</v>
      </c>
      <c r="G20" s="20">
        <f>G48*(1+'Escalators &amp; overheads'!$J$28)*(1+'Escalators &amp; overheads'!$J$29)*(1+'Escalators &amp; overheads'!$J$46)</f>
        <v>178.14378117419537</v>
      </c>
      <c r="H20" s="20">
        <f>H48*(1+'Escalators &amp; overheads'!$J$28)*(1+'Escalators &amp; overheads'!$J$29)*(1+'Escalators &amp; overheads'!$J$46)</f>
        <v>179.81568701464707</v>
      </c>
      <c r="I20" s="20">
        <f>I48*(1+'Escalators &amp; overheads'!$J$28)*(1+'Escalators &amp; overheads'!$J$29)*(1+'Escalators &amp; overheads'!$J$46)</f>
        <v>181.07296348473497</v>
      </c>
      <c r="K20" s="120">
        <f>K35*(1+'Escalators &amp; overheads'!$J$28)*(1+'Escalators &amp; overheads'!$J$29)*(1+'Escalators &amp; overheads'!$J$46)</f>
        <v>223.28547451846217</v>
      </c>
      <c r="L20" s="120">
        <f>L35*(1+'Escalators &amp; overheads'!$J$28)*(1+'Escalators &amp; overheads'!$J$29)*(1+'Escalators &amp; overheads'!$J$46)</f>
        <v>225.31737233658015</v>
      </c>
      <c r="M20" s="120">
        <f>M35*(1+'Escalators &amp; overheads'!$J$28)*(1+'Escalators &amp; overheads'!$J$29)*(1+'Escalators &amp; overheads'!$J$46)</f>
        <v>226.86059856057955</v>
      </c>
      <c r="N20" s="120">
        <f>N35*(1+'Escalators &amp; overheads'!$J$28)*(1+'Escalators &amp; overheads'!$J$29)*(1+'Escalators &amp; overheads'!$J$46)</f>
        <v>228.82125516673116</v>
      </c>
      <c r="O20" s="120">
        <f>O35*(1+'Escalators &amp; overheads'!$J$28)*(1+'Escalators &amp; overheads'!$J$29)*(1+'Escalators &amp; overheads'!$J$46)</f>
        <v>230.90854261173411</v>
      </c>
      <c r="P20" s="120">
        <f>P35*(1+'Escalators &amp; overheads'!$J$28)*(1+'Escalators &amp; overheads'!$J$29)*(1+'Escalators &amp; overheads'!$J$46)</f>
        <v>233.07565357377908</v>
      </c>
      <c r="Q20" s="120">
        <f>Q35*(1+'Escalators &amp; overheads'!$J$28)*(1+'Escalators &amp; overheads'!$J$29)*(1+'Escalators &amp; overheads'!$J$46)</f>
        <v>234.70532526624271</v>
      </c>
      <c r="S20" s="20">
        <f t="shared" si="13"/>
        <v>51.022819087489154</v>
      </c>
      <c r="T20" s="20">
        <f t="shared" si="14"/>
        <v>51.48712674118525</v>
      </c>
      <c r="U20" s="20">
        <f t="shared" si="15"/>
        <v>51.839768365581165</v>
      </c>
      <c r="V20" s="20">
        <f t="shared" si="16"/>
        <v>52.287796736096993</v>
      </c>
      <c r="W20" s="20">
        <f t="shared" si="17"/>
        <v>52.764761437538738</v>
      </c>
      <c r="X20" s="20">
        <f t="shared" si="18"/>
        <v>53.25996655913201</v>
      </c>
      <c r="Y20" s="20">
        <f t="shared" si="19"/>
        <v>53.63236178150774</v>
      </c>
    </row>
    <row r="21" spans="1:25" s="269" customFormat="1">
      <c r="B21" s="269" t="s">
        <v>19</v>
      </c>
      <c r="C21" s="20">
        <f>C49*(1+'Escalators &amp; overheads'!$J$28)*(1+'Escalators &amp; overheads'!$J$29)*(1+'Escalators &amp; overheads'!$J$46)</f>
        <v>159.81806540963422</v>
      </c>
      <c r="D21" s="20">
        <f>D49*(1+'Escalators &amp; overheads'!$J$28)*(1+'Escalators &amp; overheads'!$J$29)*(1+'Escalators &amp; overheads'!$J$46)</f>
        <v>161.27240980486189</v>
      </c>
      <c r="E21" s="20">
        <f>E49*(1+'Escalators &amp; overheads'!$J$28)*(1+'Escalators &amp; overheads'!$J$29)*(1+'Escalators &amp; overheads'!$J$46)</f>
        <v>162.37698425217371</v>
      </c>
      <c r="F21" s="20">
        <f>F49*(1+'Escalators &amp; overheads'!$J$28)*(1+'Escalators &amp; overheads'!$J$29)*(1+'Escalators &amp; overheads'!$J$46)</f>
        <v>163.78033727548859</v>
      </c>
      <c r="G21" s="20">
        <f>G49*(1+'Escalators &amp; overheads'!$J$28)*(1+'Escalators &amp; overheads'!$J$29)*(1+'Escalators &amp; overheads'!$J$46)</f>
        <v>165.27432716503958</v>
      </c>
      <c r="H21" s="20">
        <f>H49*(1+'Escalators &amp; overheads'!$J$28)*(1+'Escalators &amp; overheads'!$J$29)*(1+'Escalators &amp; overheads'!$J$46)</f>
        <v>166.8254512685173</v>
      </c>
      <c r="I21" s="20">
        <f>I49*(1+'Escalators &amp; overheads'!$J$28)*(1+'Escalators &amp; overheads'!$J$29)*(1+'Escalators &amp; overheads'!$J$46)</f>
        <v>167.99189963558672</v>
      </c>
      <c r="K21" s="120">
        <f>K36*(1+'Escalators &amp; overheads'!$J$28)*(1+'Escalators &amp; overheads'!$J$29)*(1+'Escalators &amp; overheads'!$J$46)</f>
        <v>202.61479956776381</v>
      </c>
      <c r="L21" s="120">
        <f>L36*(1+'Escalators &amp; overheads'!$J$28)*(1+'Escalators &amp; overheads'!$J$29)*(1+'Escalators &amp; overheads'!$J$46)</f>
        <v>204.45859424383045</v>
      </c>
      <c r="M21" s="120">
        <f>M36*(1+'Escalators &amp; overheads'!$J$28)*(1+'Escalators &amp; overheads'!$J$29)*(1+'Escalators &amp; overheads'!$J$46)</f>
        <v>205.85895614707414</v>
      </c>
      <c r="N21" s="120">
        <f>N36*(1+'Escalators &amp; overheads'!$J$28)*(1+'Escalators &amp; overheads'!$J$29)*(1+'Escalators &amp; overheads'!$J$46)</f>
        <v>207.6381047734385</v>
      </c>
      <c r="O21" s="120">
        <f>O36*(1+'Escalators &amp; overheads'!$J$28)*(1+'Escalators &amp; overheads'!$J$29)*(1+'Escalators &amp; overheads'!$J$46)</f>
        <v>209.53216137618719</v>
      </c>
      <c r="P21" s="120">
        <f>P36*(1+'Escalators &amp; overheads'!$J$28)*(1+'Escalators &amp; overheads'!$J$29)*(1+'Escalators &amp; overheads'!$J$46)</f>
        <v>211.49865182597034</v>
      </c>
      <c r="Q21" s="120">
        <f>Q36*(1+'Escalators &amp; overheads'!$J$28)*(1+'Escalators &amp; overheads'!$J$29)*(1+'Escalators &amp; overheads'!$J$46)</f>
        <v>212.97745649986092</v>
      </c>
      <c r="S21" s="20">
        <f t="shared" si="13"/>
        <v>42.796734158129595</v>
      </c>
      <c r="T21" s="20">
        <f t="shared" si="14"/>
        <v>43.186184438968553</v>
      </c>
      <c r="U21" s="20">
        <f t="shared" si="15"/>
        <v>43.481971894900425</v>
      </c>
      <c r="V21" s="20">
        <f t="shared" si="16"/>
        <v>43.857767497949908</v>
      </c>
      <c r="W21" s="20">
        <f t="shared" si="17"/>
        <v>44.25783421114761</v>
      </c>
      <c r="X21" s="20">
        <f t="shared" si="18"/>
        <v>44.673200557453043</v>
      </c>
      <c r="Y21" s="20">
        <f t="shared" si="19"/>
        <v>44.985556864274201</v>
      </c>
    </row>
    <row r="22" spans="1:25" s="269" customFormat="1">
      <c r="B22" s="269" t="s">
        <v>20</v>
      </c>
      <c r="C22" s="20">
        <f>C50*(1+'Escalators &amp; overheads'!$J$28)*(1+'Escalators &amp; overheads'!$J$29)*(1+'Escalators &amp; overheads'!$J$46)</f>
        <v>190.73970773384215</v>
      </c>
      <c r="D22" s="20">
        <f>D50*(1+'Escalators &amp; overheads'!$J$28)*(1+'Escalators &amp; overheads'!$J$29)*(1+'Escalators &amp; overheads'!$J$46)</f>
        <v>192.47543907422019</v>
      </c>
      <c r="E22" s="20">
        <f>E50*(1+'Escalators &amp; overheads'!$J$28)*(1+'Escalators &amp; overheads'!$J$29)*(1+'Escalators &amp; overheads'!$J$46)</f>
        <v>193.79372688298892</v>
      </c>
      <c r="F22" s="20">
        <f>F50*(1+'Escalators &amp; overheads'!$J$28)*(1+'Escalators &amp; overheads'!$J$29)*(1+'Escalators &amp; overheads'!$J$46)</f>
        <v>195.46860102708769</v>
      </c>
      <c r="G22" s="20">
        <f>G50*(1+'Escalators &amp; overheads'!$J$28)*(1+'Escalators &amp; overheads'!$J$29)*(1+'Escalators &amp; overheads'!$J$46)</f>
        <v>197.25164848270467</v>
      </c>
      <c r="H22" s="20">
        <f>H50*(1+'Escalators &amp; overheads'!$J$28)*(1+'Escalators &amp; overheads'!$J$29)*(1+'Escalators &amp; overheads'!$J$46)</f>
        <v>199.1028844953415</v>
      </c>
      <c r="I22" s="20">
        <f>I50*(1+'Escalators &amp; overheads'!$J$28)*(1+'Escalators &amp; overheads'!$J$29)*(1+'Escalators &amp; overheads'!$J$46)</f>
        <v>200.4950176065212</v>
      </c>
      <c r="K22" s="120">
        <f>K37*(1+'Escalators &amp; overheads'!$J$28)*(1+'Escalators &amp; overheads'!$J$29)*(1+'Escalators &amp; overheads'!$J$46)</f>
        <v>248.21683961205954</v>
      </c>
      <c r="L22" s="120">
        <f>L37*(1+'Escalators &amp; overheads'!$J$28)*(1+'Escalators &amp; overheads'!$J$29)*(1+'Escalators &amp; overheads'!$J$46)</f>
        <v>250.47561285252937</v>
      </c>
      <c r="M22" s="120">
        <f>M37*(1+'Escalators &amp; overheads'!$J$28)*(1+'Escalators &amp; overheads'!$J$29)*(1+'Escalators &amp; overheads'!$J$46)</f>
        <v>252.19115094095031</v>
      </c>
      <c r="N22" s="120">
        <f>N37*(1+'Escalators &amp; overheads'!$J$28)*(1+'Escalators &amp; overheads'!$J$29)*(1+'Escalators &amp; overheads'!$J$46)</f>
        <v>254.37072839619239</v>
      </c>
      <c r="O22" s="120">
        <f>O37*(1+'Escalators &amp; overheads'!$J$28)*(1+'Escalators &amp; overheads'!$J$29)*(1+'Escalators &amp; overheads'!$J$46)</f>
        <v>256.69107589787336</v>
      </c>
      <c r="P22" s="120">
        <f>P37*(1+'Escalators &amp; overheads'!$J$28)*(1+'Escalators &amp; overheads'!$J$29)*(1+'Escalators &amp; overheads'!$J$46)</f>
        <v>259.10015976348319</v>
      </c>
      <c r="Q22" s="120">
        <f>Q37*(1+'Escalators &amp; overheads'!$J$28)*(1+'Escalators &amp; overheads'!$J$29)*(1+'Escalators &amp; overheads'!$J$46)</f>
        <v>260.91179555385844</v>
      </c>
      <c r="S22" s="20">
        <f t="shared" si="13"/>
        <v>57.477131878217392</v>
      </c>
      <c r="T22" s="20">
        <f t="shared" si="14"/>
        <v>58.000173778309176</v>
      </c>
      <c r="U22" s="20">
        <f t="shared" si="15"/>
        <v>58.397424057961388</v>
      </c>
      <c r="V22" s="20">
        <f t="shared" si="16"/>
        <v>58.902127369104704</v>
      </c>
      <c r="W22" s="20">
        <f t="shared" si="17"/>
        <v>59.439427415168694</v>
      </c>
      <c r="X22" s="20">
        <f t="shared" si="18"/>
        <v>59.997275268141692</v>
      </c>
      <c r="Y22" s="20">
        <f t="shared" si="19"/>
        <v>60.416777947337238</v>
      </c>
    </row>
    <row r="23" spans="1:25" s="269" customFormat="1">
      <c r="B23" s="269" t="s">
        <v>21</v>
      </c>
      <c r="C23" s="20">
        <f>C51*(1+'Escalators &amp; overheads'!$J$28)*(1+'Escalators &amp; overheads'!$J$29)*(1+'Escalators &amp; overheads'!$J$46)</f>
        <v>186.58448021824256</v>
      </c>
      <c r="D23" s="20">
        <f>D51*(1+'Escalators &amp; overheads'!$J$28)*(1+'Escalators &amp; overheads'!$J$29)*(1+'Escalators &amp; overheads'!$J$46)</f>
        <v>188.28239898822861</v>
      </c>
      <c r="E23" s="20">
        <f>E51*(1+'Escalators &amp; overheads'!$J$28)*(1+'Escalators &amp; overheads'!$J$29)*(1+'Escalators &amp; overheads'!$J$46)</f>
        <v>189.57196815292713</v>
      </c>
      <c r="F23" s="20">
        <f>F51*(1+'Escalators &amp; overheads'!$J$28)*(1+'Escalators &amp; overheads'!$J$29)*(1+'Escalators &amp; overheads'!$J$46)</f>
        <v>191.21035548884416</v>
      </c>
      <c r="G23" s="20">
        <f>G51*(1+'Escalators &amp; overheads'!$J$28)*(1+'Escalators &amp; overheads'!$J$29)*(1+'Escalators &amp; overheads'!$J$46)</f>
        <v>192.9545596016815</v>
      </c>
      <c r="H23" s="20">
        <f>H51*(1+'Escalators &amp; overheads'!$J$28)*(1+'Escalators &amp; overheads'!$J$29)*(1+'Escalators &amp; overheads'!$J$46)</f>
        <v>194.7654667970574</v>
      </c>
      <c r="I23" s="20">
        <f>I51*(1+'Escalators &amp; overheads'!$J$28)*(1+'Escalators &amp; overheads'!$J$29)*(1+'Escalators &amp; overheads'!$J$46)</f>
        <v>196.12727255858522</v>
      </c>
      <c r="K23" s="120">
        <f>K38*(1+'Escalators &amp; overheads'!$J$28)*(1+'Escalators &amp; overheads'!$J$29)*(1+'Escalators &amp; overheads'!$J$46)</f>
        <v>237.14326374561404</v>
      </c>
      <c r="L23" s="120">
        <f>L38*(1+'Escalators &amp; overheads'!$J$28)*(1+'Escalators &amp; overheads'!$J$29)*(1+'Escalators &amp; overheads'!$J$46)</f>
        <v>239.30126744569915</v>
      </c>
      <c r="M23" s="120">
        <f>M38*(1+'Escalators &amp; overheads'!$J$28)*(1+'Escalators &amp; overheads'!$J$29)*(1+'Escalators &amp; overheads'!$J$46)</f>
        <v>240.94027107657246</v>
      </c>
      <c r="N23" s="120">
        <f>N38*(1+'Escalators &amp; overheads'!$J$28)*(1+'Escalators &amp; overheads'!$J$29)*(1+'Escalators &amp; overheads'!$J$46)</f>
        <v>243.02261211407131</v>
      </c>
      <c r="O23" s="120">
        <f>O38*(1+'Escalators &amp; overheads'!$J$28)*(1+'Escalators &amp; overheads'!$J$29)*(1+'Escalators &amp; overheads'!$J$46)</f>
        <v>245.23944309311608</v>
      </c>
      <c r="P23" s="120">
        <f>P38*(1+'Escalators &amp; overheads'!$J$28)*(1+'Escalators &amp; overheads'!$J$29)*(1+'Escalators &amp; overheads'!$J$46)</f>
        <v>247.54105168429987</v>
      </c>
      <c r="Q23" s="120">
        <f>Q38*(1+'Escalators &amp; overheads'!$J$28)*(1+'Escalators &amp; overheads'!$J$29)*(1+'Escalators &amp; overheads'!$J$46)</f>
        <v>249.27186585758241</v>
      </c>
      <c r="S23" s="20">
        <f t="shared" si="13"/>
        <v>50.558783527371475</v>
      </c>
      <c r="T23" s="20">
        <f t="shared" si="14"/>
        <v>51.018868457470546</v>
      </c>
      <c r="U23" s="20">
        <f t="shared" si="15"/>
        <v>51.368302923645331</v>
      </c>
      <c r="V23" s="20">
        <f t="shared" si="16"/>
        <v>51.81225662522715</v>
      </c>
      <c r="W23" s="20">
        <f t="shared" si="17"/>
        <v>52.284883491434584</v>
      </c>
      <c r="X23" s="20">
        <f t="shared" si="18"/>
        <v>52.775584887242474</v>
      </c>
      <c r="Y23" s="20">
        <f t="shared" si="19"/>
        <v>53.144593298997194</v>
      </c>
    </row>
    <row r="24" spans="1:25" s="269" customFormat="1">
      <c r="B24" s="269" t="s">
        <v>22</v>
      </c>
      <c r="C24" s="20">
        <f>C52*(1+'Escalators &amp; overheads'!$J$28)*(1+'Escalators &amp; overheads'!$J$29)*(1+'Escalators &amp; overheads'!$J$46)</f>
        <v>105.35716467218198</v>
      </c>
      <c r="D24" s="20">
        <f>D52*(1+'Escalators &amp; overheads'!$J$28)*(1+'Escalators &amp; overheads'!$J$29)*(1+'Escalators &amp; overheads'!$J$46)</f>
        <v>106.31591487069885</v>
      </c>
      <c r="E24" s="20">
        <f>E52*(1+'Escalators &amp; overheads'!$J$28)*(1+'Escalators &amp; overheads'!$J$29)*(1+'Escalators &amp; overheads'!$J$46)</f>
        <v>107.04408556679527</v>
      </c>
      <c r="F24" s="20">
        <f>F52*(1+'Escalators &amp; overheads'!$J$28)*(1+'Escalators &amp; overheads'!$J$29)*(1+'Escalators &amp; overheads'!$J$46)</f>
        <v>107.96922062703781</v>
      </c>
      <c r="G24" s="20">
        <f>G52*(1+'Escalators &amp; overheads'!$J$28)*(1+'Escalators &amp; overheads'!$J$29)*(1+'Escalators &amp; overheads'!$J$46)</f>
        <v>108.9541063995477</v>
      </c>
      <c r="H24" s="20">
        <f>H52*(1+'Escalators &amp; overheads'!$J$28)*(1+'Escalators &amp; overheads'!$J$29)*(1+'Escalators &amp; overheads'!$J$46)</f>
        <v>109.97665686765791</v>
      </c>
      <c r="I24" s="20">
        <f>I52*(1+'Escalators &amp; overheads'!$J$28)*(1+'Escalators &amp; overheads'!$J$29)*(1+'Escalators &amp; overheads'!$J$46)</f>
        <v>110.74561682456854</v>
      </c>
      <c r="K24" s="120">
        <f>K39*(1+'Escalators &amp; overheads'!$J$28)*(1+'Escalators &amp; overheads'!$J$29)*(1+'Escalators &amp; overheads'!$J$46)</f>
        <v>141.17227290308588</v>
      </c>
      <c r="L24" s="120">
        <f>L39*(1+'Escalators &amp; overheads'!$J$28)*(1+'Escalators &amp; overheads'!$J$29)*(1+'Escalators &amp; overheads'!$J$46)</f>
        <v>142.456940586504</v>
      </c>
      <c r="M24" s="120">
        <f>M39*(1+'Escalators &amp; overheads'!$J$28)*(1+'Escalators &amp; overheads'!$J$29)*(1+'Escalators &amp; overheads'!$J$46)</f>
        <v>143.43264558529745</v>
      </c>
      <c r="N24" s="120">
        <f>N39*(1+'Escalators &amp; overheads'!$J$28)*(1+'Escalators &amp; overheads'!$J$29)*(1+'Escalators &amp; overheads'!$J$46)</f>
        <v>144.67227100235516</v>
      </c>
      <c r="O24" s="120">
        <f>O39*(1+'Escalators &amp; overheads'!$J$28)*(1+'Escalators &amp; overheads'!$J$29)*(1+'Escalators &amp; overheads'!$J$46)</f>
        <v>145.99195878521977</v>
      </c>
      <c r="P24" s="120">
        <f>P39*(1+'Escalators &amp; overheads'!$J$28)*(1+'Escalators &amp; overheads'!$J$29)*(1+'Escalators &amp; overheads'!$J$46)</f>
        <v>147.36211499804494</v>
      </c>
      <c r="Q24" s="120">
        <f>Q39*(1+'Escalators &amp; overheads'!$J$28)*(1+'Escalators &amp; overheads'!$J$29)*(1+'Escalators &amp; overheads'!$J$46)</f>
        <v>148.392475156524</v>
      </c>
      <c r="S24" s="20">
        <f t="shared" si="13"/>
        <v>35.815108230903903</v>
      </c>
      <c r="T24" s="20">
        <f t="shared" si="14"/>
        <v>36.141025715805156</v>
      </c>
      <c r="U24" s="20">
        <f t="shared" si="15"/>
        <v>36.388560018502176</v>
      </c>
      <c r="V24" s="20">
        <f t="shared" si="16"/>
        <v>36.703050375317346</v>
      </c>
      <c r="W24" s="20">
        <f t="shared" si="17"/>
        <v>37.037852385672068</v>
      </c>
      <c r="X24" s="20">
        <f t="shared" si="18"/>
        <v>37.385458130387036</v>
      </c>
      <c r="Y24" s="20">
        <f t="shared" si="19"/>
        <v>37.646858331955457</v>
      </c>
    </row>
    <row r="25" spans="1:25" s="269" customFormat="1">
      <c r="B25" s="269" t="s">
        <v>23</v>
      </c>
      <c r="C25" s="20">
        <f>C53*(1+'Escalators &amp; overheads'!$J$28)*(1+'Escalators &amp; overheads'!$J$29)*(1+'Escalators &amp; overheads'!$J$46)</f>
        <v>228.60079093435601</v>
      </c>
      <c r="D25" s="20">
        <f>D53*(1+'Escalators &amp; overheads'!$J$28)*(1+'Escalators &amp; overheads'!$J$29)*(1+'Escalators &amp; overheads'!$J$46)</f>
        <v>230.68105813185866</v>
      </c>
      <c r="E25" s="20">
        <f>E53*(1+'Escalators &amp; overheads'!$J$28)*(1+'Escalators &amp; overheads'!$J$29)*(1+'Escalators &amp; overheads'!$J$46)</f>
        <v>232.26102089548087</v>
      </c>
      <c r="F25" s="20">
        <f>F53*(1+'Escalators &amp; overheads'!$J$28)*(1+'Escalators &amp; overheads'!$J$29)*(1+'Escalators &amp; overheads'!$J$46)</f>
        <v>234.26835098214929</v>
      </c>
      <c r="G25" s="20">
        <f>G53*(1+'Escalators &amp; overheads'!$J$28)*(1+'Escalators &amp; overheads'!$J$29)*(1+'Escalators &amp; overheads'!$J$46)</f>
        <v>236.40532635801756</v>
      </c>
      <c r="H25" s="20">
        <f>H53*(1+'Escalators &amp; overheads'!$J$28)*(1+'Escalators &amp; overheads'!$J$29)*(1+'Escalators &amp; overheads'!$J$46)</f>
        <v>238.62402545178702</v>
      </c>
      <c r="I25" s="20">
        <f>I53*(1+'Escalators &amp; overheads'!$J$28)*(1+'Escalators &amp; overheads'!$J$29)*(1+'Escalators &amp; overheads'!$J$46)</f>
        <v>240.29249152045514</v>
      </c>
      <c r="K25" s="120">
        <f>K40*(1+'Escalators &amp; overheads'!$J$28)*(1+'Escalators &amp; overheads'!$J$29)*(1+'Escalators &amp; overheads'!$J$46)</f>
        <v>309.17423819115987</v>
      </c>
      <c r="L25" s="120">
        <f>L40*(1+'Escalators &amp; overheads'!$J$28)*(1+'Escalators &amp; overheads'!$J$29)*(1+'Escalators &amp; overheads'!$J$46)</f>
        <v>311.98772375869953</v>
      </c>
      <c r="M25" s="120">
        <f>M40*(1+'Escalators &amp; overheads'!$J$28)*(1+'Escalators &amp; overheads'!$J$29)*(1+'Escalators &amp; overheads'!$J$46)</f>
        <v>314.12456581343048</v>
      </c>
      <c r="N25" s="120">
        <f>N40*(1+'Escalators &amp; overheads'!$J$28)*(1+'Escalators &amp; overheads'!$J$29)*(1+'Escalators &amp; overheads'!$J$46)</f>
        <v>316.83940659682094</v>
      </c>
      <c r="O25" s="120">
        <f>O40*(1+'Escalators &amp; overheads'!$J$28)*(1+'Escalators &amp; overheads'!$J$29)*(1+'Escalators &amp; overheads'!$J$46)</f>
        <v>319.72958790882285</v>
      </c>
      <c r="P25" s="120">
        <f>P40*(1+'Escalators &amp; overheads'!$J$28)*(1+'Escalators &amp; overheads'!$J$29)*(1+'Escalators &amp; overheads'!$J$46)</f>
        <v>322.73029757079678</v>
      </c>
      <c r="Q25" s="120">
        <f>Q40*(1+'Escalators &amp; overheads'!$J$28)*(1+'Escalators &amp; overheads'!$J$29)*(1+'Escalators &amp; overheads'!$J$46)</f>
        <v>324.9868371200252</v>
      </c>
      <c r="S25" s="20">
        <f t="shared" si="13"/>
        <v>80.57344725680386</v>
      </c>
      <c r="T25" s="20">
        <f t="shared" si="14"/>
        <v>81.306665626840868</v>
      </c>
      <c r="U25" s="20">
        <f t="shared" si="15"/>
        <v>81.863544917949611</v>
      </c>
      <c r="V25" s="20">
        <f t="shared" si="16"/>
        <v>82.57105561467165</v>
      </c>
      <c r="W25" s="20">
        <f t="shared" si="17"/>
        <v>83.324261550805289</v>
      </c>
      <c r="X25" s="20">
        <f t="shared" si="18"/>
        <v>84.106272119009759</v>
      </c>
      <c r="Y25" s="20">
        <f t="shared" si="19"/>
        <v>84.694345599570056</v>
      </c>
    </row>
    <row r="26" spans="1:25" s="269" customFormat="1"/>
    <row r="27" spans="1:25" s="269" customFormat="1">
      <c r="B27" s="269" t="s">
        <v>32</v>
      </c>
      <c r="C27" s="20">
        <f>AVERAGE(C19,C20)</f>
        <v>156.67527911610966</v>
      </c>
      <c r="D27" s="20">
        <f>AVERAGE(D19,D20)</f>
        <v>158.10102415606627</v>
      </c>
      <c r="E27" s="20">
        <f t="shared" ref="E27:I27" si="20">AVERAGE(E19,E20)</f>
        <v>159.18387739542646</v>
      </c>
      <c r="F27" s="20">
        <f t="shared" si="20"/>
        <v>160.55963379732469</v>
      </c>
      <c r="G27" s="20">
        <f t="shared" si="20"/>
        <v>162.0242447118799</v>
      </c>
      <c r="H27" s="20">
        <f t="shared" si="20"/>
        <v>163.54486630890148</v>
      </c>
      <c r="I27" s="20">
        <f t="shared" si="20"/>
        <v>164.68837673131031</v>
      </c>
      <c r="K27" s="20">
        <f>AVERAGE(K19,K20)</f>
        <v>199.16617165507074</v>
      </c>
      <c r="L27" s="20">
        <f t="shared" ref="L27:Q27" si="21">AVERAGE(L19,L20)</f>
        <v>200.97858381713189</v>
      </c>
      <c r="M27" s="20">
        <f t="shared" si="21"/>
        <v>202.35511070359644</v>
      </c>
      <c r="N27" s="20">
        <f t="shared" si="21"/>
        <v>204.1039771312922</v>
      </c>
      <c r="O27" s="20">
        <f t="shared" si="21"/>
        <v>205.96579573127707</v>
      </c>
      <c r="P27" s="20">
        <f t="shared" si="21"/>
        <v>207.89881530988183</v>
      </c>
      <c r="Q27" s="20">
        <f t="shared" si="21"/>
        <v>209.35244982302069</v>
      </c>
      <c r="S27" s="20">
        <f t="shared" ref="S27:Y28" si="22">K27-C27</f>
        <v>42.490892538961077</v>
      </c>
      <c r="T27" s="20">
        <f t="shared" si="22"/>
        <v>42.877559661065618</v>
      </c>
      <c r="U27" s="20">
        <f t="shared" si="22"/>
        <v>43.171233308169974</v>
      </c>
      <c r="V27" s="20">
        <f t="shared" si="22"/>
        <v>43.544343333967504</v>
      </c>
      <c r="W27" s="20">
        <f t="shared" si="22"/>
        <v>43.941551019397167</v>
      </c>
      <c r="X27" s="20">
        <f t="shared" si="22"/>
        <v>44.35394900098035</v>
      </c>
      <c r="Y27" s="20">
        <f t="shared" si="22"/>
        <v>44.664073091710378</v>
      </c>
    </row>
    <row r="28" spans="1:25" s="269" customFormat="1">
      <c r="B28" s="269" t="s">
        <v>33</v>
      </c>
      <c r="C28" s="20">
        <f>AVERAGE(C17,C19,C20)</f>
        <v>147.74611000475355</v>
      </c>
      <c r="D28" s="20">
        <f t="shared" ref="D28:I28" si="23">AVERAGE(D17,D19,D20)</f>
        <v>149.09059960579683</v>
      </c>
      <c r="E28" s="20">
        <f t="shared" si="23"/>
        <v>150.11173934605512</v>
      </c>
      <c r="F28" s="20">
        <f t="shared" si="23"/>
        <v>151.40908923967785</v>
      </c>
      <c r="G28" s="20">
        <f t="shared" si="23"/>
        <v>152.79022968836136</v>
      </c>
      <c r="H28" s="20">
        <f t="shared" si="23"/>
        <v>154.22418868314739</v>
      </c>
      <c r="I28" s="20">
        <f t="shared" si="23"/>
        <v>155.30252865875764</v>
      </c>
      <c r="K28" s="20">
        <f>AVERAGE(K17,K19,K20)</f>
        <v>192.78568270345207</v>
      </c>
      <c r="L28" s="20">
        <f t="shared" ref="L28:P28" si="24">AVERAGE(L17,L19,L20)</f>
        <v>194.54003241605355</v>
      </c>
      <c r="M28" s="20">
        <f t="shared" si="24"/>
        <v>195.87246087697872</v>
      </c>
      <c r="N28" s="20">
        <f t="shared" si="24"/>
        <v>197.56530060683193</v>
      </c>
      <c r="O28" s="20">
        <f t="shared" si="24"/>
        <v>199.36747397234549</v>
      </c>
      <c r="P28" s="20">
        <f t="shared" si="24"/>
        <v>201.23856732140004</v>
      </c>
      <c r="Q28" s="20">
        <f>AVERAGE(Q17,Q19,Q20)</f>
        <v>202.64563318849977</v>
      </c>
      <c r="S28" s="20">
        <f t="shared" si="22"/>
        <v>45.039572698698521</v>
      </c>
      <c r="T28" s="20">
        <f t="shared" si="22"/>
        <v>45.449432810256724</v>
      </c>
      <c r="U28" s="20">
        <f t="shared" si="22"/>
        <v>45.760721530923604</v>
      </c>
      <c r="V28" s="20">
        <f t="shared" si="22"/>
        <v>46.156211367154071</v>
      </c>
      <c r="W28" s="20">
        <f t="shared" si="22"/>
        <v>46.577244283984129</v>
      </c>
      <c r="X28" s="20">
        <f t="shared" si="22"/>
        <v>47.014378638252651</v>
      </c>
      <c r="Y28" s="20">
        <f t="shared" si="22"/>
        <v>47.343104529742135</v>
      </c>
    </row>
    <row r="29" spans="1:25" s="269" customFormat="1"/>
    <row r="30" spans="1:25">
      <c r="A30" s="34"/>
      <c r="B30" s="34"/>
      <c r="C30" s="35" t="s">
        <v>7</v>
      </c>
      <c r="D30" s="35"/>
      <c r="E30" s="34"/>
      <c r="F30" s="34"/>
      <c r="G30" s="34"/>
      <c r="H30" s="34"/>
      <c r="I30" s="34"/>
      <c r="J30" s="3"/>
      <c r="K30" s="35" t="s">
        <v>8</v>
      </c>
      <c r="L30" s="35"/>
      <c r="M30" s="34"/>
      <c r="N30" s="34"/>
      <c r="O30" s="34"/>
      <c r="P30" s="34"/>
      <c r="Q30" s="34"/>
      <c r="S30" s="35" t="s">
        <v>1135</v>
      </c>
      <c r="T30" s="35"/>
      <c r="U30" s="34"/>
      <c r="V30" s="34"/>
      <c r="W30" s="34"/>
      <c r="X30" s="34"/>
      <c r="Y30" s="34"/>
    </row>
    <row r="31" spans="1:25">
      <c r="A31" s="35" t="s">
        <v>31</v>
      </c>
      <c r="B31" s="35" t="s">
        <v>13</v>
      </c>
      <c r="C31" s="35" t="s">
        <v>81</v>
      </c>
      <c r="D31" s="36" t="s">
        <v>1</v>
      </c>
      <c r="E31" s="36" t="s">
        <v>2</v>
      </c>
      <c r="F31" s="36" t="s">
        <v>3</v>
      </c>
      <c r="G31" s="36" t="s">
        <v>4</v>
      </c>
      <c r="H31" s="36" t="s">
        <v>5</v>
      </c>
      <c r="I31" s="36" t="s">
        <v>6</v>
      </c>
      <c r="J31" s="3"/>
      <c r="K31" s="36" t="s">
        <v>81</v>
      </c>
      <c r="L31" s="36" t="s">
        <v>1</v>
      </c>
      <c r="M31" s="36" t="s">
        <v>2</v>
      </c>
      <c r="N31" s="36" t="s">
        <v>3</v>
      </c>
      <c r="O31" s="36" t="s">
        <v>4</v>
      </c>
      <c r="P31" s="36" t="s">
        <v>5</v>
      </c>
      <c r="Q31" s="36" t="s">
        <v>6</v>
      </c>
      <c r="S31" s="36" t="s">
        <v>81</v>
      </c>
      <c r="T31" s="36" t="s">
        <v>1</v>
      </c>
      <c r="U31" s="36" t="s">
        <v>2</v>
      </c>
      <c r="V31" s="36" t="s">
        <v>3</v>
      </c>
      <c r="W31" s="36" t="s">
        <v>4</v>
      </c>
      <c r="X31" s="36" t="s">
        <v>5</v>
      </c>
      <c r="Y31" s="36" t="s">
        <v>6</v>
      </c>
    </row>
    <row r="32" spans="1:25">
      <c r="A32" s="3" t="s">
        <v>10</v>
      </c>
      <c r="B32" s="4" t="s">
        <v>16</v>
      </c>
      <c r="C32" s="275">
        <v>64.91</v>
      </c>
      <c r="D32" s="8">
        <f>C32*(1+'Escalators &amp; overheads'!D$12)</f>
        <v>65.500681</v>
      </c>
      <c r="E32" s="8">
        <f>D32*(1+'Escalators &amp; overheads'!E$12)</f>
        <v>65.949303170411341</v>
      </c>
      <c r="F32" s="8">
        <f>E32*(1+'Escalators &amp; overheads'!F$12)</f>
        <v>66.519274058933163</v>
      </c>
      <c r="G32" s="8">
        <f>F32*(1+'Escalators &amp; overheads'!G$12)</f>
        <v>67.126057049843467</v>
      </c>
      <c r="H32" s="8">
        <f>G32*(1+'Escalators &amp; overheads'!H$12)</f>
        <v>67.756045063392961</v>
      </c>
      <c r="I32" s="8">
        <f>H32*(1+'Escalators &amp; overheads'!I$12)</f>
        <v>68.229797284785533</v>
      </c>
      <c r="K32" s="276">
        <v>85.35</v>
      </c>
      <c r="L32" s="52">
        <f>K32*(1+'Escalators &amp; overheads'!D$12)</f>
        <v>86.126685000000009</v>
      </c>
      <c r="M32" s="52">
        <f>L32*(1+'Escalators &amp; overheads'!E$12)</f>
        <v>86.716577192953451</v>
      </c>
      <c r="N32" s="52">
        <f>M32*(1+'Escalators &amp; overheads'!F$12)</f>
        <v>87.466030518101149</v>
      </c>
      <c r="O32" s="52">
        <f>N32*(1+'Escalators &amp; overheads'!G$12)</f>
        <v>88.263887986506546</v>
      </c>
      <c r="P32" s="52">
        <f>O32*(1+'Escalators &amp; overheads'!H$12)</f>
        <v>89.092257682338456</v>
      </c>
      <c r="Q32" s="52">
        <f>P32*(1+'Escalators &amp; overheads'!I$12)</f>
        <v>89.715193317769916</v>
      </c>
      <c r="S32" s="20">
        <f>K32-C32</f>
        <v>20.439999999999998</v>
      </c>
      <c r="T32" s="20">
        <f t="shared" ref="T32:Y40" si="25">L32-D32</f>
        <v>20.626004000000009</v>
      </c>
      <c r="U32" s="20">
        <f t="shared" si="25"/>
        <v>20.767274022542111</v>
      </c>
      <c r="V32" s="20">
        <f t="shared" si="25"/>
        <v>20.946756459167986</v>
      </c>
      <c r="W32" s="20">
        <f t="shared" si="25"/>
        <v>21.137830936663079</v>
      </c>
      <c r="X32" s="20">
        <f t="shared" si="25"/>
        <v>21.336212618945495</v>
      </c>
      <c r="Y32" s="20">
        <f t="shared" si="25"/>
        <v>21.485396032984383</v>
      </c>
    </row>
    <row r="33" spans="1:25">
      <c r="A33" s="3"/>
      <c r="B33" s="4" t="s">
        <v>12</v>
      </c>
      <c r="C33" s="275">
        <v>96.51</v>
      </c>
      <c r="D33" s="8">
        <f>C33*(1+'Escalators &amp; overheads'!D$12)</f>
        <v>97.388241000000022</v>
      </c>
      <c r="E33" s="8">
        <f>D33*(1+'Escalators &amp; overheads'!E$12)</f>
        <v>98.055264966513633</v>
      </c>
      <c r="F33" s="8">
        <f>E33*(1+'Escalators &amp; overheads'!F$12)</f>
        <v>98.902713594633198</v>
      </c>
      <c r="G33" s="8">
        <f>F33*(1+'Escalators &amp; overheads'!G$12)</f>
        <v>99.804895484214981</v>
      </c>
      <c r="H33" s="8">
        <f>G33*(1+'Escalators &amp; overheads'!H$12)</f>
        <v>100.74157924923826</v>
      </c>
      <c r="I33" s="8">
        <f>H33*(1+'Escalators &amp; overheads'!I$12)</f>
        <v>101.44596727707059</v>
      </c>
      <c r="K33" s="276">
        <v>127.3</v>
      </c>
      <c r="L33" s="52">
        <f>K33*(1+'Escalators &amp; overheads'!D$12)</f>
        <v>128.45843000000002</v>
      </c>
      <c r="M33" s="52">
        <f>L33*(1+'Escalators &amp; overheads'!E$12)</f>
        <v>129.33825748872846</v>
      </c>
      <c r="N33" s="52">
        <f>M33*(1+'Escalators &amp; overheads'!F$12)</f>
        <v>130.4560712941333</v>
      </c>
      <c r="O33" s="52">
        <f>N33*(1+'Escalators &amp; overheads'!G$12)</f>
        <v>131.64608014859149</v>
      </c>
      <c r="P33" s="52">
        <f>O33*(1+'Escalators &amp; overheads'!H$12)</f>
        <v>132.8815981600666</v>
      </c>
      <c r="Q33" s="52">
        <f>P33*(1+'Escalators &amp; overheads'!I$12)</f>
        <v>133.81071012714833</v>
      </c>
      <c r="S33" s="20">
        <f t="shared" ref="S33:S40" si="26">K33-C33</f>
        <v>30.789999999999992</v>
      </c>
      <c r="T33" s="20">
        <f t="shared" si="25"/>
        <v>31.070188999999999</v>
      </c>
      <c r="U33" s="20">
        <f t="shared" si="25"/>
        <v>31.282992522214826</v>
      </c>
      <c r="V33" s="20">
        <f t="shared" si="25"/>
        <v>31.553357699500097</v>
      </c>
      <c r="W33" s="20">
        <f t="shared" si="25"/>
        <v>31.841184664376513</v>
      </c>
      <c r="X33" s="20">
        <f t="shared" si="25"/>
        <v>32.140018910828346</v>
      </c>
      <c r="Y33" s="20">
        <f t="shared" si="25"/>
        <v>32.364742850077732</v>
      </c>
    </row>
    <row r="34" spans="1:25">
      <c r="A34" s="3"/>
      <c r="B34" s="4" t="s">
        <v>17</v>
      </c>
      <c r="C34" s="276">
        <v>59.69</v>
      </c>
      <c r="D34" s="8">
        <f>C34*(1+'Escalators &amp; overheads'!D$12)</f>
        <v>60.233179000000007</v>
      </c>
      <c r="E34" s="8">
        <f>D34*(1+'Escalators &amp; overheads'!E$12)</f>
        <v>60.645723405359007</v>
      </c>
      <c r="F34" s="8">
        <f>E34*(1+'Escalators &amp; overheads'!F$12)</f>
        <v>61.169857781200442</v>
      </c>
      <c r="G34" s="8">
        <f>F34*(1+'Escalators &amp; overheads'!G$12)</f>
        <v>61.727843865431474</v>
      </c>
      <c r="H34" s="8">
        <f>G34*(1+'Escalators &amp; overheads'!H$12)</f>
        <v>62.307168846617252</v>
      </c>
      <c r="I34" s="8">
        <f>H34*(1+'Escalators &amp; overheads'!I$12)</f>
        <v>62.742822368338437</v>
      </c>
      <c r="K34" s="276">
        <v>82.99</v>
      </c>
      <c r="L34" s="52">
        <f>K34*(1+'Escalators &amp; overheads'!D$12)</f>
        <v>83.745209000000003</v>
      </c>
      <c r="M34" s="52">
        <f>L34*(1+'Escalators &amp; overheads'!E$12)</f>
        <v>84.318790172738204</v>
      </c>
      <c r="N34" s="52">
        <f>M34*(1+'Escalators &amp; overheads'!F$12)</f>
        <v>85.047520476827344</v>
      </c>
      <c r="O34" s="52">
        <f>N34*(1+'Escalators &amp; overheads'!G$12)</f>
        <v>85.823316508496518</v>
      </c>
      <c r="P34" s="52">
        <f>O34*(1+'Escalators &amp; overheads'!H$12)</f>
        <v>86.628781078585448</v>
      </c>
      <c r="Q34" s="52">
        <f>P34*(1+'Escalators &amp; overheads'!I$12)</f>
        <v>87.234492014548621</v>
      </c>
      <c r="S34" s="20">
        <f t="shared" si="26"/>
        <v>23.299999999999997</v>
      </c>
      <c r="T34" s="20">
        <f t="shared" si="25"/>
        <v>23.512029999999996</v>
      </c>
      <c r="U34" s="20">
        <f t="shared" si="25"/>
        <v>23.673066767379197</v>
      </c>
      <c r="V34" s="20">
        <f t="shared" si="25"/>
        <v>23.877662695626903</v>
      </c>
      <c r="W34" s="20">
        <f t="shared" si="25"/>
        <v>24.095472643065044</v>
      </c>
      <c r="X34" s="20">
        <f t="shared" si="25"/>
        <v>24.321612231968196</v>
      </c>
      <c r="Y34" s="20">
        <f t="shared" si="25"/>
        <v>24.491669646210184</v>
      </c>
    </row>
    <row r="35" spans="1:25">
      <c r="A35" s="3"/>
      <c r="B35" s="4" t="s">
        <v>18</v>
      </c>
      <c r="C35" s="275">
        <v>75.59</v>
      </c>
      <c r="D35" s="8">
        <f>C35*(1+'Escalators &amp; overheads'!D$12)</f>
        <v>76.27786900000001</v>
      </c>
      <c r="E35" s="8">
        <f>D35*(1+'Escalators &amp; overheads'!E$12)</f>
        <v>76.800305448334527</v>
      </c>
      <c r="F35" s="8">
        <f>E35*(1+'Escalators &amp; overheads'!F$12)</f>
        <v>77.464056788087476</v>
      </c>
      <c r="G35" s="8">
        <f>F35*(1+'Escalators &amp; overheads'!G$12)</f>
        <v>78.170677128295608</v>
      </c>
      <c r="H35" s="8">
        <f>G35*(1+'Escalators &amp; overheads'!H$12)</f>
        <v>78.90432054139383</v>
      </c>
      <c r="I35" s="8">
        <f>H35*(1+'Escalators &amp; overheads'!I$12)</f>
        <v>79.456021826481859</v>
      </c>
      <c r="K35" s="276">
        <v>105.86</v>
      </c>
      <c r="L35" s="52">
        <f>K35*(1+'Escalators &amp; overheads'!D$12)</f>
        <v>106.82332600000001</v>
      </c>
      <c r="M35" s="52">
        <f>L35*(1+'Escalators &amp; overheads'!E$12)</f>
        <v>107.55497201694261</v>
      </c>
      <c r="N35" s="52">
        <f>M35*(1+'Escalators &amp; overheads'!F$12)</f>
        <v>108.48452244459504</v>
      </c>
      <c r="O35" s="52">
        <f>N35*(1+'Escalators &amp; overheads'!G$12)</f>
        <v>109.4741087551445</v>
      </c>
      <c r="P35" s="52">
        <f>O35*(1+'Escalators &amp; overheads'!H$12)</f>
        <v>110.50153952258171</v>
      </c>
      <c r="Q35" s="52">
        <f>P35*(1+'Escalators &amp; overheads'!I$12)</f>
        <v>111.27416947415492</v>
      </c>
      <c r="S35" s="20">
        <f t="shared" si="26"/>
        <v>30.269999999999996</v>
      </c>
      <c r="T35" s="20">
        <f t="shared" si="25"/>
        <v>30.545456999999999</v>
      </c>
      <c r="U35" s="20">
        <f t="shared" si="25"/>
        <v>30.754666568608087</v>
      </c>
      <c r="V35" s="20">
        <f t="shared" si="25"/>
        <v>31.020465656507568</v>
      </c>
      <c r="W35" s="20">
        <f t="shared" si="25"/>
        <v>31.303431626848891</v>
      </c>
      <c r="X35" s="20">
        <f t="shared" si="25"/>
        <v>31.597218981187879</v>
      </c>
      <c r="Y35" s="20">
        <f t="shared" si="25"/>
        <v>31.818147647673058</v>
      </c>
    </row>
    <row r="36" spans="1:25">
      <c r="A36" s="3"/>
      <c r="B36" s="4" t="s">
        <v>19</v>
      </c>
      <c r="C36" s="275">
        <v>70.849999999999994</v>
      </c>
      <c r="D36" s="8">
        <f>C36*(1+'Escalators &amp; overheads'!D$12)</f>
        <v>71.494735000000006</v>
      </c>
      <c r="E36" s="8">
        <f>D36*(1+'Escalators &amp; overheads'!E$12)</f>
        <v>71.984411178919174</v>
      </c>
      <c r="F36" s="8">
        <f>E36*(1+'Escalators &amp; overheads'!F$12)</f>
        <v>72.606540857732469</v>
      </c>
      <c r="G36" s="8">
        <f>F36*(1+'Escalators &amp; overheads'!G$12)</f>
        <v>73.268851363139888</v>
      </c>
      <c r="H36" s="8">
        <f>G36*(1+'Escalators &amp; overheads'!H$12)</f>
        <v>73.956490413517045</v>
      </c>
      <c r="I36" s="8">
        <f>H36*(1+'Escalators &amp; overheads'!I$12)</f>
        <v>74.473596327639115</v>
      </c>
      <c r="K36" s="276">
        <v>96.06</v>
      </c>
      <c r="L36" s="52">
        <f>K36*(1+'Escalators &amp; overheads'!D$12)</f>
        <v>96.934146000000013</v>
      </c>
      <c r="M36" s="52">
        <f>L36*(1+'Escalators &amp; overheads'!E$12)</f>
        <v>97.598059814353931</v>
      </c>
      <c r="N36" s="52">
        <f>M36*(1+'Escalators &amp; overheads'!F$12)</f>
        <v>98.441557018966563</v>
      </c>
      <c r="O36" s="52">
        <f>N36*(1+'Escalators &amp; overheads'!G$12)</f>
        <v>99.339532278662205</v>
      </c>
      <c r="P36" s="52">
        <f>O36*(1+'Escalators &amp; overheads'!H$12)</f>
        <v>100.2718485408955</v>
      </c>
      <c r="Q36" s="52">
        <f>P36*(1+'Escalators &amp; overheads'!I$12)</f>
        <v>100.97295219806651</v>
      </c>
      <c r="S36" s="20">
        <f t="shared" si="26"/>
        <v>25.210000000000008</v>
      </c>
      <c r="T36" s="20">
        <f t="shared" si="25"/>
        <v>25.439411000000007</v>
      </c>
      <c r="U36" s="20">
        <f t="shared" si="25"/>
        <v>25.613648635434757</v>
      </c>
      <c r="V36" s="20">
        <f t="shared" si="25"/>
        <v>25.835016161234094</v>
      </c>
      <c r="W36" s="20">
        <f t="shared" si="25"/>
        <v>26.070680915522317</v>
      </c>
      <c r="X36" s="20">
        <f t="shared" si="25"/>
        <v>26.31535812737846</v>
      </c>
      <c r="Y36" s="20">
        <f t="shared" si="25"/>
        <v>26.499355870427394</v>
      </c>
    </row>
    <row r="37" spans="1:25">
      <c r="A37" s="3"/>
      <c r="B37" s="4" t="s">
        <v>20</v>
      </c>
      <c r="C37" s="275">
        <v>88.27</v>
      </c>
      <c r="D37" s="8">
        <f>C37*(1+'Escalators &amp; overheads'!D$12)</f>
        <v>89.073257000000012</v>
      </c>
      <c r="E37" s="8">
        <f>D37*(1+'Escalators &amp; overheads'!E$12)</f>
        <v>89.683330624745182</v>
      </c>
      <c r="F37" s="8">
        <f>E37*(1+'Escalators &amp; overheads'!F$12)</f>
        <v>90.45842429798229</v>
      </c>
      <c r="G37" s="8">
        <f>F37*(1+'Escalators &amp; overheads'!G$12)</f>
        <v>91.283578120315568</v>
      </c>
      <c r="H37" s="8">
        <f>G37*(1+'Escalators &amp; overheads'!H$12)</f>
        <v>92.140288056473537</v>
      </c>
      <c r="I37" s="8">
        <f>H37*(1+'Escalators &amp; overheads'!I$12)</f>
        <v>92.784535608196265</v>
      </c>
      <c r="K37" s="276">
        <v>117.68</v>
      </c>
      <c r="L37" s="52">
        <f>K37*(1+'Escalators &amp; overheads'!D$12)</f>
        <v>118.75088800000002</v>
      </c>
      <c r="M37" s="52">
        <f>L37*(1+'Escalators &amp; overheads'!E$12)</f>
        <v>119.56422734700367</v>
      </c>
      <c r="N37" s="52">
        <f>M37*(1+'Escalators &amp; overheads'!F$12)</f>
        <v>120.59756849877147</v>
      </c>
      <c r="O37" s="52">
        <f>N37*(1+'Escalators &amp; overheads'!G$12)</f>
        <v>121.69764895433032</v>
      </c>
      <c r="P37" s="52">
        <f>O37*(1+'Escalators &amp; overheads'!H$12)</f>
        <v>122.83979946171753</v>
      </c>
      <c r="Q37" s="52">
        <f>P37*(1+'Escalators &amp; overheads'!I$12)</f>
        <v>123.69869888266157</v>
      </c>
      <c r="S37" s="20">
        <f t="shared" si="26"/>
        <v>29.410000000000011</v>
      </c>
      <c r="T37" s="20">
        <f t="shared" si="25"/>
        <v>29.677631000000005</v>
      </c>
      <c r="U37" s="20">
        <f t="shared" si="25"/>
        <v>29.880896722258484</v>
      </c>
      <c r="V37" s="20">
        <f t="shared" si="25"/>
        <v>30.139144200789175</v>
      </c>
      <c r="W37" s="20">
        <f t="shared" si="25"/>
        <v>30.414070834014751</v>
      </c>
      <c r="X37" s="20">
        <f t="shared" si="25"/>
        <v>30.699511405243996</v>
      </c>
      <c r="Y37" s="20">
        <f t="shared" si="25"/>
        <v>30.914163274465309</v>
      </c>
    </row>
    <row r="38" spans="1:25">
      <c r="A38" s="3"/>
      <c r="B38" s="4" t="s">
        <v>21</v>
      </c>
      <c r="C38" s="275">
        <v>83.26</v>
      </c>
      <c r="D38" s="8">
        <f>C38*(1+'Escalators &amp; overheads'!D$12)</f>
        <v>84.01766600000002</v>
      </c>
      <c r="E38" s="8">
        <f>D38*(1+'Escalators &amp; overheads'!E$12)</f>
        <v>84.593113264034031</v>
      </c>
      <c r="F38" s="8">
        <f>E38*(1+'Escalators &amp; overheads'!F$12)</f>
        <v>85.324214422227328</v>
      </c>
      <c r="G38" s="8">
        <f>F38*(1+'Escalators &amp; overheads'!G$12)</f>
        <v>86.10253443182819</v>
      </c>
      <c r="H38" s="8">
        <f>G38*(1+'Escalators &amp; overheads'!H$12)</f>
        <v>86.910619503591093</v>
      </c>
      <c r="I38" s="8">
        <f>H38*(1+'Escalators &amp; overheads'!I$12)</f>
        <v>87.51830106195105</v>
      </c>
      <c r="K38" s="276">
        <v>112.43</v>
      </c>
      <c r="L38" s="52">
        <f>K38*(1+'Escalators &amp; overheads'!D$12)</f>
        <v>113.45311300000002</v>
      </c>
      <c r="M38" s="52">
        <f>L38*(1+'Escalators &amp; overheads'!E$12)</f>
        <v>114.23016723847401</v>
      </c>
      <c r="N38" s="52">
        <f>M38*(1+'Escalators &amp; overheads'!F$12)</f>
        <v>115.21740844932762</v>
      </c>
      <c r="O38" s="52">
        <f>N38*(1+'Escalators &amp; overheads'!G$12)</f>
        <v>116.26841155621479</v>
      </c>
      <c r="P38" s="52">
        <f>O38*(1+'Escalators &amp; overheads'!H$12)</f>
        <v>117.35960786438562</v>
      </c>
      <c r="Q38" s="52">
        <f>P38*(1+'Escalators &amp; overheads'!I$12)</f>
        <v>118.1801896276142</v>
      </c>
      <c r="S38" s="20">
        <f t="shared" si="26"/>
        <v>29.17</v>
      </c>
      <c r="T38" s="20">
        <f t="shared" si="25"/>
        <v>29.435446999999996</v>
      </c>
      <c r="U38" s="20">
        <f t="shared" si="25"/>
        <v>29.637053974439979</v>
      </c>
      <c r="V38" s="20">
        <f t="shared" si="25"/>
        <v>29.893194027100293</v>
      </c>
      <c r="W38" s="20">
        <f t="shared" si="25"/>
        <v>30.165877124386597</v>
      </c>
      <c r="X38" s="20">
        <f t="shared" si="25"/>
        <v>30.44898836079453</v>
      </c>
      <c r="Y38" s="20">
        <f t="shared" si="25"/>
        <v>30.661888565663148</v>
      </c>
    </row>
    <row r="39" spans="1:25">
      <c r="A39" s="3"/>
      <c r="B39" s="4" t="s">
        <v>22</v>
      </c>
      <c r="C39" s="275">
        <v>48.66</v>
      </c>
      <c r="D39" s="8">
        <f>C39*(1+'Escalators &amp; overheads'!D$12)</f>
        <v>49.102806000000001</v>
      </c>
      <c r="E39" s="8">
        <f>D39*(1+'Escalators &amp; overheads'!E$12)</f>
        <v>49.439117120200521</v>
      </c>
      <c r="F39" s="8">
        <f>E39*(1+'Escalators &amp; overheads'!F$12)</f>
        <v>49.866397715416539</v>
      </c>
      <c r="G39" s="8">
        <f>F39*(1+'Escalators &amp; overheads'!G$12)</f>
        <v>50.321274627104962</v>
      </c>
      <c r="H39" s="8">
        <f>G39*(1+'Escalators &amp; overheads'!H$12)</f>
        <v>50.793547262127582</v>
      </c>
      <c r="I39" s="8">
        <f>H39*(1+'Escalators &amp; overheads'!I$12)</f>
        <v>51.148697209638939</v>
      </c>
      <c r="K39" s="276">
        <v>66.930000000000007</v>
      </c>
      <c r="L39" s="52">
        <f>K39*(1+'Escalators &amp; overheads'!D$12)</f>
        <v>67.539063000000013</v>
      </c>
      <c r="M39" s="52">
        <f>L39*(1+'Escalators &amp; overheads'!E$12)</f>
        <v>68.00164629788371</v>
      </c>
      <c r="N39" s="52">
        <f>M39*(1+'Escalators &amp; overheads'!F$12)</f>
        <v>68.589354687481077</v>
      </c>
      <c r="O39" s="52">
        <f>N39*(1+'Escalators &amp; overheads'!G$12)</f>
        <v>69.215020772546964</v>
      </c>
      <c r="P39" s="52">
        <f>O39*(1+'Escalators &amp; overheads'!H$12)</f>
        <v>69.864614020842566</v>
      </c>
      <c r="Q39" s="52">
        <f>P39*(1+'Escalators &amp; overheads'!I$12)</f>
        <v>70.353109417203754</v>
      </c>
      <c r="S39" s="20">
        <f t="shared" si="26"/>
        <v>18.27000000000001</v>
      </c>
      <c r="T39" s="20">
        <f t="shared" si="25"/>
        <v>18.436257000000012</v>
      </c>
      <c r="U39" s="20">
        <f t="shared" si="25"/>
        <v>18.562529177683189</v>
      </c>
      <c r="V39" s="20">
        <f t="shared" si="25"/>
        <v>18.722956972064537</v>
      </c>
      <c r="W39" s="20">
        <f t="shared" si="25"/>
        <v>18.893746145442002</v>
      </c>
      <c r="X39" s="20">
        <f t="shared" si="25"/>
        <v>19.071066758714984</v>
      </c>
      <c r="Y39" s="20">
        <f t="shared" si="25"/>
        <v>19.204412207564815</v>
      </c>
    </row>
    <row r="40" spans="1:25">
      <c r="A40" s="3"/>
      <c r="B40" s="3" t="s">
        <v>23</v>
      </c>
      <c r="C40" s="275">
        <v>104.22</v>
      </c>
      <c r="D40" s="8">
        <f>C40*(1+'Escalators &amp; overheads'!D$12)</f>
        <v>105.16840200000001</v>
      </c>
      <c r="E40" s="8">
        <f>D40*(1+'Escalators &amp; overheads'!E$12)</f>
        <v>105.88871324018288</v>
      </c>
      <c r="F40" s="8">
        <f>E40*(1+'Escalators &amp; overheads'!F$12)</f>
        <v>106.80386292438784</v>
      </c>
      <c r="G40" s="8">
        <f>F40*(1+'Escalators &amp; overheads'!G$12)</f>
        <v>107.7781184060189</v>
      </c>
      <c r="H40" s="8">
        <f>G40*(1+'Escalators &amp; overheads'!H$12)</f>
        <v>108.78963205217708</v>
      </c>
      <c r="I40" s="8">
        <f>H40*(1+'Escalators &amp; overheads'!I$12)</f>
        <v>109.55029229734014</v>
      </c>
      <c r="K40" s="276">
        <v>146.58000000000001</v>
      </c>
      <c r="L40" s="52">
        <f>K40*(1+'Escalators &amp; overheads'!D$12)</f>
        <v>147.91387800000004</v>
      </c>
      <c r="M40" s="52">
        <f>L40*(1+'Escalators &amp; overheads'!E$12)</f>
        <v>148.92695823014785</v>
      </c>
      <c r="N40" s="52">
        <f>M40*(1+'Escalators &amp; overheads'!F$12)</f>
        <v>150.2140685804718</v>
      </c>
      <c r="O40" s="52">
        <f>N40*(1+'Escalators &amp; overheads'!G$12)</f>
        <v>151.58430815538526</v>
      </c>
      <c r="P40" s="52">
        <f>O40*(1+'Escalators &amp; overheads'!H$12)</f>
        <v>153.00694939750642</v>
      </c>
      <c r="Q40" s="52">
        <f>P40*(1+'Escalators &amp; overheads'!I$12)</f>
        <v>154.07677840092225</v>
      </c>
      <c r="S40" s="20">
        <f t="shared" si="26"/>
        <v>42.360000000000014</v>
      </c>
      <c r="T40" s="20">
        <f t="shared" si="25"/>
        <v>42.745476000000025</v>
      </c>
      <c r="U40" s="20">
        <f t="shared" si="25"/>
        <v>43.038244989964966</v>
      </c>
      <c r="V40" s="20">
        <f t="shared" si="25"/>
        <v>43.41020565608396</v>
      </c>
      <c r="W40" s="20">
        <f t="shared" si="25"/>
        <v>43.806189749366354</v>
      </c>
      <c r="X40" s="20">
        <f t="shared" si="25"/>
        <v>44.217317345329334</v>
      </c>
      <c r="Y40" s="20">
        <f t="shared" si="25"/>
        <v>44.526486103582116</v>
      </c>
    </row>
    <row r="41" spans="1:25" s="14" customFormat="1" ht="14.25" customHeight="1">
      <c r="C41" s="129"/>
      <c r="D41" s="8"/>
      <c r="E41" s="8"/>
      <c r="F41" s="8"/>
      <c r="G41" s="8"/>
      <c r="H41" s="8"/>
      <c r="I41" s="8"/>
      <c r="K41" s="53"/>
      <c r="L41" s="8"/>
      <c r="M41" s="8"/>
      <c r="N41" s="8"/>
      <c r="O41" s="8"/>
      <c r="P41" s="8"/>
      <c r="Q41" s="8"/>
      <c r="T41" s="269"/>
      <c r="U41" s="269"/>
      <c r="V41" s="269"/>
      <c r="W41" s="269"/>
      <c r="X41" s="269"/>
      <c r="Y41" s="269"/>
    </row>
    <row r="42" spans="1:25" s="14" customFormat="1">
      <c r="B42" s="14" t="s">
        <v>32</v>
      </c>
      <c r="C42" s="79">
        <f>AVERAGE(C34,C35)</f>
        <v>67.64</v>
      </c>
      <c r="D42" s="79">
        <f t="shared" ref="D42:I42" si="27">AVERAGE(D34,D35)</f>
        <v>68.255524000000008</v>
      </c>
      <c r="E42" s="79">
        <f t="shared" si="27"/>
        <v>68.72301442684676</v>
      </c>
      <c r="F42" s="79">
        <f t="shared" si="27"/>
        <v>69.316957284643962</v>
      </c>
      <c r="G42" s="79">
        <f t="shared" si="27"/>
        <v>69.949260496863545</v>
      </c>
      <c r="H42" s="79">
        <f t="shared" si="27"/>
        <v>70.605744694005537</v>
      </c>
      <c r="I42" s="79">
        <f t="shared" si="27"/>
        <v>71.099422097410155</v>
      </c>
      <c r="K42" s="8">
        <f t="shared" ref="K42:P42" si="28">AVERAGE(K34,K35)</f>
        <v>94.424999999999997</v>
      </c>
      <c r="L42" s="8">
        <f t="shared" si="28"/>
        <v>95.284267499999999</v>
      </c>
      <c r="M42" s="8">
        <f t="shared" si="28"/>
        <v>95.936881094840402</v>
      </c>
      <c r="N42" s="8">
        <f t="shared" si="28"/>
        <v>96.766021460711187</v>
      </c>
      <c r="O42" s="8">
        <f t="shared" si="28"/>
        <v>97.648712631820501</v>
      </c>
      <c r="P42" s="8">
        <f t="shared" si="28"/>
        <v>98.565160300583585</v>
      </c>
      <c r="Q42" s="8">
        <f>AVERAGE(Q34,Q35)</f>
        <v>99.254330744351762</v>
      </c>
      <c r="S42" s="20">
        <f t="shared" ref="S42:Y43" si="29">K42-C42</f>
        <v>26.784999999999997</v>
      </c>
      <c r="T42" s="20">
        <f t="shared" si="29"/>
        <v>27.02874349999999</v>
      </c>
      <c r="U42" s="20">
        <f t="shared" si="29"/>
        <v>27.213866667993642</v>
      </c>
      <c r="V42" s="20">
        <f t="shared" si="29"/>
        <v>27.449064176067225</v>
      </c>
      <c r="W42" s="20">
        <f t="shared" si="29"/>
        <v>27.699452134956957</v>
      </c>
      <c r="X42" s="20">
        <f t="shared" si="29"/>
        <v>27.959415606578048</v>
      </c>
      <c r="Y42" s="20">
        <f t="shared" si="29"/>
        <v>28.154908646941607</v>
      </c>
    </row>
    <row r="43" spans="1:25" s="14" customFormat="1">
      <c r="B43" s="14" t="s">
        <v>33</v>
      </c>
      <c r="C43" s="79">
        <f>AVERAGE(C32,C34,C35)</f>
        <v>66.73</v>
      </c>
      <c r="D43" s="79">
        <f t="shared" ref="D43:I43" si="30">AVERAGE(D32,D34,D35)</f>
        <v>67.337243000000001</v>
      </c>
      <c r="E43" s="79">
        <f t="shared" si="30"/>
        <v>67.798444008034963</v>
      </c>
      <c r="F43" s="79">
        <f t="shared" si="30"/>
        <v>68.384396209407029</v>
      </c>
      <c r="G43" s="79">
        <f t="shared" si="30"/>
        <v>69.008192681190181</v>
      </c>
      <c r="H43" s="79">
        <f t="shared" si="30"/>
        <v>69.655844817134678</v>
      </c>
      <c r="I43" s="79">
        <f t="shared" si="30"/>
        <v>70.142880493201929</v>
      </c>
      <c r="J43" s="79"/>
      <c r="K43" s="79">
        <f>AVERAGE(K32,K34,K35)</f>
        <v>91.399999999999991</v>
      </c>
      <c r="L43" s="79">
        <f t="shared" ref="L43:Q43" si="31">AVERAGE(L32,L34,L35)</f>
        <v>92.231740000000002</v>
      </c>
      <c r="M43" s="79">
        <f t="shared" si="31"/>
        <v>92.863446460878095</v>
      </c>
      <c r="N43" s="79">
        <f t="shared" si="31"/>
        <v>93.66602447984117</v>
      </c>
      <c r="O43" s="79">
        <f t="shared" si="31"/>
        <v>94.520437750049197</v>
      </c>
      <c r="P43" s="79">
        <f t="shared" si="31"/>
        <v>95.407526094501875</v>
      </c>
      <c r="Q43" s="79">
        <f t="shared" si="31"/>
        <v>96.074618268824494</v>
      </c>
      <c r="S43" s="20">
        <f t="shared" si="29"/>
        <v>24.669999999999987</v>
      </c>
      <c r="T43" s="20">
        <f t="shared" si="29"/>
        <v>24.894497000000001</v>
      </c>
      <c r="U43" s="20">
        <f t="shared" si="29"/>
        <v>25.065002452843132</v>
      </c>
      <c r="V43" s="20">
        <f t="shared" si="29"/>
        <v>25.28162827043414</v>
      </c>
      <c r="W43" s="20">
        <f t="shared" si="29"/>
        <v>25.512245068859016</v>
      </c>
      <c r="X43" s="20">
        <f t="shared" si="29"/>
        <v>25.751681277367197</v>
      </c>
      <c r="Y43" s="20">
        <f t="shared" si="29"/>
        <v>25.931737775622565</v>
      </c>
    </row>
    <row r="44" spans="1:25" ht="8.25" customHeight="1">
      <c r="A44" s="3"/>
      <c r="B44" s="7"/>
      <c r="C44" s="170"/>
      <c r="D44" s="7"/>
      <c r="T44" s="269"/>
      <c r="U44" s="269"/>
      <c r="V44" s="269"/>
      <c r="W44" s="269"/>
      <c r="X44" s="269"/>
      <c r="Y44" s="269"/>
    </row>
    <row r="45" spans="1:25">
      <c r="A45" s="3" t="s">
        <v>11</v>
      </c>
      <c r="B45" s="3" t="s">
        <v>16</v>
      </c>
      <c r="C45" s="275">
        <v>61.58</v>
      </c>
      <c r="D45" s="8">
        <f>C45*(1+'Escalators &amp; overheads'!D$15)</f>
        <v>62.140378000000005</v>
      </c>
      <c r="E45" s="15">
        <f>D45*(1+'Escalators &amp; overheads'!E$15)</f>
        <v>62.565985044429681</v>
      </c>
      <c r="F45" s="15">
        <f>E45*(1+'Escalators &amp; overheads'!F$15)</f>
        <v>63.106715399000215</v>
      </c>
      <c r="G45" s="15">
        <f>F45*(1+'Escalators &amp; overheads'!G$15)</f>
        <v>63.682369328753055</v>
      </c>
      <c r="H45" s="15">
        <f>G45*(1+'Escalators &amp; overheads'!H$15)</f>
        <v>64.280037821656734</v>
      </c>
      <c r="I45" s="15">
        <f>H45*(1+'Escalators &amp; overheads'!I$15)</f>
        <v>64.729485700155493</v>
      </c>
      <c r="K45" s="275">
        <v>77.45</v>
      </c>
      <c r="L45" s="79">
        <f>K45*(1+'Escalators &amp; overheads'!D$15)</f>
        <v>78.154795000000007</v>
      </c>
      <c r="M45" s="15">
        <f>L45*(1+'Escalators &amp; overheads'!E$15)</f>
        <v>78.690086743927878</v>
      </c>
      <c r="N45" s="15">
        <f>M45*(1+'Escalators &amp; overheads'!F$15)</f>
        <v>79.370170634176148</v>
      </c>
      <c r="O45" s="15">
        <f>N45*(1+'Escalators &amp; overheads'!G$15)</f>
        <v>80.094178377913678</v>
      </c>
      <c r="P45" s="15">
        <f>O45*(1+'Escalators &amp; overheads'!H$15)</f>
        <v>80.845874135877139</v>
      </c>
      <c r="Q45" s="15">
        <f>P45*(1+'Escalators &amp; overheads'!I$15)</f>
        <v>81.411150819698648</v>
      </c>
      <c r="S45" s="20">
        <f t="shared" ref="S45:S53" si="32">K45-C45</f>
        <v>15.870000000000005</v>
      </c>
      <c r="T45" s="20">
        <f t="shared" ref="T45:T53" si="33">L45-D45</f>
        <v>16.014417000000002</v>
      </c>
      <c r="U45" s="20">
        <f t="shared" ref="U45:U53" si="34">M45-E45</f>
        <v>16.124101699498198</v>
      </c>
      <c r="V45" s="20">
        <f t="shared" ref="V45:V53" si="35">N45-F45</f>
        <v>16.263455235175933</v>
      </c>
      <c r="W45" s="20">
        <f t="shared" ref="W45:W53" si="36">O45-G45</f>
        <v>16.411809049160624</v>
      </c>
      <c r="X45" s="20">
        <f t="shared" ref="X45:X53" si="37">P45-H45</f>
        <v>16.565836314220405</v>
      </c>
      <c r="Y45" s="20">
        <f t="shared" ref="Y45:Y53" si="38">Q45-I45</f>
        <v>16.681665119543155</v>
      </c>
    </row>
    <row r="46" spans="1:25">
      <c r="A46" s="3"/>
      <c r="B46" s="3" t="s">
        <v>12</v>
      </c>
      <c r="C46" s="275">
        <v>96.47</v>
      </c>
      <c r="D46" s="8">
        <f>C46*(1+'Escalators &amp; overheads'!D$15)</f>
        <v>97.347877000000011</v>
      </c>
      <c r="E46" s="15">
        <f>D46*(1+'Escalators &amp; overheads'!E$15)</f>
        <v>98.014624508543875</v>
      </c>
      <c r="F46" s="15">
        <f>E46*(1+'Escalators &amp; overheads'!F$15)</f>
        <v>98.861721899018377</v>
      </c>
      <c r="G46" s="15">
        <f>F46*(1+'Escalators &amp; overheads'!G$15)</f>
        <v>99.76352986594361</v>
      </c>
      <c r="H46" s="15">
        <f>G46*(1+'Escalators &amp; overheads'!H$15)</f>
        <v>100.69982540849666</v>
      </c>
      <c r="I46" s="15">
        <f>H46*(1+'Escalators &amp; overheads'!I$15)</f>
        <v>101.40392149227021</v>
      </c>
      <c r="K46" s="275">
        <v>123.37</v>
      </c>
      <c r="L46" s="79">
        <f>K46*(1+'Escalators &amp; overheads'!D$15)</f>
        <v>124.49266700000001</v>
      </c>
      <c r="M46" s="15">
        <f>L46*(1+'Escalators &amp; overheads'!E$15)</f>
        <v>125.34533249320054</v>
      </c>
      <c r="N46" s="15">
        <f>M46*(1+'Escalators &amp; overheads'!F$15)</f>
        <v>126.42863719997818</v>
      </c>
      <c r="O46" s="15">
        <f>N46*(1+'Escalators &amp; overheads'!G$15)</f>
        <v>127.58190815343073</v>
      </c>
      <c r="P46" s="15">
        <f>O46*(1+'Escalators &amp; overheads'!H$15)</f>
        <v>128.77928330720673</v>
      </c>
      <c r="Q46" s="15">
        <f>P46*(1+'Escalators &amp; overheads'!I$15)</f>
        <v>129.67971177051285</v>
      </c>
      <c r="S46" s="20">
        <f t="shared" si="32"/>
        <v>26.900000000000006</v>
      </c>
      <c r="T46" s="20">
        <f t="shared" si="33"/>
        <v>27.14479</v>
      </c>
      <c r="U46" s="20">
        <f t="shared" si="34"/>
        <v>27.330707984656669</v>
      </c>
      <c r="V46" s="20">
        <f t="shared" si="35"/>
        <v>27.566915300959806</v>
      </c>
      <c r="W46" s="20">
        <f t="shared" si="36"/>
        <v>27.818378287487121</v>
      </c>
      <c r="X46" s="20">
        <f t="shared" si="37"/>
        <v>28.079457898710061</v>
      </c>
      <c r="Y46" s="20">
        <f t="shared" si="38"/>
        <v>28.275790278242638</v>
      </c>
    </row>
    <row r="47" spans="1:25">
      <c r="A47" s="3"/>
      <c r="B47" s="3" t="s">
        <v>17</v>
      </c>
      <c r="C47" s="276">
        <v>66.89</v>
      </c>
      <c r="D47" s="8">
        <f>C47*(1+'Escalators &amp; overheads'!D$15)</f>
        <v>67.498699000000002</v>
      </c>
      <c r="E47" s="15">
        <f>D47*(1+'Escalators &amp; overheads'!E$15)</f>
        <v>67.961005839913952</v>
      </c>
      <c r="F47" s="15">
        <f>E47*(1+'Escalators &amp; overheads'!F$15)</f>
        <v>68.548362991866256</v>
      </c>
      <c r="G47" s="15">
        <f>F47*(1+'Escalators &amp; overheads'!G$15)</f>
        <v>69.173655154275593</v>
      </c>
      <c r="H47" s="15">
        <f>G47*(1+'Escalators &amp; overheads'!H$15)</f>
        <v>69.822860180100975</v>
      </c>
      <c r="I47" s="15">
        <f>H47*(1+'Escalators &amp; overheads'!I$15)</f>
        <v>70.311063632403375</v>
      </c>
      <c r="K47" s="275">
        <v>87.66</v>
      </c>
      <c r="L47" s="79">
        <f>K47*(1+'Escalators &amp; overheads'!D$15)</f>
        <v>88.457706000000002</v>
      </c>
      <c r="M47" s="15">
        <f>L47*(1+'Escalators &amp; overheads'!E$15)</f>
        <v>89.063563640706491</v>
      </c>
      <c r="N47" s="15">
        <f>M47*(1+'Escalators &amp; overheads'!F$15)</f>
        <v>89.833300939856429</v>
      </c>
      <c r="O47" s="15">
        <f>N47*(1+'Escalators &amp; overheads'!G$15)</f>
        <v>90.652752441677379</v>
      </c>
      <c r="P47" s="15">
        <f>O47*(1+'Escalators &amp; overheads'!H$15)</f>
        <v>91.503541985164489</v>
      </c>
      <c r="Q47" s="15">
        <f>P47*(1+'Escalators &amp; overheads'!I$15)</f>
        <v>92.143337389990748</v>
      </c>
      <c r="S47" s="20">
        <f t="shared" si="32"/>
        <v>20.769999999999996</v>
      </c>
      <c r="T47" s="20">
        <f t="shared" si="33"/>
        <v>20.959007</v>
      </c>
      <c r="U47" s="20">
        <f t="shared" si="34"/>
        <v>21.102557800792539</v>
      </c>
      <c r="V47" s="20">
        <f t="shared" si="35"/>
        <v>21.284937947990173</v>
      </c>
      <c r="W47" s="20">
        <f t="shared" si="36"/>
        <v>21.479097287401785</v>
      </c>
      <c r="X47" s="20">
        <f t="shared" si="37"/>
        <v>21.680681805063514</v>
      </c>
      <c r="Y47" s="20">
        <f t="shared" si="38"/>
        <v>21.832273757587373</v>
      </c>
    </row>
    <row r="48" spans="1:25">
      <c r="A48" s="3"/>
      <c r="B48" s="3" t="s">
        <v>18</v>
      </c>
      <c r="C48" s="275">
        <v>81.67</v>
      </c>
      <c r="D48" s="8">
        <f>C48*(1+'Escalators &amp; overheads'!D$15)</f>
        <v>82.413197000000011</v>
      </c>
      <c r="E48" s="15">
        <f>D48*(1+'Escalators &amp; overheads'!E$15)</f>
        <v>82.977655059736477</v>
      </c>
      <c r="F48" s="15">
        <f>E48*(1+'Escalators &amp; overheads'!F$15)</f>
        <v>83.694794521538611</v>
      </c>
      <c r="G48" s="15">
        <f>F48*(1+'Escalators &amp; overheads'!G$15)</f>
        <v>84.458251105541763</v>
      </c>
      <c r="H48" s="15">
        <f>G48*(1+'Escalators &amp; overheads'!H$15)</f>
        <v>85.250904334113429</v>
      </c>
      <c r="I48" s="15">
        <f>H48*(1+'Escalators &amp; overheads'!I$15)</f>
        <v>85.846981116136703</v>
      </c>
      <c r="K48" s="275">
        <v>107.36</v>
      </c>
      <c r="L48" s="79">
        <f>K48*(1+'Escalators &amp; overheads'!D$15)</f>
        <v>108.33697600000001</v>
      </c>
      <c r="M48" s="15">
        <f>L48*(1+'Escalators &amp; overheads'!E$15)</f>
        <v>109.07898919080823</v>
      </c>
      <c r="N48" s="15">
        <f>M48*(1+'Escalators &amp; overheads'!F$15)</f>
        <v>110.02171103015043</v>
      </c>
      <c r="O48" s="15">
        <f>N48*(1+'Escalators &amp; overheads'!G$15)</f>
        <v>111.02531944032036</v>
      </c>
      <c r="P48" s="15">
        <f>O48*(1+'Escalators &amp; overheads'!H$15)</f>
        <v>112.06730855039082</v>
      </c>
      <c r="Q48" s="15">
        <f>P48*(1+'Escalators &amp; overheads'!I$15)</f>
        <v>112.85088640416845</v>
      </c>
      <c r="S48" s="20">
        <f t="shared" si="32"/>
        <v>25.689999999999998</v>
      </c>
      <c r="T48" s="20">
        <f t="shared" si="33"/>
        <v>25.923778999999996</v>
      </c>
      <c r="U48" s="20">
        <f t="shared" si="34"/>
        <v>26.101334131071752</v>
      </c>
      <c r="V48" s="20">
        <f t="shared" si="35"/>
        <v>26.326916508611816</v>
      </c>
      <c r="W48" s="20">
        <f t="shared" si="36"/>
        <v>26.567068334778597</v>
      </c>
      <c r="X48" s="20">
        <f t="shared" si="37"/>
        <v>26.816404216277391</v>
      </c>
      <c r="Y48" s="20">
        <f t="shared" si="38"/>
        <v>27.003905288031746</v>
      </c>
    </row>
    <row r="49" spans="1:25">
      <c r="A49" s="3"/>
      <c r="B49" s="3" t="s">
        <v>19</v>
      </c>
      <c r="C49" s="275">
        <v>75.77</v>
      </c>
      <c r="D49" s="8">
        <f>C49*(1+'Escalators &amp; overheads'!D$15)</f>
        <v>76.459507000000002</v>
      </c>
      <c r="E49" s="15">
        <f>D49*(1+'Escalators &amp; overheads'!E$15)</f>
        <v>76.983187509198387</v>
      </c>
      <c r="F49" s="15">
        <f>E49*(1+'Escalators &amp; overheads'!F$15)</f>
        <v>77.648519418354113</v>
      </c>
      <c r="G49" s="15">
        <f>F49*(1+'Escalators &amp; overheads'!G$15)</f>
        <v>78.356822410516699</v>
      </c>
      <c r="H49" s="15">
        <f>G49*(1+'Escalators &amp; overheads'!H$15)</f>
        <v>79.092212824730922</v>
      </c>
      <c r="I49" s="15">
        <f>H49*(1+'Escalators &amp; overheads'!I$15)</f>
        <v>79.645227858083487</v>
      </c>
      <c r="K49" s="275">
        <v>97.35</v>
      </c>
      <c r="L49" s="79">
        <f>K49*(1+'Escalators &amp; overheads'!D$15)</f>
        <v>98.23588500000001</v>
      </c>
      <c r="M49" s="15">
        <f>L49*(1+'Escalators &amp; overheads'!E$15)</f>
        <v>98.908714583878364</v>
      </c>
      <c r="N49" s="15">
        <f>M49*(1+'Escalators &amp; overheads'!F$15)</f>
        <v>99.763539202544194</v>
      </c>
      <c r="O49" s="15">
        <f>N49*(1+'Escalators &amp; overheads'!G$15)</f>
        <v>100.67357346791344</v>
      </c>
      <c r="P49" s="15">
        <f>O49*(1+'Escalators &amp; overheads'!H$15)</f>
        <v>101.61840990481134</v>
      </c>
      <c r="Q49" s="15">
        <f>P49*(1+'Escalators &amp; overheads'!I$15)</f>
        <v>102.32892875787815</v>
      </c>
      <c r="S49" s="20">
        <f t="shared" si="32"/>
        <v>21.58</v>
      </c>
      <c r="T49" s="20">
        <f t="shared" si="33"/>
        <v>21.776378000000008</v>
      </c>
      <c r="U49" s="20">
        <f t="shared" si="34"/>
        <v>21.925527074679977</v>
      </c>
      <c r="V49" s="20">
        <f t="shared" si="35"/>
        <v>22.115019784190082</v>
      </c>
      <c r="W49" s="20">
        <f t="shared" si="36"/>
        <v>22.316751057396743</v>
      </c>
      <c r="X49" s="20">
        <f t="shared" si="37"/>
        <v>22.526197080080422</v>
      </c>
      <c r="Y49" s="20">
        <f t="shared" si="38"/>
        <v>22.683700899794658</v>
      </c>
    </row>
    <row r="50" spans="1:25">
      <c r="A50" s="3"/>
      <c r="B50" s="3" t="s">
        <v>20</v>
      </c>
      <c r="C50" s="275">
        <v>90.43</v>
      </c>
      <c r="D50" s="8">
        <f>C50*(1+'Escalators &amp; overheads'!D$15)</f>
        <v>91.252913000000021</v>
      </c>
      <c r="E50" s="15">
        <f>D50*(1+'Escalators &amp; overheads'!E$15)</f>
        <v>91.877915355111668</v>
      </c>
      <c r="F50" s="15">
        <f>E50*(1+'Escalators &amp; overheads'!F$15)</f>
        <v>92.671975861182048</v>
      </c>
      <c r="G50" s="15">
        <f>F50*(1+'Escalators &amp; overheads'!G$15)</f>
        <v>93.517321506968813</v>
      </c>
      <c r="H50" s="15">
        <f>G50*(1+'Escalators &amp; overheads'!H$15)</f>
        <v>94.394995456518657</v>
      </c>
      <c r="I50" s="15">
        <f>H50*(1+'Escalators &amp; overheads'!I$15)</f>
        <v>95.055007987415749</v>
      </c>
      <c r="K50" s="275">
        <v>117.47</v>
      </c>
      <c r="L50" s="79">
        <f>K50*(1+'Escalators &amp; overheads'!D$15)</f>
        <v>118.53897700000002</v>
      </c>
      <c r="M50" s="15">
        <f>L50*(1+'Escalators &amp; overheads'!E$15)</f>
        <v>119.35086494266247</v>
      </c>
      <c r="N50" s="15">
        <f>M50*(1+'Escalators &amp; overheads'!F$15)</f>
        <v>120.3823620967937</v>
      </c>
      <c r="O50" s="15">
        <f>N50*(1+'Escalators &amp; overheads'!G$15)</f>
        <v>121.48047945840568</v>
      </c>
      <c r="P50" s="15">
        <f>O50*(1+'Escalators &amp; overheads'!H$15)</f>
        <v>122.62059179782423</v>
      </c>
      <c r="Q50" s="15">
        <f>P50*(1+'Escalators &amp; overheads'!I$15)</f>
        <v>123.47795851245965</v>
      </c>
      <c r="S50" s="20">
        <f t="shared" si="32"/>
        <v>27.039999999999992</v>
      </c>
      <c r="T50" s="20">
        <f t="shared" si="33"/>
        <v>27.286063999999996</v>
      </c>
      <c r="U50" s="20">
        <f t="shared" si="34"/>
        <v>27.472949587550801</v>
      </c>
      <c r="V50" s="20">
        <f t="shared" si="35"/>
        <v>27.710386235611651</v>
      </c>
      <c r="W50" s="20">
        <f t="shared" si="36"/>
        <v>27.96315795143687</v>
      </c>
      <c r="X50" s="20">
        <f t="shared" si="37"/>
        <v>28.225596341305575</v>
      </c>
      <c r="Y50" s="20">
        <f t="shared" si="38"/>
        <v>28.422950525043902</v>
      </c>
    </row>
    <row r="51" spans="1:25">
      <c r="A51" s="3"/>
      <c r="B51" s="3" t="s">
        <v>21</v>
      </c>
      <c r="C51" s="275">
        <v>88.46</v>
      </c>
      <c r="D51" s="8">
        <f>C51*(1+'Escalators &amp; overheads'!D$15)</f>
        <v>89.264986000000007</v>
      </c>
      <c r="E51" s="15">
        <f>D51*(1+'Escalators &amp; overheads'!E$15)</f>
        <v>89.876372800101493</v>
      </c>
      <c r="F51" s="15">
        <f>E51*(1+'Escalators &amp; overheads'!F$15)</f>
        <v>90.653134852152647</v>
      </c>
      <c r="G51" s="15">
        <f>F51*(1+'Escalators &amp; overheads'!G$15)</f>
        <v>91.480064807104512</v>
      </c>
      <c r="H51" s="15">
        <f>G51*(1+'Escalators &amp; overheads'!H$15)</f>
        <v>92.338618799996013</v>
      </c>
      <c r="I51" s="15">
        <f>H51*(1+'Escalators &amp; overheads'!I$15)</f>
        <v>92.984253085997963</v>
      </c>
      <c r="K51" s="275">
        <v>111.37</v>
      </c>
      <c r="L51" s="79">
        <f>K51*(1+'Escalators &amp; overheads'!D$15)</f>
        <v>112.38346700000001</v>
      </c>
      <c r="M51" s="15">
        <f>L51*(1+'Escalators &amp; overheads'!E$15)</f>
        <v>113.15319510227563</v>
      </c>
      <c r="N51" s="15">
        <f>M51*(1+'Escalators &amp; overheads'!F$15)</f>
        <v>114.13112851553514</v>
      </c>
      <c r="O51" s="15">
        <f>N51*(1+'Escalators &amp; overheads'!G$15)</f>
        <v>115.17222267202382</v>
      </c>
      <c r="P51" s="15">
        <f>O51*(1+'Escalators &amp; overheads'!H$15)</f>
        <v>116.25313108473382</v>
      </c>
      <c r="Q51" s="15">
        <f>P51*(1+'Escalators &amp; overheads'!I$15)</f>
        <v>117.0659763304046</v>
      </c>
      <c r="S51" s="20">
        <f t="shared" si="32"/>
        <v>22.910000000000011</v>
      </c>
      <c r="T51" s="20">
        <f t="shared" si="33"/>
        <v>23.118481000000003</v>
      </c>
      <c r="U51" s="20">
        <f t="shared" si="34"/>
        <v>23.276822302174139</v>
      </c>
      <c r="V51" s="20">
        <f t="shared" si="35"/>
        <v>23.477993663382492</v>
      </c>
      <c r="W51" s="20">
        <f t="shared" si="36"/>
        <v>23.692157864919309</v>
      </c>
      <c r="X51" s="20">
        <f t="shared" si="37"/>
        <v>23.91451228473781</v>
      </c>
      <c r="Y51" s="20">
        <f t="shared" si="38"/>
        <v>24.081723244406632</v>
      </c>
    </row>
    <row r="52" spans="1:25">
      <c r="A52" s="3"/>
      <c r="B52" s="3" t="s">
        <v>22</v>
      </c>
      <c r="C52" s="275">
        <v>49.95</v>
      </c>
      <c r="D52" s="8">
        <f>C52*(1+'Escalators &amp; overheads'!D$15)</f>
        <v>50.404545000000006</v>
      </c>
      <c r="E52" s="15">
        <f>D52*(1+'Escalators &amp; overheads'!E$15)</f>
        <v>50.749771889724954</v>
      </c>
      <c r="F52" s="15">
        <f>E52*(1+'Escalators &amp; overheads'!F$15)</f>
        <v>51.188379898994171</v>
      </c>
      <c r="G52" s="15">
        <f>F52*(1+'Escalators &amp; overheads'!G$15)</f>
        <v>51.655315816356207</v>
      </c>
      <c r="H52" s="15">
        <f>G52*(1+'Escalators &amp; overheads'!H$15)</f>
        <v>52.140108626043421</v>
      </c>
      <c r="I52" s="15">
        <f>H52*(1+'Escalators &amp; overheads'!I$15)</f>
        <v>52.504673769450584</v>
      </c>
      <c r="K52" s="275">
        <v>64.180000000000007</v>
      </c>
      <c r="L52" s="79">
        <f>K52*(1+'Escalators &amp; overheads'!D$15)</f>
        <v>64.764038000000014</v>
      </c>
      <c r="M52" s="15">
        <f>L52*(1+'Escalators &amp; overheads'!E$15)</f>
        <v>65.207614812463419</v>
      </c>
      <c r="N52" s="15">
        <f>M52*(1+'Escalators &amp; overheads'!F$15)</f>
        <v>65.771175613962882</v>
      </c>
      <c r="O52" s="15">
        <f>N52*(1+'Escalators &amp; overheads'!G$15)</f>
        <v>66.371134516391223</v>
      </c>
      <c r="P52" s="15">
        <f>O52*(1+'Escalators &amp; overheads'!H$15)</f>
        <v>66.994037469859194</v>
      </c>
      <c r="Q52" s="15">
        <f>P52*(1+'Escalators &amp; overheads'!I$15)</f>
        <v>67.46246171217895</v>
      </c>
      <c r="S52" s="20">
        <f t="shared" si="32"/>
        <v>14.230000000000004</v>
      </c>
      <c r="T52" s="20">
        <f t="shared" si="33"/>
        <v>14.359493000000008</v>
      </c>
      <c r="U52" s="20">
        <f t="shared" si="34"/>
        <v>14.457842922738465</v>
      </c>
      <c r="V52" s="20">
        <f t="shared" si="35"/>
        <v>14.582795714968711</v>
      </c>
      <c r="W52" s="20">
        <f t="shared" si="36"/>
        <v>14.715818700035015</v>
      </c>
      <c r="X52" s="20">
        <f t="shared" si="37"/>
        <v>14.853928843815773</v>
      </c>
      <c r="Y52" s="20">
        <f t="shared" si="38"/>
        <v>14.957787942728366</v>
      </c>
    </row>
    <row r="53" spans="1:25">
      <c r="A53" s="3"/>
      <c r="B53" s="3" t="s">
        <v>23</v>
      </c>
      <c r="C53" s="275">
        <v>108.38</v>
      </c>
      <c r="D53" s="8">
        <f>C53*(1+'Escalators &amp; overheads'!D$15)</f>
        <v>109.366258</v>
      </c>
      <c r="E53" s="15">
        <f>D53*(1+'Escalators &amp; overheads'!E$15)</f>
        <v>110.11532086903684</v>
      </c>
      <c r="F53" s="15">
        <f>E53*(1+'Escalators &amp; overheads'!F$15)</f>
        <v>111.06699926832808</v>
      </c>
      <c r="G53" s="15">
        <f>F53*(1+'Escalators &amp; overheads'!G$15)</f>
        <v>112.08014270623994</v>
      </c>
      <c r="H53" s="15">
        <f>G53*(1+'Escalators &amp; overheads'!H$15)</f>
        <v>113.132031489301</v>
      </c>
      <c r="I53" s="15">
        <f>H53*(1+'Escalators &amp; overheads'!I$15)</f>
        <v>113.92305391657763</v>
      </c>
      <c r="K53" s="275">
        <v>159.85</v>
      </c>
      <c r="L53" s="79">
        <f>K53*(1+'Escalators &amp; overheads'!D$15)</f>
        <v>161.30463500000002</v>
      </c>
      <c r="M53" s="15">
        <f>L53*(1+'Escalators &amp; overheads'!E$15)</f>
        <v>162.40943016161228</v>
      </c>
      <c r="N53" s="15">
        <f>M53*(1+'Escalators &amp; overheads'!F$15)</f>
        <v>163.81306360068504</v>
      </c>
      <c r="O53" s="15">
        <f>N53*(1+'Escalators &amp; overheads'!G$15)</f>
        <v>165.30735201690769</v>
      </c>
      <c r="P53" s="15">
        <f>O53*(1+'Escalators &amp; overheads'!H$15)</f>
        <v>166.85878606352432</v>
      </c>
      <c r="Q53" s="15">
        <f>P53*(1+'Escalators &amp; overheads'!I$15)</f>
        <v>168.02546750844192</v>
      </c>
      <c r="S53" s="20">
        <f t="shared" si="32"/>
        <v>51.47</v>
      </c>
      <c r="T53" s="20">
        <f t="shared" si="33"/>
        <v>51.938377000000017</v>
      </c>
      <c r="U53" s="20">
        <f t="shared" si="34"/>
        <v>52.294109292575442</v>
      </c>
      <c r="V53" s="20">
        <f t="shared" si="35"/>
        <v>52.746064332356966</v>
      </c>
      <c r="W53" s="20">
        <f t="shared" si="36"/>
        <v>53.227209310667746</v>
      </c>
      <c r="X53" s="20">
        <f t="shared" si="37"/>
        <v>53.726754574223321</v>
      </c>
      <c r="Y53" s="20">
        <f t="shared" si="38"/>
        <v>54.102413591864291</v>
      </c>
    </row>
    <row r="54" spans="1:25" s="14" customFormat="1" ht="7.5" customHeight="1">
      <c r="C54" s="80"/>
      <c r="D54" s="8"/>
      <c r="E54" s="15"/>
      <c r="F54" s="15"/>
      <c r="G54" s="15"/>
      <c r="H54" s="15"/>
      <c r="I54" s="15"/>
      <c r="K54" s="53"/>
      <c r="L54" s="16"/>
      <c r="M54" s="15"/>
      <c r="N54" s="15"/>
      <c r="O54" s="15"/>
      <c r="P54" s="15"/>
      <c r="Q54" s="15"/>
      <c r="T54" s="269"/>
      <c r="U54" s="269"/>
      <c r="V54" s="269"/>
      <c r="W54" s="269"/>
      <c r="X54" s="269"/>
      <c r="Y54" s="269"/>
    </row>
    <row r="55" spans="1:25">
      <c r="A55" s="3"/>
      <c r="B55" s="3" t="s">
        <v>32</v>
      </c>
      <c r="C55" s="8">
        <f>AVERAGE(C47,C48)</f>
        <v>74.28</v>
      </c>
      <c r="D55" s="8">
        <f t="shared" ref="D55:I55" si="39">AVERAGE(D47,D48)</f>
        <v>74.955948000000006</v>
      </c>
      <c r="E55" s="8">
        <f t="shared" si="39"/>
        <v>75.469330449825208</v>
      </c>
      <c r="F55" s="8">
        <f t="shared" si="39"/>
        <v>76.121578756702434</v>
      </c>
      <c r="G55" s="8">
        <f t="shared" si="39"/>
        <v>76.815953129908678</v>
      </c>
      <c r="H55" s="8">
        <f t="shared" si="39"/>
        <v>77.536882257107209</v>
      </c>
      <c r="I55" s="8">
        <f t="shared" si="39"/>
        <v>78.079022374270039</v>
      </c>
      <c r="K55" s="8">
        <f>AVERAGE(K47,K48)</f>
        <v>97.509999999999991</v>
      </c>
      <c r="L55" s="8">
        <f t="shared" ref="L55:Q55" si="40">AVERAGE(L47,L48)</f>
        <v>98.397341000000011</v>
      </c>
      <c r="M55" s="8">
        <f t="shared" si="40"/>
        <v>99.071276415757353</v>
      </c>
      <c r="N55" s="8">
        <f t="shared" si="40"/>
        <v>99.927505985003421</v>
      </c>
      <c r="O55" s="8">
        <f t="shared" si="40"/>
        <v>100.83903594099887</v>
      </c>
      <c r="P55" s="8">
        <f t="shared" si="40"/>
        <v>101.78542526777765</v>
      </c>
      <c r="Q55" s="8">
        <f t="shared" si="40"/>
        <v>102.49711189707961</v>
      </c>
      <c r="S55" s="20">
        <f t="shared" ref="S55:Y56" si="41">K55-C55</f>
        <v>23.22999999999999</v>
      </c>
      <c r="T55" s="20">
        <f t="shared" si="41"/>
        <v>23.441393000000005</v>
      </c>
      <c r="U55" s="20">
        <f t="shared" si="41"/>
        <v>23.601945965932146</v>
      </c>
      <c r="V55" s="20">
        <f t="shared" si="41"/>
        <v>23.805927228300988</v>
      </c>
      <c r="W55" s="20">
        <f t="shared" si="41"/>
        <v>24.023082811090191</v>
      </c>
      <c r="X55" s="20">
        <f t="shared" si="41"/>
        <v>24.248543010670446</v>
      </c>
      <c r="Y55" s="20">
        <f t="shared" si="41"/>
        <v>24.418089522809566</v>
      </c>
    </row>
    <row r="56" spans="1:25" s="3" customFormat="1">
      <c r="B56" s="3" t="s">
        <v>33</v>
      </c>
      <c r="C56" s="8">
        <f>AVERAGE(C45,C47,C48)</f>
        <v>70.046666666666667</v>
      </c>
      <c r="D56" s="8">
        <f t="shared" ref="D56:I56" si="42">AVERAGE(D45,D47,D48)</f>
        <v>70.684091333333342</v>
      </c>
      <c r="E56" s="8">
        <f t="shared" si="42"/>
        <v>71.16821531469337</v>
      </c>
      <c r="F56" s="8">
        <f t="shared" si="42"/>
        <v>71.783290970801701</v>
      </c>
      <c r="G56" s="8">
        <f t="shared" si="42"/>
        <v>72.438091862856808</v>
      </c>
      <c r="H56" s="8">
        <f t="shared" si="42"/>
        <v>73.117934111957041</v>
      </c>
      <c r="I56" s="8">
        <f t="shared" si="42"/>
        <v>73.629176816231862</v>
      </c>
      <c r="K56" s="8">
        <f>AVERAGE(K45,K47,K48)</f>
        <v>90.823333333333338</v>
      </c>
      <c r="L56" s="8">
        <f t="shared" ref="L56:Q56" si="43">AVERAGE(L45,L47,L48)</f>
        <v>91.649825666666672</v>
      </c>
      <c r="M56" s="8">
        <f t="shared" si="43"/>
        <v>92.277546525147542</v>
      </c>
      <c r="N56" s="8">
        <f t="shared" si="43"/>
        <v>93.075060868060987</v>
      </c>
      <c r="O56" s="8">
        <f t="shared" si="43"/>
        <v>93.924083419970472</v>
      </c>
      <c r="P56" s="8">
        <f t="shared" si="43"/>
        <v>94.805574890477487</v>
      </c>
      <c r="Q56" s="8">
        <f t="shared" si="43"/>
        <v>95.468458204619267</v>
      </c>
      <c r="S56" s="20">
        <f t="shared" si="41"/>
        <v>20.776666666666671</v>
      </c>
      <c r="T56" s="20">
        <f t="shared" si="41"/>
        <v>20.96573433333333</v>
      </c>
      <c r="U56" s="20">
        <f t="shared" si="41"/>
        <v>21.109331210454172</v>
      </c>
      <c r="V56" s="20">
        <f t="shared" si="41"/>
        <v>21.291769897259286</v>
      </c>
      <c r="W56" s="20">
        <f t="shared" si="41"/>
        <v>21.485991557113664</v>
      </c>
      <c r="X56" s="20">
        <f t="shared" si="41"/>
        <v>21.687640778520446</v>
      </c>
      <c r="Y56" s="20">
        <f t="shared" si="41"/>
        <v>21.839281388387406</v>
      </c>
    </row>
    <row r="58" spans="1:25">
      <c r="C58" s="20"/>
    </row>
    <row r="59" spans="1:25">
      <c r="A59" s="34"/>
      <c r="B59" s="34"/>
      <c r="C59" s="35" t="s">
        <v>7</v>
      </c>
      <c r="D59" s="35"/>
      <c r="E59" s="34"/>
      <c r="F59" s="34"/>
      <c r="G59" s="34"/>
      <c r="H59" s="34"/>
      <c r="I59" s="34"/>
      <c r="J59" s="165"/>
      <c r="K59" s="35" t="s">
        <v>8</v>
      </c>
      <c r="L59" s="35"/>
      <c r="M59" s="34"/>
      <c r="N59" s="34"/>
      <c r="O59" s="34"/>
      <c r="P59" s="34"/>
      <c r="Q59" s="34"/>
      <c r="S59" s="35" t="s">
        <v>1135</v>
      </c>
      <c r="T59" s="35"/>
      <c r="U59" s="34"/>
      <c r="V59" s="34"/>
      <c r="W59" s="34"/>
      <c r="X59" s="34"/>
      <c r="Y59" s="34"/>
    </row>
    <row r="60" spans="1:25">
      <c r="A60" s="35" t="s">
        <v>31</v>
      </c>
      <c r="B60" s="35" t="s">
        <v>631</v>
      </c>
      <c r="C60" s="35" t="s">
        <v>81</v>
      </c>
      <c r="D60" s="36" t="s">
        <v>1</v>
      </c>
      <c r="E60" s="36" t="s">
        <v>2</v>
      </c>
      <c r="F60" s="36" t="s">
        <v>3</v>
      </c>
      <c r="G60" s="36" t="s">
        <v>4</v>
      </c>
      <c r="H60" s="36" t="s">
        <v>5</v>
      </c>
      <c r="I60" s="36" t="s">
        <v>6</v>
      </c>
      <c r="J60" s="165"/>
      <c r="K60" s="36" t="s">
        <v>81</v>
      </c>
      <c r="L60" s="36" t="s">
        <v>1</v>
      </c>
      <c r="M60" s="36" t="s">
        <v>2</v>
      </c>
      <c r="N60" s="36" t="s">
        <v>3</v>
      </c>
      <c r="O60" s="36" t="s">
        <v>4</v>
      </c>
      <c r="P60" s="36" t="s">
        <v>5</v>
      </c>
      <c r="Q60" s="36" t="s">
        <v>6</v>
      </c>
      <c r="S60" s="36" t="s">
        <v>81</v>
      </c>
      <c r="T60" s="36" t="s">
        <v>1</v>
      </c>
      <c r="U60" s="36" t="s">
        <v>2</v>
      </c>
      <c r="V60" s="36" t="s">
        <v>3</v>
      </c>
      <c r="W60" s="36" t="s">
        <v>4</v>
      </c>
      <c r="X60" s="36" t="s">
        <v>5</v>
      </c>
      <c r="Y60" s="36" t="s">
        <v>6</v>
      </c>
    </row>
    <row r="61" spans="1:25">
      <c r="A61" s="165" t="s">
        <v>10</v>
      </c>
      <c r="B61" s="119" t="s">
        <v>16</v>
      </c>
      <c r="C61" s="79">
        <f>C32/(1+'Escalators &amp; overheads'!C$20)</f>
        <v>45.808045165843325</v>
      </c>
      <c r="D61" s="79">
        <f>D32/(1+'Escalators &amp; overheads'!D$20)</f>
        <v>46.224898376852501</v>
      </c>
      <c r="E61" s="79">
        <f>E32/(1+'Escalators &amp; overheads'!E$20)</f>
        <v>46.541498355971306</v>
      </c>
      <c r="F61" s="79">
        <f>F32/(1+'Escalators &amp; overheads'!F$20)</f>
        <v>46.943736103693126</v>
      </c>
      <c r="G61" s="79">
        <f>G32/(1+'Escalators &amp; overheads'!G$20)</f>
        <v>47.371952752183113</v>
      </c>
      <c r="H61" s="79">
        <f>H32/(1+'Escalators &amp; overheads'!H$20)</f>
        <v>47.816545563438929</v>
      </c>
      <c r="I61" s="79">
        <f>I32/(1+'Escalators &amp; overheads'!I$20)</f>
        <v>48.150880229206443</v>
      </c>
      <c r="K61" s="79">
        <f>K32/(1+'Escalators &amp; overheads'!C$20)</f>
        <v>60.232886379675364</v>
      </c>
      <c r="L61" s="79">
        <f>L32/(1+'Escalators &amp; overheads'!D$20)</f>
        <v>60.781005645730424</v>
      </c>
      <c r="M61" s="79">
        <f>M32/(1+'Escalators &amp; overheads'!E$20)</f>
        <v>61.19730218274767</v>
      </c>
      <c r="N61" s="79">
        <f>N32/(1+'Escalators &amp; overheads'!F$20)</f>
        <v>61.726203611927417</v>
      </c>
      <c r="O61" s="79">
        <f>O32/(1+'Escalators &amp; overheads'!G$20)</f>
        <v>62.289264634090713</v>
      </c>
      <c r="P61" s="79">
        <f>P32/(1+'Escalators &amp; overheads'!H$20)</f>
        <v>62.873858632560662</v>
      </c>
      <c r="Q61" s="79">
        <f>Q32/(1+'Escalators &amp; overheads'!I$20)</f>
        <v>63.313474465610383</v>
      </c>
      <c r="S61" s="20">
        <f>K61-C61</f>
        <v>14.424841213832039</v>
      </c>
      <c r="T61" s="20">
        <f t="shared" ref="T61:T69" si="44">L61-D61</f>
        <v>14.556107268877923</v>
      </c>
      <c r="U61" s="20">
        <f t="shared" ref="U61:U69" si="45">M61-E61</f>
        <v>14.655803826776364</v>
      </c>
      <c r="V61" s="20">
        <f t="shared" ref="V61:V69" si="46">N61-F61</f>
        <v>14.782467508234291</v>
      </c>
      <c r="W61" s="20">
        <f t="shared" ref="W61:W69" si="47">O61-G61</f>
        <v>14.917311881907601</v>
      </c>
      <c r="X61" s="20">
        <f t="shared" ref="X61:X69" si="48">P61-H61</f>
        <v>15.057313069121733</v>
      </c>
      <c r="Y61" s="20">
        <f t="shared" ref="Y61:Y69" si="49">Q61-I61</f>
        <v>15.16259423640394</v>
      </c>
    </row>
    <row r="62" spans="1:25">
      <c r="A62" s="165"/>
      <c r="B62" s="119" t="s">
        <v>12</v>
      </c>
      <c r="C62" s="79">
        <f>C33/(1+'Escalators &amp; overheads'!C$20)</f>
        <v>68.108680310515169</v>
      </c>
      <c r="D62" s="79">
        <f>D33/(1+'Escalators &amp; overheads'!D$20)</f>
        <v>68.72846930134088</v>
      </c>
      <c r="E62" s="79">
        <f>E33/(1+'Escalators &amp; overheads'!E$20)</f>
        <v>69.199198988365296</v>
      </c>
      <c r="F62" s="79">
        <f>F33/(1+'Escalators &amp; overheads'!F$20)</f>
        <v>69.797257300376288</v>
      </c>
      <c r="G62" s="79">
        <f>G33/(1+'Escalators &amp; overheads'!G$20)</f>
        <v>70.433941767265338</v>
      </c>
      <c r="H62" s="79">
        <f>H33/(1+'Escalators &amp; overheads'!H$20)</f>
        <v>71.094974770104628</v>
      </c>
      <c r="I62" s="79">
        <f>I33/(1+'Escalators &amp; overheads'!I$20)</f>
        <v>71.592072884312344</v>
      </c>
      <c r="K62" s="79">
        <f>K33/(1+'Escalators &amp; overheads'!C$20)</f>
        <v>89.837685250529276</v>
      </c>
      <c r="L62" s="79">
        <f>L33/(1+'Escalators &amp; overheads'!D$20)</f>
        <v>90.65520818630911</v>
      </c>
      <c r="M62" s="79">
        <f>M33/(1+'Escalators &amp; overheads'!E$20)</f>
        <v>91.276116788093475</v>
      </c>
      <c r="N62" s="79">
        <f>N33/(1+'Escalators &amp; overheads'!F$20)</f>
        <v>92.06497621322039</v>
      </c>
      <c r="O62" s="79">
        <f>O33/(1+'Escalators &amp; overheads'!G$20)</f>
        <v>92.904784861391306</v>
      </c>
      <c r="P62" s="79">
        <f>P33/(1+'Escalators &amp; overheads'!H$20)</f>
        <v>93.776710063561467</v>
      </c>
      <c r="Q62" s="79">
        <f>Q33/(1+'Escalators &amp; overheads'!I$20)</f>
        <v>94.432399525157606</v>
      </c>
      <c r="S62" s="20">
        <f t="shared" ref="S62:S69" si="50">K62-C62</f>
        <v>21.729004940014107</v>
      </c>
      <c r="T62" s="20">
        <f t="shared" si="44"/>
        <v>21.926738884968231</v>
      </c>
      <c r="U62" s="20">
        <f t="shared" si="45"/>
        <v>22.076917799728179</v>
      </c>
      <c r="V62" s="20">
        <f t="shared" si="46"/>
        <v>22.267718912844103</v>
      </c>
      <c r="W62" s="20">
        <f t="shared" si="47"/>
        <v>22.470843094125968</v>
      </c>
      <c r="X62" s="20">
        <f t="shared" si="48"/>
        <v>22.681735293456839</v>
      </c>
      <c r="Y62" s="20">
        <f t="shared" si="49"/>
        <v>22.840326640845262</v>
      </c>
    </row>
    <row r="63" spans="1:25">
      <c r="A63" s="165"/>
      <c r="B63" s="119" t="s">
        <v>17</v>
      </c>
      <c r="C63" s="79">
        <f>C34/(1+'Escalators &amp; overheads'!C$20)</f>
        <v>42.124206069160195</v>
      </c>
      <c r="D63" s="79">
        <f>D34/(1+'Escalators &amp; overheads'!D$20)</f>
        <v>42.507536344389557</v>
      </c>
      <c r="E63" s="79">
        <f>E34/(1+'Escalators &amp; overheads'!E$20)</f>
        <v>42.798675656569515</v>
      </c>
      <c r="F63" s="79">
        <f>F34/(1+'Escalators &amp; overheads'!F$20)</f>
        <v>43.168565830063827</v>
      </c>
      <c r="G63" s="79">
        <f>G34/(1+'Escalators &amp; overheads'!G$20)</f>
        <v>43.5623457060208</v>
      </c>
      <c r="H63" s="79">
        <f>H34/(1+'Escalators &amp; overheads'!H$20)</f>
        <v>43.971184789426431</v>
      </c>
      <c r="I63" s="79">
        <f>I34/(1+'Escalators &amp; overheads'!I$20)</f>
        <v>44.278632581749072</v>
      </c>
      <c r="K63" s="79">
        <f>K34/(1+'Escalators &amp; overheads'!C$20)</f>
        <v>58.567395906845441</v>
      </c>
      <c r="L63" s="79">
        <f>L34/(1+'Escalators &amp; overheads'!D$20)</f>
        <v>59.100359209597741</v>
      </c>
      <c r="M63" s="79">
        <f>M34/(1+'Escalators &amp; overheads'!E$20)</f>
        <v>59.505144793746084</v>
      </c>
      <c r="N63" s="79">
        <f>N34/(1+'Escalators &amp; overheads'!F$20)</f>
        <v>60.019421649137151</v>
      </c>
      <c r="O63" s="79">
        <f>O34/(1+'Escalators &amp; overheads'!G$20)</f>
        <v>60.566913555749132</v>
      </c>
      <c r="P63" s="79">
        <f>P34/(1+'Escalators &amp; overheads'!H$20)</f>
        <v>61.135343033581826</v>
      </c>
      <c r="Q63" s="79">
        <f>Q34/(1+'Escalators &amp; overheads'!I$20)</f>
        <v>61.56280311541893</v>
      </c>
      <c r="S63" s="20">
        <f t="shared" si="50"/>
        <v>16.443189837685246</v>
      </c>
      <c r="T63" s="20">
        <f t="shared" si="44"/>
        <v>16.592822865208184</v>
      </c>
      <c r="U63" s="20">
        <f t="shared" si="45"/>
        <v>16.706469137176569</v>
      </c>
      <c r="V63" s="20">
        <f t="shared" si="46"/>
        <v>16.850855819073324</v>
      </c>
      <c r="W63" s="20">
        <f t="shared" si="47"/>
        <v>17.004567849728332</v>
      </c>
      <c r="X63" s="20">
        <f t="shared" si="48"/>
        <v>17.164158244155395</v>
      </c>
      <c r="Y63" s="20">
        <f t="shared" si="49"/>
        <v>17.284170533669858</v>
      </c>
    </row>
    <row r="64" spans="1:25">
      <c r="A64" s="165"/>
      <c r="B64" s="119" t="s">
        <v>18</v>
      </c>
      <c r="C64" s="79">
        <f>C35/(1+'Escalators &amp; overheads'!C$20)</f>
        <v>53.345095271700778</v>
      </c>
      <c r="D64" s="79">
        <f>D35/(1+'Escalators &amp; overheads'!D$20)</f>
        <v>53.830535638673261</v>
      </c>
      <c r="E64" s="79">
        <f>E35/(1+'Escalators &amp; overheads'!E$20)</f>
        <v>54.199227557046243</v>
      </c>
      <c r="F64" s="79">
        <f>F35/(1+'Escalators &amp; overheads'!F$20)</f>
        <v>54.667647698015152</v>
      </c>
      <c r="G64" s="79">
        <f>G35/(1+'Escalators &amp; overheads'!G$20)</f>
        <v>55.166321191457733</v>
      </c>
      <c r="H64" s="79">
        <f>H35/(1+'Escalators &amp; overheads'!H$20)</f>
        <v>55.684065307970236</v>
      </c>
      <c r="I64" s="79">
        <f>I35/(1+'Escalators &amp; overheads'!I$20)</f>
        <v>56.073409898716903</v>
      </c>
      <c r="K64" s="79">
        <f>K35/(1+'Escalators &amp; overheads'!C$20)</f>
        <v>74.707127734650669</v>
      </c>
      <c r="L64" s="79">
        <f>L35/(1+'Escalators &amp; overheads'!D$20)</f>
        <v>75.386962597035989</v>
      </c>
      <c r="M64" s="79">
        <f>M35/(1+'Escalators &amp; overheads'!E$20)</f>
        <v>75.903297118519845</v>
      </c>
      <c r="N64" s="79">
        <f>N35/(1+'Escalators &amp; overheads'!F$20)</f>
        <v>76.559296008888523</v>
      </c>
      <c r="O64" s="79">
        <f>O35/(1+'Escalators &amp; overheads'!G$20)</f>
        <v>77.2576632005254</v>
      </c>
      <c r="P64" s="79">
        <f>P35/(1+'Escalators &amp; overheads'!H$20)</f>
        <v>77.982737842330067</v>
      </c>
      <c r="Q64" s="79">
        <f>Q35/(1+'Escalators &amp; overheads'!I$20)</f>
        <v>78.527995394604744</v>
      </c>
      <c r="S64" s="20">
        <f t="shared" si="50"/>
        <v>21.362032462949891</v>
      </c>
      <c r="T64" s="20">
        <f t="shared" si="44"/>
        <v>21.556426958362728</v>
      </c>
      <c r="U64" s="20">
        <f t="shared" si="45"/>
        <v>21.704069561473602</v>
      </c>
      <c r="V64" s="20">
        <f t="shared" si="46"/>
        <v>21.891648310873371</v>
      </c>
      <c r="W64" s="20">
        <f t="shared" si="47"/>
        <v>22.091342009067667</v>
      </c>
      <c r="X64" s="20">
        <f t="shared" si="48"/>
        <v>22.298672534359831</v>
      </c>
      <c r="Y64" s="20">
        <f t="shared" si="49"/>
        <v>22.454585495887841</v>
      </c>
    </row>
    <row r="65" spans="1:25">
      <c r="A65" s="165"/>
      <c r="B65" s="119" t="s">
        <v>19</v>
      </c>
      <c r="C65" s="79">
        <f>C36/(1+'Escalators &amp; overheads'!C$20)</f>
        <v>49.999999999999993</v>
      </c>
      <c r="D65" s="79">
        <f>D36/(1+'Escalators &amp; overheads'!D$20)</f>
        <v>50.455000000000005</v>
      </c>
      <c r="E65" s="79">
        <f>E36/(1+'Escalators &amp; overheads'!E$20)</f>
        <v>50.800572462187134</v>
      </c>
      <c r="F65" s="79">
        <f>F36/(1+'Escalators &amp; overheads'!F$20)</f>
        <v>51.239619518512683</v>
      </c>
      <c r="G65" s="79">
        <f>G36/(1+'Escalators &amp; overheads'!G$20)</f>
        <v>51.707022839195403</v>
      </c>
      <c r="H65" s="79">
        <f>H36/(1+'Escalators &amp; overheads'!H$20)</f>
        <v>52.19230092697039</v>
      </c>
      <c r="I65" s="79">
        <f>I36/(1+'Escalators &amp; overheads'!I$20)</f>
        <v>52.557231000451033</v>
      </c>
      <c r="K65" s="79">
        <f>K36/(1+'Escalators &amp; overheads'!C$20)</f>
        <v>67.791107974594212</v>
      </c>
      <c r="L65" s="79">
        <f>L36/(1+'Escalators &amp; overheads'!D$20)</f>
        <v>68.408007057163033</v>
      </c>
      <c r="M65" s="79">
        <f>M36/(1+'Escalators &amp; overheads'!E$20)</f>
        <v>68.87654185910651</v>
      </c>
      <c r="N65" s="79">
        <f>N36/(1+'Escalators &amp; overheads'!F$20)</f>
        <v>69.471811587132365</v>
      </c>
      <c r="O65" s="79">
        <f>O36/(1+'Escalators &amp; overheads'!G$20)</f>
        <v>70.105527366734094</v>
      </c>
      <c r="P65" s="79">
        <f>P36/(1+'Escalators &amp; overheads'!H$20)</f>
        <v>70.763478151655264</v>
      </c>
      <c r="Q65" s="79">
        <f>Q36/(1+'Escalators &amp; overheads'!I$20)</f>
        <v>71.258258431945308</v>
      </c>
      <c r="S65" s="20">
        <f t="shared" si="50"/>
        <v>17.791107974594219</v>
      </c>
      <c r="T65" s="20">
        <f t="shared" si="44"/>
        <v>17.953007057163028</v>
      </c>
      <c r="U65" s="20">
        <f t="shared" si="45"/>
        <v>18.075969396919376</v>
      </c>
      <c r="V65" s="20">
        <f t="shared" si="46"/>
        <v>18.232192068619682</v>
      </c>
      <c r="W65" s="20">
        <f t="shared" si="47"/>
        <v>18.398504527538691</v>
      </c>
      <c r="X65" s="20">
        <f t="shared" si="48"/>
        <v>18.571177224684874</v>
      </c>
      <c r="Y65" s="20">
        <f t="shared" si="49"/>
        <v>18.701027431494275</v>
      </c>
    </row>
    <row r="66" spans="1:25">
      <c r="A66" s="165"/>
      <c r="B66" s="119" t="s">
        <v>20</v>
      </c>
      <c r="C66" s="79">
        <f>C37/(1+'Escalators &amp; overheads'!C$20)</f>
        <v>62.293577981651374</v>
      </c>
      <c r="D66" s="79">
        <f>D37/(1+'Escalators &amp; overheads'!D$20)</f>
        <v>62.86044954128441</v>
      </c>
      <c r="E66" s="79">
        <f>E37/(1+'Escalators &amp; overheads'!E$20)</f>
        <v>63.290988443715726</v>
      </c>
      <c r="F66" s="79">
        <f>F37/(1+'Escalators &amp; overheads'!F$20)</f>
        <v>63.837984684532316</v>
      </c>
      <c r="G66" s="79">
        <f>G37/(1+'Escalators &amp; overheads'!G$20)</f>
        <v>64.420309188648957</v>
      </c>
      <c r="H66" s="79">
        <f>H37/(1+'Escalators &amp; overheads'!H$20)</f>
        <v>65.024903356720912</v>
      </c>
      <c r="I66" s="79">
        <f>I37/(1+'Escalators &amp; overheads'!I$20)</f>
        <v>65.479559356525243</v>
      </c>
      <c r="K66" s="79">
        <f>K37/(1+'Escalators &amp; overheads'!C$20)</f>
        <v>83.048694424841216</v>
      </c>
      <c r="L66" s="79">
        <f>L37/(1+'Escalators &amp; overheads'!D$20)</f>
        <v>83.804437544107273</v>
      </c>
      <c r="M66" s="79">
        <f>M37/(1+'Escalators &amp; overheads'!E$20)</f>
        <v>84.378424380383677</v>
      </c>
      <c r="N66" s="79">
        <f>N37/(1+'Escalators &amp; overheads'!F$20)</f>
        <v>85.107670076761792</v>
      </c>
      <c r="O66" s="79">
        <f>O37/(1+'Escalators &amp; overheads'!G$20)</f>
        <v>85.884014787812504</v>
      </c>
      <c r="P66" s="79">
        <f>P37/(1+'Escalators &amp; overheads'!H$20)</f>
        <v>86.690049020266429</v>
      </c>
      <c r="Q66" s="79">
        <f>Q37/(1+'Escalators &amp; overheads'!I$20)</f>
        <v>87.29618834344501</v>
      </c>
      <c r="S66" s="20">
        <f t="shared" si="50"/>
        <v>20.755116443189841</v>
      </c>
      <c r="T66" s="20">
        <f t="shared" si="44"/>
        <v>20.943988002822863</v>
      </c>
      <c r="U66" s="20">
        <f t="shared" si="45"/>
        <v>21.087435936667951</v>
      </c>
      <c r="V66" s="20">
        <f t="shared" si="46"/>
        <v>21.269685392229476</v>
      </c>
      <c r="W66" s="20">
        <f t="shared" si="47"/>
        <v>21.463705599163546</v>
      </c>
      <c r="X66" s="20">
        <f t="shared" si="48"/>
        <v>21.665145663545516</v>
      </c>
      <c r="Y66" s="20">
        <f t="shared" si="49"/>
        <v>21.816628986919767</v>
      </c>
    </row>
    <row r="67" spans="1:25">
      <c r="A67" s="165"/>
      <c r="B67" s="119" t="s">
        <v>21</v>
      </c>
      <c r="C67" s="79">
        <f>C38/(1+'Escalators &amp; overheads'!C$20)</f>
        <v>58.757939308398029</v>
      </c>
      <c r="D67" s="79">
        <f>D38/(1+'Escalators &amp; overheads'!D$20)</f>
        <v>59.292636556104455</v>
      </c>
      <c r="E67" s="79">
        <f>E38/(1+'Escalators &amp; overheads'!E$20)</f>
        <v>59.698739071301361</v>
      </c>
      <c r="F67" s="79">
        <f>F38/(1+'Escalators &amp; overheads'!F$20)</f>
        <v>60.214689077083506</v>
      </c>
      <c r="G67" s="79">
        <f>G38/(1+'Escalators &amp; overheads'!G$20)</f>
        <v>60.76396219606788</v>
      </c>
      <c r="H67" s="79">
        <f>H38/(1+'Escalators &amp; overheads'!H$20)</f>
        <v>61.334241004651439</v>
      </c>
      <c r="I67" s="79">
        <f>I38/(1+'Escalators &amp; overheads'!I$20)</f>
        <v>61.763091786839134</v>
      </c>
      <c r="K67" s="79">
        <f>K38/(1+'Escalators &amp; overheads'!C$20)</f>
        <v>79.343683839096684</v>
      </c>
      <c r="L67" s="79">
        <f>L38/(1+'Escalators &amp; overheads'!D$20)</f>
        <v>80.065711362032474</v>
      </c>
      <c r="M67" s="79">
        <f>M38/(1+'Escalators &amp; overheads'!E$20)</f>
        <v>80.61409120569796</v>
      </c>
      <c r="N67" s="79">
        <f>N38/(1+'Escalators &amp; overheads'!F$20)</f>
        <v>81.310803422249549</v>
      </c>
      <c r="O67" s="79">
        <f>O38/(1+'Escalators &amp; overheads'!G$20)</f>
        <v>82.052513448281431</v>
      </c>
      <c r="P67" s="79">
        <f>P38/(1+'Escalators &amp; overheads'!H$20)</f>
        <v>82.822588471690622</v>
      </c>
      <c r="Q67" s="79">
        <f>Q38/(1+'Escalators &amp; overheads'!I$20)</f>
        <v>83.401686399163154</v>
      </c>
      <c r="S67" s="20">
        <f t="shared" si="50"/>
        <v>20.585744530698655</v>
      </c>
      <c r="T67" s="20">
        <f t="shared" si="44"/>
        <v>20.773074805928019</v>
      </c>
      <c r="U67" s="20">
        <f t="shared" si="45"/>
        <v>20.915352134396599</v>
      </c>
      <c r="V67" s="20">
        <f t="shared" si="46"/>
        <v>21.096114345166043</v>
      </c>
      <c r="W67" s="20">
        <f t="shared" si="47"/>
        <v>21.288551252213551</v>
      </c>
      <c r="X67" s="20">
        <f t="shared" si="48"/>
        <v>21.488347467039183</v>
      </c>
      <c r="Y67" s="20">
        <f t="shared" si="49"/>
        <v>21.63859461232402</v>
      </c>
    </row>
    <row r="68" spans="1:25">
      <c r="A68" s="165"/>
      <c r="B68" s="119" t="s">
        <v>22</v>
      </c>
      <c r="C68" s="79">
        <f>C39/(1+'Escalators &amp; overheads'!C$20)</f>
        <v>34.340155257586446</v>
      </c>
      <c r="D68" s="79">
        <f>D39/(1+'Escalators &amp; overheads'!D$20)</f>
        <v>34.652650670430489</v>
      </c>
      <c r="E68" s="79">
        <f>E39/(1+'Escalators &amp; overheads'!E$20)</f>
        <v>34.889990910515543</v>
      </c>
      <c r="F68" s="79">
        <f>F39/(1+'Escalators &amp; overheads'!F$20)</f>
        <v>35.191529792107652</v>
      </c>
      <c r="G68" s="79">
        <f>G39/(1+'Escalators &amp; overheads'!G$20)</f>
        <v>35.512543844110773</v>
      </c>
      <c r="H68" s="79">
        <f>H39/(1+'Escalators &amp; overheads'!H$20)</f>
        <v>35.845834341656726</v>
      </c>
      <c r="I68" s="79">
        <f>I39/(1+'Escalators &amp; overheads'!I$20)</f>
        <v>36.096469449286474</v>
      </c>
      <c r="K68" s="79">
        <f>K39/(1+'Escalators &amp; overheads'!C$20)</f>
        <v>47.233592095977421</v>
      </c>
      <c r="L68" s="79">
        <f>L39/(1+'Escalators &amp; overheads'!D$20)</f>
        <v>47.663417784050822</v>
      </c>
      <c r="M68" s="79">
        <f>M39/(1+'Escalators &amp; overheads'!E$20)</f>
        <v>47.989870358421811</v>
      </c>
      <c r="N68" s="79">
        <f>N39/(1+'Escalators &amp; overheads'!F$20)</f>
        <v>48.404625749810215</v>
      </c>
      <c r="O68" s="79">
        <f>O39/(1+'Escalators &amp; overheads'!G$20)</f>
        <v>48.846168505678875</v>
      </c>
      <c r="P68" s="79">
        <f>P39/(1+'Escalators &amp; overheads'!H$20)</f>
        <v>49.304597050700472</v>
      </c>
      <c r="Q68" s="79">
        <f>Q39/(1+'Escalators &amp; overheads'!I$20)</f>
        <v>49.649336215387265</v>
      </c>
      <c r="S68" s="20">
        <f t="shared" si="50"/>
        <v>12.893436838390976</v>
      </c>
      <c r="T68" s="20">
        <f t="shared" si="44"/>
        <v>13.010767113620332</v>
      </c>
      <c r="U68" s="20">
        <f t="shared" si="45"/>
        <v>13.099879447906268</v>
      </c>
      <c r="V68" s="20">
        <f t="shared" si="46"/>
        <v>13.213095957702564</v>
      </c>
      <c r="W68" s="20">
        <f t="shared" si="47"/>
        <v>13.333624661568102</v>
      </c>
      <c r="X68" s="20">
        <f t="shared" si="48"/>
        <v>13.458762709043746</v>
      </c>
      <c r="Y68" s="20">
        <f t="shared" si="49"/>
        <v>13.552866766100792</v>
      </c>
    </row>
    <row r="69" spans="1:25">
      <c r="A69" s="165"/>
      <c r="B69" s="165" t="s">
        <v>23</v>
      </c>
      <c r="C69" s="79">
        <f>C40/(1+'Escalators &amp; overheads'!C$20)</f>
        <v>73.549752999294284</v>
      </c>
      <c r="D69" s="79">
        <f>D40/(1+'Escalators &amp; overheads'!D$20)</f>
        <v>74.219055751587874</v>
      </c>
      <c r="E69" s="79">
        <f>E40/(1+'Escalators &amp; overheads'!E$20)</f>
        <v>74.727391136332301</v>
      </c>
      <c r="F69" s="79">
        <f>F40/(1+'Escalators &amp; overheads'!F$20)</f>
        <v>75.373227187288521</v>
      </c>
      <c r="G69" s="79">
        <f>G40/(1+'Escalators &amp; overheads'!G$20)</f>
        <v>76.06077516303381</v>
      </c>
      <c r="H69" s="79">
        <f>H40/(1+'Escalators &amp; overheads'!H$20)</f>
        <v>76.774616832870208</v>
      </c>
      <c r="I69" s="79">
        <f>I40/(1+'Escalators &amp; overheads'!I$20)</f>
        <v>77.311427168200524</v>
      </c>
      <c r="K69" s="79">
        <f>K40/(1+'Escalators &amp; overheads'!C$20)</f>
        <v>103.4438955539873</v>
      </c>
      <c r="L69" s="79">
        <f>L40/(1+'Escalators &amp; overheads'!D$20)</f>
        <v>104.38523500352861</v>
      </c>
      <c r="M69" s="79">
        <f>M40/(1+'Escalators &amp; overheads'!E$20)</f>
        <v>105.10018223722501</v>
      </c>
      <c r="N69" s="79">
        <f>N40/(1+'Escalators &amp; overheads'!F$20)</f>
        <v>106.00851699398152</v>
      </c>
      <c r="O69" s="79">
        <f>O40/(1+'Escalators &amp; overheads'!G$20)</f>
        <v>106.97551739970731</v>
      </c>
      <c r="P69" s="79">
        <f>P40/(1+'Escalators &amp; overheads'!H$20)</f>
        <v>107.97949851623601</v>
      </c>
      <c r="Q69" s="79">
        <f>Q40/(1+'Escalators &amp; overheads'!I$20)</f>
        <v>108.7344942843488</v>
      </c>
      <c r="S69" s="20">
        <f t="shared" si="50"/>
        <v>29.894142554693019</v>
      </c>
      <c r="T69" s="20">
        <f t="shared" si="44"/>
        <v>30.166179251940733</v>
      </c>
      <c r="U69" s="20">
        <f t="shared" si="45"/>
        <v>30.372791100892712</v>
      </c>
      <c r="V69" s="20">
        <f t="shared" si="46"/>
        <v>30.635289806692995</v>
      </c>
      <c r="W69" s="20">
        <f t="shared" si="47"/>
        <v>30.914742236673504</v>
      </c>
      <c r="X69" s="20">
        <f t="shared" si="48"/>
        <v>31.204881683365798</v>
      </c>
      <c r="Y69" s="20">
        <f t="shared" si="49"/>
        <v>31.423067116148275</v>
      </c>
    </row>
    <row r="70" spans="1:25">
      <c r="A70" s="165"/>
      <c r="B70" s="165"/>
      <c r="S70" s="269"/>
      <c r="T70" s="269"/>
      <c r="U70" s="269"/>
      <c r="V70" s="269"/>
      <c r="W70" s="269"/>
      <c r="X70" s="269"/>
      <c r="Y70" s="269"/>
    </row>
    <row r="71" spans="1:25">
      <c r="A71" s="165"/>
      <c r="B71" s="165" t="s">
        <v>32</v>
      </c>
      <c r="C71" s="79">
        <f>AVERAGE(C63,C64)</f>
        <v>47.734650670430483</v>
      </c>
      <c r="D71" s="79">
        <f t="shared" ref="D71:I71" si="51">AVERAGE(D63,D64)</f>
        <v>48.169035991531409</v>
      </c>
      <c r="E71" s="79">
        <f t="shared" si="51"/>
        <v>48.498951606807879</v>
      </c>
      <c r="F71" s="79">
        <f t="shared" si="51"/>
        <v>48.918106764039493</v>
      </c>
      <c r="G71" s="79">
        <f t="shared" si="51"/>
        <v>49.364333448739266</v>
      </c>
      <c r="H71" s="79">
        <f t="shared" si="51"/>
        <v>49.827625048698337</v>
      </c>
      <c r="I71" s="79">
        <f t="shared" si="51"/>
        <v>50.176021240232984</v>
      </c>
      <c r="K71" s="8">
        <f>AVERAGE(K63,K64)</f>
        <v>66.637261820748051</v>
      </c>
      <c r="L71" s="8">
        <f t="shared" ref="L71:Q71" si="52">AVERAGE(L63,L64)</f>
        <v>67.243660903316865</v>
      </c>
      <c r="M71" s="8">
        <f t="shared" si="52"/>
        <v>67.704220956132957</v>
      </c>
      <c r="N71" s="8">
        <f t="shared" si="52"/>
        <v>68.289358829012841</v>
      </c>
      <c r="O71" s="8">
        <f t="shared" si="52"/>
        <v>68.912288378137262</v>
      </c>
      <c r="P71" s="8">
        <f t="shared" si="52"/>
        <v>69.559040437955943</v>
      </c>
      <c r="Q71" s="8">
        <f t="shared" si="52"/>
        <v>70.04539925501183</v>
      </c>
      <c r="S71" s="20">
        <f t="shared" ref="S71:Y72" si="53">K71-C71</f>
        <v>18.902611150317568</v>
      </c>
      <c r="T71" s="20">
        <f t="shared" si="53"/>
        <v>19.074624911785456</v>
      </c>
      <c r="U71" s="20">
        <f t="shared" si="53"/>
        <v>19.205269349325079</v>
      </c>
      <c r="V71" s="20">
        <f t="shared" si="53"/>
        <v>19.371252064973348</v>
      </c>
      <c r="W71" s="20">
        <f t="shared" si="53"/>
        <v>19.547954929397996</v>
      </c>
      <c r="X71" s="20">
        <f t="shared" si="53"/>
        <v>19.731415389257606</v>
      </c>
      <c r="Y71" s="20">
        <f t="shared" si="53"/>
        <v>19.869378014778846</v>
      </c>
    </row>
    <row r="72" spans="1:25">
      <c r="A72" s="165"/>
      <c r="B72" s="165" t="s">
        <v>33</v>
      </c>
      <c r="C72" s="79">
        <f>AVERAGE(C61,C63,C64)</f>
        <v>47.092448835568099</v>
      </c>
      <c r="D72" s="79">
        <f t="shared" ref="D72:I72" si="54">AVERAGE(D61,D63,D64)</f>
        <v>47.520990119971771</v>
      </c>
      <c r="E72" s="79">
        <f t="shared" si="54"/>
        <v>47.846467189862352</v>
      </c>
      <c r="F72" s="79">
        <f t="shared" si="54"/>
        <v>48.259983210590697</v>
      </c>
      <c r="G72" s="79">
        <f t="shared" si="54"/>
        <v>48.700206549887213</v>
      </c>
      <c r="H72" s="79">
        <f t="shared" si="54"/>
        <v>49.157265220278532</v>
      </c>
      <c r="I72" s="79">
        <f t="shared" si="54"/>
        <v>49.500974236557475</v>
      </c>
      <c r="J72" s="79"/>
      <c r="K72" s="79">
        <f>AVERAGE(K61,K63,K64)</f>
        <v>64.502470007057155</v>
      </c>
      <c r="L72" s="79">
        <f t="shared" ref="L72:Q72" si="55">AVERAGE(L61,L63,L64)</f>
        <v>65.089442484121392</v>
      </c>
      <c r="M72" s="79">
        <f t="shared" si="55"/>
        <v>65.535248031671202</v>
      </c>
      <c r="N72" s="79">
        <f t="shared" si="55"/>
        <v>66.10164042331769</v>
      </c>
      <c r="O72" s="79">
        <f t="shared" si="55"/>
        <v>66.704613796788422</v>
      </c>
      <c r="P72" s="79">
        <f t="shared" si="55"/>
        <v>67.330646502824194</v>
      </c>
      <c r="Q72" s="79">
        <f t="shared" si="55"/>
        <v>67.801424325211357</v>
      </c>
      <c r="S72" s="20">
        <f t="shared" si="53"/>
        <v>17.410021171489056</v>
      </c>
      <c r="T72" s="20">
        <f t="shared" si="53"/>
        <v>17.568452364149621</v>
      </c>
      <c r="U72" s="20">
        <f t="shared" si="53"/>
        <v>17.68878084180885</v>
      </c>
      <c r="V72" s="20">
        <f t="shared" si="53"/>
        <v>17.841657212726993</v>
      </c>
      <c r="W72" s="20">
        <f t="shared" si="53"/>
        <v>18.004407246901209</v>
      </c>
      <c r="X72" s="20">
        <f t="shared" si="53"/>
        <v>18.173381282545662</v>
      </c>
      <c r="Y72" s="20">
        <f t="shared" si="53"/>
        <v>18.300450088653882</v>
      </c>
    </row>
    <row r="73" spans="1:25">
      <c r="A73" s="165"/>
      <c r="B73" s="7"/>
      <c r="S73" s="269"/>
      <c r="T73" s="269"/>
      <c r="U73" s="269"/>
      <c r="V73" s="269"/>
      <c r="W73" s="269"/>
      <c r="X73" s="269"/>
      <c r="Y73" s="269"/>
    </row>
    <row r="74" spans="1:25">
      <c r="A74" s="165" t="s">
        <v>11</v>
      </c>
      <c r="B74" s="165" t="s">
        <v>16</v>
      </c>
      <c r="C74" s="20">
        <f>C45/(1+'Escalators &amp; overheads'!C$22)</f>
        <v>42.912891986062718</v>
      </c>
      <c r="D74" s="20">
        <f>D45/(1+'Escalators &amp; overheads'!D$22)</f>
        <v>43.30339930313589</v>
      </c>
      <c r="E74" s="20">
        <f>E45/(1+'Escalators &amp; overheads'!E$22)</f>
        <v>43.599989577999779</v>
      </c>
      <c r="F74" s="20">
        <f>F45/(1+'Escalators &amp; overheads'!F$22)</f>
        <v>43.976805156097711</v>
      </c>
      <c r="G74" s="20">
        <f>G45/(1+'Escalators &amp; overheads'!G$22)</f>
        <v>44.377957720385403</v>
      </c>
      <c r="H74" s="20">
        <f>H45/(1+'Escalators &amp; overheads'!H$22)</f>
        <v>44.794451443663228</v>
      </c>
      <c r="I74" s="20">
        <f>I45/(1+'Escalators &amp; overheads'!I$22)</f>
        <v>45.107655540178044</v>
      </c>
      <c r="K74" s="20">
        <f>K45/(1+'Escalators &amp; overheads'!C$22)</f>
        <v>53.972125435540072</v>
      </c>
      <c r="L74" s="20">
        <f>L45/(1+'Escalators &amp; overheads'!D$22)</f>
        <v>54.463271777003484</v>
      </c>
      <c r="M74" s="20">
        <f>M45/(1+'Escalators &amp; overheads'!E$22)</f>
        <v>54.836297382528137</v>
      </c>
      <c r="N74" s="20">
        <f>N45/(1+'Escalators &amp; overheads'!F$22)</f>
        <v>55.310223438450272</v>
      </c>
      <c r="O74" s="20">
        <f>O45/(1+'Escalators &amp; overheads'!G$22)</f>
        <v>55.814758451507785</v>
      </c>
      <c r="P74" s="20">
        <f>P45/(1+'Escalators &amp; overheads'!H$22)</f>
        <v>56.338588247998004</v>
      </c>
      <c r="Q74" s="20">
        <f>Q45/(1+'Escalators &amp; overheads'!I$22)</f>
        <v>56.732509282019961</v>
      </c>
      <c r="S74" s="20">
        <f t="shared" ref="S74:S82" si="56">K74-C74</f>
        <v>11.059233449477354</v>
      </c>
      <c r="T74" s="20">
        <f t="shared" ref="T74:T82" si="57">L74-D74</f>
        <v>11.159872473867594</v>
      </c>
      <c r="U74" s="20">
        <f t="shared" ref="U74:U82" si="58">M74-E74</f>
        <v>11.236307804528359</v>
      </c>
      <c r="V74" s="20">
        <f t="shared" ref="V74:V82" si="59">N74-F74</f>
        <v>11.333418282352561</v>
      </c>
      <c r="W74" s="20">
        <f t="shared" ref="W74:W82" si="60">O74-G74</f>
        <v>11.436800731122382</v>
      </c>
      <c r="X74" s="20">
        <f t="shared" ref="X74:X82" si="61">P74-H74</f>
        <v>11.544136804334777</v>
      </c>
      <c r="Y74" s="20">
        <f t="shared" ref="Y74:Y82" si="62">Q74-I74</f>
        <v>11.624853741841918</v>
      </c>
    </row>
    <row r="75" spans="1:25">
      <c r="A75" s="165"/>
      <c r="B75" s="165" t="s">
        <v>12</v>
      </c>
      <c r="C75" s="20">
        <f>C46/(1+'Escalators &amp; overheads'!C$22)</f>
        <v>67.226480836236931</v>
      </c>
      <c r="D75" s="20">
        <f>D46/(1+'Escalators &amp; overheads'!D$22)</f>
        <v>67.8382418118467</v>
      </c>
      <c r="E75" s="20">
        <f>E46/(1+'Escalators &amp; overheads'!E$22)</f>
        <v>68.302874221981796</v>
      </c>
      <c r="F75" s="20">
        <f>F46/(1+'Escalators &amp; overheads'!F$22)</f>
        <v>68.893185992347298</v>
      </c>
      <c r="G75" s="20">
        <f>G46/(1+'Escalators &amp; overheads'!G$22)</f>
        <v>69.521623599960705</v>
      </c>
      <c r="H75" s="20">
        <f>H46/(1+'Escalators &amp; overheads'!H$22)</f>
        <v>70.174094361321721</v>
      </c>
      <c r="I75" s="20">
        <f>I46/(1+'Escalators &amp; overheads'!I$22)</f>
        <v>70.664753653149972</v>
      </c>
      <c r="K75" s="20">
        <f>K46/(1+'Escalators &amp; overheads'!C$22)</f>
        <v>85.972125435540065</v>
      </c>
      <c r="L75" s="20">
        <f>L46/(1+'Escalators &amp; overheads'!D$22)</f>
        <v>86.754471777003488</v>
      </c>
      <c r="M75" s="20">
        <f>M46/(1+'Escalators &amp; overheads'!E$22)</f>
        <v>87.348663758327902</v>
      </c>
      <c r="N75" s="20">
        <f>N46/(1+'Escalators &amp; overheads'!F$22)</f>
        <v>88.10357993029838</v>
      </c>
      <c r="O75" s="20">
        <f>O46/(1+'Escalators &amp; overheads'!G$22)</f>
        <v>88.907253068592837</v>
      </c>
      <c r="P75" s="20">
        <f>P46/(1+'Escalators &amp; overheads'!H$22)</f>
        <v>89.741660841259034</v>
      </c>
      <c r="Q75" s="20">
        <f>Q46/(1+'Escalators &amp; overheads'!I$22)</f>
        <v>90.369137122308601</v>
      </c>
      <c r="S75" s="20">
        <f t="shared" si="56"/>
        <v>18.745644599303134</v>
      </c>
      <c r="T75" s="20">
        <f t="shared" si="57"/>
        <v>18.916229965156788</v>
      </c>
      <c r="U75" s="20">
        <f t="shared" si="58"/>
        <v>19.045789536346106</v>
      </c>
      <c r="V75" s="20">
        <f t="shared" si="59"/>
        <v>19.210393937951082</v>
      </c>
      <c r="W75" s="20">
        <f t="shared" si="60"/>
        <v>19.385629468632132</v>
      </c>
      <c r="X75" s="20">
        <f t="shared" si="61"/>
        <v>19.567566479937312</v>
      </c>
      <c r="Y75" s="20">
        <f t="shared" si="62"/>
        <v>19.704383469158628</v>
      </c>
    </row>
    <row r="76" spans="1:25">
      <c r="A76" s="165"/>
      <c r="B76" s="165" t="s">
        <v>17</v>
      </c>
      <c r="C76" s="20">
        <f>C47/(1+'Escalators &amp; overheads'!C$22)</f>
        <v>46.613240418118465</v>
      </c>
      <c r="D76" s="20">
        <f>D47/(1+'Escalators &amp; overheads'!D$22)</f>
        <v>47.037420905923348</v>
      </c>
      <c r="E76" s="20">
        <f>E47/(1+'Escalators &amp; overheads'!E$22)</f>
        <v>47.359585951159545</v>
      </c>
      <c r="F76" s="20">
        <f>F47/(1+'Escalators &amp; overheads'!F$22)</f>
        <v>47.768894070986939</v>
      </c>
      <c r="G76" s="20">
        <f>G47/(1+'Escalators &amp; overheads'!G$22)</f>
        <v>48.204637738171144</v>
      </c>
      <c r="H76" s="20">
        <f>H47/(1+'Escalators &amp; overheads'!H$22)</f>
        <v>48.657045421673153</v>
      </c>
      <c r="I76" s="20">
        <f>I47/(1+'Escalators &amp; overheads'!I$22)</f>
        <v>48.997256886692249</v>
      </c>
      <c r="K76" s="20">
        <f>K47/(1+'Escalators &amp; overheads'!C$22)</f>
        <v>61.087108013937275</v>
      </c>
      <c r="L76" s="20">
        <f>L47/(1+'Escalators &amp; overheads'!D$22)</f>
        <v>61.643000696864114</v>
      </c>
      <c r="M76" s="20">
        <f>M47/(1+'Escalators &amp; overheads'!E$22)</f>
        <v>62.065201143349469</v>
      </c>
      <c r="N76" s="20">
        <f>N47/(1+'Escalators &amp; overheads'!F$22)</f>
        <v>62.60160344240866</v>
      </c>
      <c r="O76" s="20">
        <f>O47/(1+'Escalators &amp; overheads'!G$22)</f>
        <v>63.172649785141026</v>
      </c>
      <c r="P76" s="20">
        <f>P47/(1+'Escalators &amp; overheads'!H$22)</f>
        <v>63.765534484435179</v>
      </c>
      <c r="Q76" s="20">
        <f>Q47/(1+'Escalators &amp; overheads'!I$22)</f>
        <v>64.211384940760098</v>
      </c>
      <c r="S76" s="20">
        <f t="shared" si="56"/>
        <v>14.47386759581881</v>
      </c>
      <c r="T76" s="20">
        <f t="shared" si="57"/>
        <v>14.605579790940766</v>
      </c>
      <c r="U76" s="20">
        <f t="shared" si="58"/>
        <v>14.705615192189924</v>
      </c>
      <c r="V76" s="20">
        <f t="shared" si="59"/>
        <v>14.832709371421721</v>
      </c>
      <c r="W76" s="20">
        <f t="shared" si="60"/>
        <v>14.968012046969882</v>
      </c>
      <c r="X76" s="20">
        <f t="shared" si="61"/>
        <v>15.108489062762025</v>
      </c>
      <c r="Y76" s="20">
        <f t="shared" si="62"/>
        <v>15.214128054067849</v>
      </c>
    </row>
    <row r="77" spans="1:25">
      <c r="A77" s="165"/>
      <c r="B77" s="165" t="s">
        <v>18</v>
      </c>
      <c r="C77" s="20">
        <f>C48/(1+'Escalators &amp; overheads'!C$22)</f>
        <v>56.912891986062718</v>
      </c>
      <c r="D77" s="20">
        <f>D48/(1+'Escalators &amp; overheads'!D$22)</f>
        <v>57.430799303135892</v>
      </c>
      <c r="E77" s="20">
        <f>E48/(1+'Escalators &amp; overheads'!E$22)</f>
        <v>57.824149867412174</v>
      </c>
      <c r="F77" s="20">
        <f>F48/(1+'Escalators &amp; overheads'!F$22)</f>
        <v>58.323898621281259</v>
      </c>
      <c r="G77" s="20">
        <f>G48/(1+'Escalators &amp; overheads'!G$22)</f>
        <v>58.855924115360111</v>
      </c>
      <c r="H77" s="20">
        <f>H48/(1+'Escalators &amp; overheads'!H$22)</f>
        <v>59.408295703214932</v>
      </c>
      <c r="I77" s="20">
        <f>I48/(1+'Escalators &amp; overheads'!I$22)</f>
        <v>59.823680220304318</v>
      </c>
      <c r="K77" s="20">
        <f>K48/(1+'Escalators &amp; overheads'!C$22)</f>
        <v>74.815331010452965</v>
      </c>
      <c r="L77" s="20">
        <f>L48/(1+'Escalators &amp; overheads'!D$22)</f>
        <v>75.49615052264808</v>
      </c>
      <c r="M77" s="20">
        <f>M48/(1+'Escalators &amp; overheads'!E$22)</f>
        <v>76.013232885580649</v>
      </c>
      <c r="N77" s="20">
        <f>N48/(1+'Escalators &amp; overheads'!F$22)</f>
        <v>76.670181902543845</v>
      </c>
      <c r="O77" s="20">
        <f>O48/(1+'Escalators &amp; overheads'!G$22)</f>
        <v>77.369560585589099</v>
      </c>
      <c r="P77" s="20">
        <f>P48/(1+'Escalators &amp; overheads'!H$22)</f>
        <v>78.095685400969217</v>
      </c>
      <c r="Q77" s="20">
        <f>Q48/(1+'Escalators &amp; overheads'!I$22)</f>
        <v>78.64173268583167</v>
      </c>
      <c r="S77" s="20">
        <f t="shared" si="56"/>
        <v>17.902439024390247</v>
      </c>
      <c r="T77" s="20">
        <f t="shared" si="57"/>
        <v>18.065351219512188</v>
      </c>
      <c r="U77" s="20">
        <f t="shared" si="58"/>
        <v>18.189083018168475</v>
      </c>
      <c r="V77" s="20">
        <f t="shared" si="59"/>
        <v>18.346283281262586</v>
      </c>
      <c r="W77" s="20">
        <f t="shared" si="60"/>
        <v>18.513636470228988</v>
      </c>
      <c r="X77" s="20">
        <f t="shared" si="61"/>
        <v>18.687389697754284</v>
      </c>
      <c r="Y77" s="20">
        <f t="shared" si="62"/>
        <v>18.818052465527352</v>
      </c>
    </row>
    <row r="78" spans="1:25">
      <c r="A78" s="165"/>
      <c r="B78" s="165" t="s">
        <v>19</v>
      </c>
      <c r="C78" s="20">
        <f>C49/(1+'Escalators &amp; overheads'!C$22)</f>
        <v>52.80139372822299</v>
      </c>
      <c r="D78" s="20">
        <f>D49/(1+'Escalators &amp; overheads'!D$22)</f>
        <v>53.281886411149827</v>
      </c>
      <c r="E78" s="20">
        <f>E49/(1+'Escalators &amp; overheads'!E$22)</f>
        <v>53.646820563901315</v>
      </c>
      <c r="F78" s="20">
        <f>F49/(1+'Escalators &amp; overheads'!F$22)</f>
        <v>54.110466493626561</v>
      </c>
      <c r="G78" s="20">
        <f>G49/(1+'Escalators &amp; overheads'!G$22)</f>
        <v>54.604057428931497</v>
      </c>
      <c r="H78" s="20">
        <f>H49/(1+'Escalators &amp; overheads'!H$22)</f>
        <v>55.116524616537227</v>
      </c>
      <c r="I78" s="20">
        <f>I49/(1+'Escalators &amp; overheads'!I$22)</f>
        <v>55.501900946399644</v>
      </c>
      <c r="K78" s="20">
        <f>K49/(1+'Escalators &amp; overheads'!C$22)</f>
        <v>67.839721254355396</v>
      </c>
      <c r="L78" s="20">
        <f>L49/(1+'Escalators &amp; overheads'!D$22)</f>
        <v>68.457062717770043</v>
      </c>
      <c r="M78" s="20">
        <f>M49/(1+'Escalators &amp; overheads'!E$22)</f>
        <v>68.925933507929173</v>
      </c>
      <c r="N78" s="20">
        <f>N49/(1+'Escalators &amp; overheads'!F$22)</f>
        <v>69.521630106302567</v>
      </c>
      <c r="O78" s="20">
        <f>O49/(1+'Escalators &amp; overheads'!G$22)</f>
        <v>70.155800326072082</v>
      </c>
      <c r="P78" s="20">
        <f>P49/(1+'Escalators &amp; overheads'!H$22)</f>
        <v>70.814222930182112</v>
      </c>
      <c r="Q78" s="20">
        <f>Q49/(1+'Escalators &amp; overheads'!I$22)</f>
        <v>71.309358019427279</v>
      </c>
      <c r="S78" s="20">
        <f t="shared" si="56"/>
        <v>15.038327526132406</v>
      </c>
      <c r="T78" s="20">
        <f t="shared" si="57"/>
        <v>15.175176306620216</v>
      </c>
      <c r="U78" s="20">
        <f t="shared" si="58"/>
        <v>15.279112944027858</v>
      </c>
      <c r="V78" s="20">
        <f t="shared" si="59"/>
        <v>15.411163612676006</v>
      </c>
      <c r="W78" s="20">
        <f t="shared" si="60"/>
        <v>15.551742897140585</v>
      </c>
      <c r="X78" s="20">
        <f t="shared" si="61"/>
        <v>15.697698313644885</v>
      </c>
      <c r="Y78" s="20">
        <f t="shared" si="62"/>
        <v>15.807457073027635</v>
      </c>
    </row>
    <row r="79" spans="1:25">
      <c r="A79" s="165"/>
      <c r="B79" s="165" t="s">
        <v>20</v>
      </c>
      <c r="C79" s="20">
        <f>C50/(1+'Escalators &amp; overheads'!C$22)</f>
        <v>63.017421602787458</v>
      </c>
      <c r="D79" s="20">
        <f>D50/(1+'Escalators &amp; overheads'!D$22)</f>
        <v>63.590880139372835</v>
      </c>
      <c r="E79" s="20">
        <f>E50/(1+'Escalators &amp; overheads'!E$22)</f>
        <v>64.026421850252035</v>
      </c>
      <c r="F79" s="20">
        <f>F50/(1+'Escalators &amp; overheads'!F$22)</f>
        <v>64.579774119290619</v>
      </c>
      <c r="G79" s="20">
        <f>G50/(1+'Escalators &amp; overheads'!G$22)</f>
        <v>65.168865161650743</v>
      </c>
      <c r="H79" s="20">
        <f>H50/(1+'Escalators &amp; overheads'!H$22)</f>
        <v>65.780484638688961</v>
      </c>
      <c r="I79" s="20">
        <f>I50/(1+'Escalators &amp; overheads'!I$22)</f>
        <v>66.240423684610278</v>
      </c>
      <c r="K79" s="20">
        <f>K50/(1+'Escalators &amp; overheads'!C$22)</f>
        <v>81.860627177700351</v>
      </c>
      <c r="L79" s="20">
        <f>L50/(1+'Escalators &amp; overheads'!D$22)</f>
        <v>82.60555888501743</v>
      </c>
      <c r="M79" s="20">
        <f>M50/(1+'Escalators &amp; overheads'!E$22)</f>
        <v>83.171334454817043</v>
      </c>
      <c r="N79" s="20">
        <f>N50/(1+'Escalators &amp; overheads'!F$22)</f>
        <v>83.890147802643696</v>
      </c>
      <c r="O79" s="20">
        <f>O50/(1+'Escalators &amp; overheads'!G$22)</f>
        <v>84.655386382164238</v>
      </c>
      <c r="P79" s="20">
        <f>P50/(1+'Escalators &amp; overheads'!H$22)</f>
        <v>85.449889754581349</v>
      </c>
      <c r="Q79" s="20">
        <f>Q50/(1+'Escalators &amp; overheads'!I$22)</f>
        <v>86.047357848403934</v>
      </c>
      <c r="S79" s="20">
        <f t="shared" si="56"/>
        <v>18.843205574912893</v>
      </c>
      <c r="T79" s="20">
        <f t="shared" si="57"/>
        <v>19.014678745644595</v>
      </c>
      <c r="U79" s="20">
        <f t="shared" si="58"/>
        <v>19.144912604565008</v>
      </c>
      <c r="V79" s="20">
        <f t="shared" si="59"/>
        <v>19.310373683353077</v>
      </c>
      <c r="W79" s="20">
        <f t="shared" si="60"/>
        <v>19.486521220513495</v>
      </c>
      <c r="X79" s="20">
        <f t="shared" si="61"/>
        <v>19.669405115892388</v>
      </c>
      <c r="Y79" s="20">
        <f t="shared" si="62"/>
        <v>19.806934163793656</v>
      </c>
    </row>
    <row r="80" spans="1:25">
      <c r="A80" s="165"/>
      <c r="B80" s="165" t="s">
        <v>21</v>
      </c>
      <c r="C80" s="20">
        <f>C51/(1+'Escalators &amp; overheads'!C$22)</f>
        <v>61.644599303135884</v>
      </c>
      <c r="D80" s="20">
        <f>D51/(1+'Escalators &amp; overheads'!D$22)</f>
        <v>62.205565156794428</v>
      </c>
      <c r="E80" s="20">
        <f>E51/(1+'Escalators &amp; overheads'!E$22)</f>
        <v>62.631618676028914</v>
      </c>
      <c r="F80" s="20">
        <f>F51/(1+'Escalators &amp; overheads'!F$22)</f>
        <v>63.172916273277103</v>
      </c>
      <c r="G80" s="20">
        <f>G51/(1+'Escalators &amp; overheads'!G$22)</f>
        <v>63.749174081605929</v>
      </c>
      <c r="H80" s="20">
        <f>H51/(1+'Escalators &amp; overheads'!H$22)</f>
        <v>64.347469547035544</v>
      </c>
      <c r="I80" s="20">
        <f>I51/(1+'Escalators &amp; overheads'!I$22)</f>
        <v>64.797388910103109</v>
      </c>
      <c r="K80" s="20">
        <f>K51/(1+'Escalators &amp; overheads'!C$22)</f>
        <v>77.609756097560975</v>
      </c>
      <c r="L80" s="20">
        <f>L51/(1+'Escalators &amp; overheads'!D$22)</f>
        <v>78.316004878048787</v>
      </c>
      <c r="M80" s="20">
        <f>M51/(1+'Escalators &amp; overheads'!E$22)</f>
        <v>78.85240076813632</v>
      </c>
      <c r="N80" s="20">
        <f>N51/(1+'Escalators &amp; overheads'!F$22)</f>
        <v>79.533887467271867</v>
      </c>
      <c r="O80" s="20">
        <f>O51/(1+'Escalators &amp; overheads'!G$22)</f>
        <v>80.259388621619379</v>
      </c>
      <c r="P80" s="20">
        <f>P51/(1+'Escalators &amp; overheads'!H$22)</f>
        <v>81.012634902253538</v>
      </c>
      <c r="Q80" s="20">
        <f>Q51/(1+'Escalators &amp; overheads'!I$22)</f>
        <v>81.579077582163478</v>
      </c>
      <c r="S80" s="20">
        <f t="shared" si="56"/>
        <v>15.965156794425091</v>
      </c>
      <c r="T80" s="20">
        <f t="shared" si="57"/>
        <v>16.110439721254359</v>
      </c>
      <c r="U80" s="20">
        <f t="shared" si="58"/>
        <v>16.220782092107406</v>
      </c>
      <c r="V80" s="20">
        <f t="shared" si="59"/>
        <v>16.360971193994764</v>
      </c>
      <c r="W80" s="20">
        <f t="shared" si="60"/>
        <v>16.51021454001345</v>
      </c>
      <c r="X80" s="20">
        <f t="shared" si="61"/>
        <v>16.665165355217994</v>
      </c>
      <c r="Y80" s="20">
        <f t="shared" si="62"/>
        <v>16.781688672060369</v>
      </c>
    </row>
    <row r="81" spans="1:25">
      <c r="A81" s="165"/>
      <c r="B81" s="165" t="s">
        <v>22</v>
      </c>
      <c r="C81" s="20">
        <f>C52/(1+'Escalators &amp; overheads'!C$22)</f>
        <v>34.808362369337978</v>
      </c>
      <c r="D81" s="20">
        <f>D52/(1+'Escalators &amp; overheads'!D$22)</f>
        <v>35.125118466898961</v>
      </c>
      <c r="E81" s="20">
        <f>E52/(1+'Escalators &amp; overheads'!E$22)</f>
        <v>35.365694696672442</v>
      </c>
      <c r="F81" s="20">
        <f>F52/(1+'Escalators &amp; overheads'!F$22)</f>
        <v>35.671344877347856</v>
      </c>
      <c r="G81" s="20">
        <f>G52/(1+'Escalators &amp; overheads'!G$22)</f>
        <v>35.996735760526974</v>
      </c>
      <c r="H81" s="20">
        <f>H52/(1+'Escalators &amp; overheads'!H$22)</f>
        <v>36.334570471110396</v>
      </c>
      <c r="I81" s="20">
        <f>I52/(1+'Escalators &amp; overheads'!I$22)</f>
        <v>36.588622835854061</v>
      </c>
      <c r="K81" s="20">
        <f>K52/(1+'Escalators &amp; overheads'!C$22)</f>
        <v>44.724738675958193</v>
      </c>
      <c r="L81" s="20">
        <f>L52/(1+'Escalators &amp; overheads'!D$22)</f>
        <v>45.131733797909412</v>
      </c>
      <c r="M81" s="20">
        <f>M52/(1+'Escalators &amp; overheads'!E$22)</f>
        <v>45.440846559207955</v>
      </c>
      <c r="N81" s="20">
        <f>N52/(1+'Escalators &amp; overheads'!F$22)</f>
        <v>45.833571856420122</v>
      </c>
      <c r="O81" s="20">
        <f>O52/(1+'Escalators &amp; overheads'!G$22)</f>
        <v>46.251661683896323</v>
      </c>
      <c r="P81" s="20">
        <f>P52/(1+'Escalators &amp; overheads'!H$22)</f>
        <v>46.685740397114422</v>
      </c>
      <c r="Q81" s="20">
        <f>Q52/(1+'Escalators &amp; overheads'!I$22)</f>
        <v>47.012168440542823</v>
      </c>
      <c r="S81" s="20">
        <f t="shared" si="56"/>
        <v>9.9163763066202151</v>
      </c>
      <c r="T81" s="20">
        <f t="shared" si="57"/>
        <v>10.006615331010451</v>
      </c>
      <c r="U81" s="20">
        <f t="shared" si="58"/>
        <v>10.075151862535513</v>
      </c>
      <c r="V81" s="20">
        <f t="shared" si="59"/>
        <v>10.162226979072265</v>
      </c>
      <c r="W81" s="20">
        <f t="shared" si="60"/>
        <v>10.254925923369349</v>
      </c>
      <c r="X81" s="20">
        <f t="shared" si="61"/>
        <v>10.351169926004026</v>
      </c>
      <c r="Y81" s="20">
        <f t="shared" si="62"/>
        <v>10.423545604688762</v>
      </c>
    </row>
    <row r="82" spans="1:25">
      <c r="A82" s="165"/>
      <c r="B82" s="165" t="s">
        <v>23</v>
      </c>
      <c r="C82" s="20">
        <f>C53/(1+'Escalators &amp; overheads'!C$22)</f>
        <v>75.526132404181183</v>
      </c>
      <c r="D82" s="20">
        <f>D53/(1+'Escalators &amp; overheads'!D$22)</f>
        <v>76.213420209059237</v>
      </c>
      <c r="E82" s="20">
        <f>E53/(1+'Escalators &amp; overheads'!E$22)</f>
        <v>76.735415239746928</v>
      </c>
      <c r="F82" s="20">
        <f>F53/(1+'Escalators &amp; overheads'!F$22)</f>
        <v>77.398605761901095</v>
      </c>
      <c r="G82" s="20">
        <f>G53/(1+'Escalators &amp; overheads'!G$22)</f>
        <v>78.104629063581839</v>
      </c>
      <c r="H82" s="20">
        <f>H53/(1+'Escalators &amp; overheads'!H$22)</f>
        <v>78.837652605784669</v>
      </c>
      <c r="I82" s="20">
        <f>I53/(1+'Escalators &amp; overheads'!I$22)</f>
        <v>79.38888774674399</v>
      </c>
      <c r="K82" s="20">
        <f>K53/(1+'Escalators &amp; overheads'!C$22)</f>
        <v>111.3937282229965</v>
      </c>
      <c r="L82" s="20">
        <f>L53/(1+'Escalators &amp; overheads'!D$22)</f>
        <v>112.40741114982579</v>
      </c>
      <c r="M82" s="20">
        <f>M53/(1+'Escalators &amp; overheads'!E$22)</f>
        <v>113.1773032485103</v>
      </c>
      <c r="N82" s="20">
        <f>N53/(1+'Escalators &amp; overheads'!F$22)</f>
        <v>114.15544501789898</v>
      </c>
      <c r="O82" s="20">
        <f>O53/(1+'Escalators &amp; overheads'!G$22)</f>
        <v>115.19676098739211</v>
      </c>
      <c r="P82" s="20">
        <f>P53/(1+'Escalators &amp; overheads'!H$22)</f>
        <v>116.27789969583576</v>
      </c>
      <c r="Q82" s="20">
        <f>Q53/(1+'Escalators &amp; overheads'!I$22)</f>
        <v>117.09091812434977</v>
      </c>
      <c r="S82" s="20">
        <f t="shared" si="56"/>
        <v>35.867595818815317</v>
      </c>
      <c r="T82" s="20">
        <f t="shared" si="57"/>
        <v>36.193990940766554</v>
      </c>
      <c r="U82" s="20">
        <f t="shared" si="58"/>
        <v>36.441888008763371</v>
      </c>
      <c r="V82" s="20">
        <f t="shared" si="59"/>
        <v>36.756839255997889</v>
      </c>
      <c r="W82" s="20">
        <f t="shared" si="60"/>
        <v>37.092131923810271</v>
      </c>
      <c r="X82" s="20">
        <f t="shared" si="61"/>
        <v>37.440247090051088</v>
      </c>
      <c r="Y82" s="20">
        <f t="shared" si="62"/>
        <v>37.70203037760578</v>
      </c>
    </row>
    <row r="83" spans="1:25">
      <c r="A83" s="165"/>
      <c r="B83" s="165"/>
      <c r="S83" s="269"/>
      <c r="T83" s="269"/>
      <c r="U83" s="269"/>
      <c r="V83" s="269"/>
      <c r="W83" s="269"/>
      <c r="X83" s="269"/>
      <c r="Y83" s="269"/>
    </row>
    <row r="84" spans="1:25">
      <c r="A84" s="165"/>
      <c r="B84" s="165" t="s">
        <v>32</v>
      </c>
      <c r="C84" s="79">
        <f>AVERAGE(C76,C77)</f>
        <v>51.763066202090592</v>
      </c>
      <c r="D84" s="79">
        <f t="shared" ref="D84:I84" si="63">AVERAGE(D76,D77)</f>
        <v>52.23411010452962</v>
      </c>
      <c r="E84" s="79">
        <f t="shared" si="63"/>
        <v>52.59186790928586</v>
      </c>
      <c r="F84" s="79">
        <f t="shared" si="63"/>
        <v>53.046396346134102</v>
      </c>
      <c r="G84" s="79">
        <f t="shared" si="63"/>
        <v>53.530280926765627</v>
      </c>
      <c r="H84" s="79">
        <f t="shared" si="63"/>
        <v>54.032670562444039</v>
      </c>
      <c r="I84" s="79">
        <f t="shared" si="63"/>
        <v>54.410468553498283</v>
      </c>
      <c r="K84" s="8">
        <f>AVERAGE(K76,K77)</f>
        <v>67.951219512195124</v>
      </c>
      <c r="L84" s="8">
        <f t="shared" ref="L84:Q84" si="64">AVERAGE(L76,L77)</f>
        <v>68.5695756097561</v>
      </c>
      <c r="M84" s="8">
        <f t="shared" si="64"/>
        <v>69.039217014465066</v>
      </c>
      <c r="N84" s="8">
        <f t="shared" si="64"/>
        <v>69.635892672476245</v>
      </c>
      <c r="O84" s="8">
        <f t="shared" si="64"/>
        <v>70.271105185365059</v>
      </c>
      <c r="P84" s="8">
        <f t="shared" si="64"/>
        <v>70.930609942702205</v>
      </c>
      <c r="Q84" s="8">
        <f t="shared" si="64"/>
        <v>71.426558813295884</v>
      </c>
      <c r="S84" s="20">
        <f t="shared" ref="S84:Y85" si="65">K84-C84</f>
        <v>16.188153310104532</v>
      </c>
      <c r="T84" s="20">
        <f t="shared" si="65"/>
        <v>16.33546550522648</v>
      </c>
      <c r="U84" s="20">
        <f t="shared" si="65"/>
        <v>16.447349105179207</v>
      </c>
      <c r="V84" s="20">
        <f t="shared" si="65"/>
        <v>16.589496326342143</v>
      </c>
      <c r="W84" s="20">
        <f t="shared" si="65"/>
        <v>16.740824258599432</v>
      </c>
      <c r="X84" s="20">
        <f t="shared" si="65"/>
        <v>16.897939380258165</v>
      </c>
      <c r="Y84" s="20">
        <f t="shared" si="65"/>
        <v>17.0160902597976</v>
      </c>
    </row>
    <row r="85" spans="1:25">
      <c r="A85" s="165"/>
      <c r="B85" s="165" t="s">
        <v>33</v>
      </c>
      <c r="C85" s="79">
        <f>AVERAGE(C74,C76,C77)</f>
        <v>48.8130081300813</v>
      </c>
      <c r="D85" s="79">
        <f t="shared" ref="D85:I85" si="66">AVERAGE(D74,D76,D77)</f>
        <v>49.257206504065046</v>
      </c>
      <c r="E85" s="79">
        <f t="shared" si="66"/>
        <v>49.594575132190499</v>
      </c>
      <c r="F85" s="79">
        <f t="shared" si="66"/>
        <v>50.023199282788632</v>
      </c>
      <c r="G85" s="79">
        <f t="shared" si="66"/>
        <v>50.479506524638886</v>
      </c>
      <c r="H85" s="79">
        <f t="shared" si="66"/>
        <v>50.953264189517107</v>
      </c>
      <c r="I85" s="79">
        <f t="shared" si="66"/>
        <v>51.309530882391535</v>
      </c>
      <c r="J85" s="79"/>
      <c r="K85" s="79">
        <f>AVERAGE(K74,K76,K77)</f>
        <v>63.291521486643433</v>
      </c>
      <c r="L85" s="79">
        <f t="shared" ref="L85:Q85" si="67">AVERAGE(L74,L76,L77)</f>
        <v>63.867474332171888</v>
      </c>
      <c r="M85" s="79">
        <f t="shared" si="67"/>
        <v>64.304910470486092</v>
      </c>
      <c r="N85" s="79">
        <f t="shared" si="67"/>
        <v>64.860669594467595</v>
      </c>
      <c r="O85" s="79">
        <f t="shared" si="67"/>
        <v>65.452322940745958</v>
      </c>
      <c r="P85" s="79">
        <f t="shared" si="67"/>
        <v>66.066602711134138</v>
      </c>
      <c r="Q85" s="79">
        <f t="shared" si="67"/>
        <v>66.528542302870576</v>
      </c>
      <c r="S85" s="20">
        <f t="shared" si="65"/>
        <v>14.478513356562132</v>
      </c>
      <c r="T85" s="20">
        <f t="shared" si="65"/>
        <v>14.610267828106842</v>
      </c>
      <c r="U85" s="20">
        <f t="shared" si="65"/>
        <v>14.710335338295593</v>
      </c>
      <c r="V85" s="20">
        <f t="shared" si="65"/>
        <v>14.837470311678963</v>
      </c>
      <c r="W85" s="20">
        <f t="shared" si="65"/>
        <v>14.972816416107072</v>
      </c>
      <c r="X85" s="20">
        <f t="shared" si="65"/>
        <v>15.113338521617031</v>
      </c>
      <c r="Y85" s="20">
        <f t="shared" si="65"/>
        <v>15.219011420479042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45"/>
  <sheetViews>
    <sheetView zoomScale="90" zoomScaleNormal="90" workbookViewId="0"/>
  </sheetViews>
  <sheetFormatPr defaultColWidth="8.85546875" defaultRowHeight="15"/>
  <cols>
    <col min="1" max="1" width="25.7109375" customWidth="1"/>
    <col min="2" max="2" width="46.140625" style="7" customWidth="1"/>
    <col min="3" max="3" width="12.7109375" style="7" customWidth="1"/>
    <col min="4" max="4" width="10.7109375" style="7" customWidth="1"/>
    <col min="5" max="6" width="10.42578125" style="7" bestFit="1" customWidth="1"/>
    <col min="7" max="7" width="10.7109375" style="7" customWidth="1"/>
    <col min="8" max="8" width="10.42578125" style="7" customWidth="1"/>
    <col min="9" max="9" width="10.85546875" style="7" customWidth="1"/>
    <col min="10" max="11" width="8.85546875" style="7"/>
  </cols>
  <sheetData>
    <row r="1" spans="1:11" s="122" customFormat="1">
      <c r="A1" s="345" t="s">
        <v>1464</v>
      </c>
      <c r="B1" s="81" t="s">
        <v>1308</v>
      </c>
      <c r="C1" s="7">
        <f t="shared" ref="C1:I1" si="0">COLUMN()-1</f>
        <v>2</v>
      </c>
      <c r="D1" s="7">
        <f t="shared" si="0"/>
        <v>3</v>
      </c>
      <c r="E1" s="7">
        <f t="shared" si="0"/>
        <v>4</v>
      </c>
      <c r="F1" s="7">
        <f t="shared" si="0"/>
        <v>5</v>
      </c>
      <c r="G1" s="7">
        <f t="shared" si="0"/>
        <v>6</v>
      </c>
      <c r="H1" s="7">
        <f t="shared" si="0"/>
        <v>7</v>
      </c>
      <c r="I1" s="7">
        <f t="shared" si="0"/>
        <v>8</v>
      </c>
      <c r="J1" s="7"/>
      <c r="K1" s="7"/>
    </row>
    <row r="2" spans="1:11">
      <c r="B2" s="35" t="s">
        <v>82</v>
      </c>
      <c r="C2" s="35" t="s">
        <v>81</v>
      </c>
      <c r="D2" s="35" t="s">
        <v>1</v>
      </c>
      <c r="E2" s="35" t="s">
        <v>2</v>
      </c>
      <c r="F2" s="35" t="s">
        <v>3</v>
      </c>
      <c r="G2" s="35" t="s">
        <v>4</v>
      </c>
      <c r="H2" s="35" t="s">
        <v>5</v>
      </c>
      <c r="I2" s="35" t="s">
        <v>6</v>
      </c>
      <c r="J2" s="51"/>
    </row>
    <row r="3" spans="1:11">
      <c r="B3" s="346" t="s">
        <v>77</v>
      </c>
      <c r="C3" s="347">
        <v>94</v>
      </c>
      <c r="D3" s="120">
        <f>C3*(1+'Escalators &amp; overheads'!D$14)</f>
        <v>95.6770740410348</v>
      </c>
      <c r="E3" s="120">
        <f>D3*(1+'Escalators &amp; overheads'!E$14)</f>
        <v>97.94462069580733</v>
      </c>
      <c r="F3" s="120">
        <f>E3*(1+'Escalators &amp; overheads'!F$14)</f>
        <v>100.26590820629796</v>
      </c>
      <c r="G3" s="120">
        <f>F3*(1+'Escalators &amp; overheads'!G$14)</f>
        <v>102.64221023078723</v>
      </c>
      <c r="H3" s="120">
        <f>G3*(1+'Escalators &amp; overheads'!H$14)</f>
        <v>105.07483061325689</v>
      </c>
      <c r="I3" s="120">
        <f>H3*(1+'Escalators &amp; overheads'!I$14)</f>
        <v>107.56510409879108</v>
      </c>
      <c r="J3" s="7" t="s">
        <v>491</v>
      </c>
    </row>
    <row r="4" spans="1:11">
      <c r="B4" s="346" t="s">
        <v>78</v>
      </c>
      <c r="C4" s="347">
        <v>130</v>
      </c>
      <c r="D4" s="120">
        <f>C4*(1+'Escalators &amp; overheads'!D$14)</f>
        <v>132.31935771632473</v>
      </c>
      <c r="E4" s="120">
        <f>D4*(1+'Escalators &amp; overheads'!E$14)</f>
        <v>135.45532649420164</v>
      </c>
      <c r="F4" s="120">
        <f>E4*(1+'Escalators &amp; overheads'!F$14)</f>
        <v>138.66561773211424</v>
      </c>
      <c r="G4" s="120">
        <f>F4*(1+'Escalators &amp; overheads'!G$14)</f>
        <v>141.95199287236537</v>
      </c>
      <c r="H4" s="120">
        <f>G4*(1+'Escalators &amp; overheads'!H$14)</f>
        <v>145.31625510344043</v>
      </c>
      <c r="I4" s="120">
        <f>H4*(1+'Escalators &amp; overheads'!I$14)</f>
        <v>148.76025034939198</v>
      </c>
      <c r="J4" s="7" t="s">
        <v>491</v>
      </c>
    </row>
    <row r="5" spans="1:11">
      <c r="B5" s="346" t="s">
        <v>79</v>
      </c>
      <c r="C5" s="347">
        <v>225</v>
      </c>
      <c r="D5" s="120">
        <f>C5*(1+'Escalators &amp; overheads'!D$14)</f>
        <v>229.01427297056202</v>
      </c>
      <c r="E5" s="120">
        <f>D5*(1+'Escalators &amp; overheads'!E$14)</f>
        <v>234.44191123996436</v>
      </c>
      <c r="F5" s="120">
        <f>E5*(1+'Escalators &amp; overheads'!F$14)</f>
        <v>239.99818453635152</v>
      </c>
      <c r="G5" s="120">
        <f>F5*(1+'Escalators &amp; overheads'!G$14)</f>
        <v>245.68614150986306</v>
      </c>
      <c r="H5" s="120">
        <f>G5*(1+'Escalators &amp; overheads'!H$14)</f>
        <v>251.50890306364684</v>
      </c>
      <c r="I5" s="120">
        <f>H5*(1+'Escalators &amp; overheads'!I$14)</f>
        <v>257.46966406625529</v>
      </c>
      <c r="J5" s="7" t="s">
        <v>491</v>
      </c>
    </row>
    <row r="6" spans="1:11">
      <c r="B6" s="346" t="s">
        <v>80</v>
      </c>
      <c r="C6" s="347">
        <v>305</v>
      </c>
      <c r="D6" s="120">
        <f>C6*(1+'Escalators &amp; overheads'!D$14)</f>
        <v>310.44157002676184</v>
      </c>
      <c r="E6" s="120">
        <f>D6*(1+'Escalators &amp; overheads'!E$14)</f>
        <v>317.79903523639609</v>
      </c>
      <c r="F6" s="120">
        <f>E6*(1+'Escalators &amp; overheads'!F$14)</f>
        <v>325.33087237149869</v>
      </c>
      <c r="G6" s="120">
        <f>F6*(1+'Escalators &amp; overheads'!G$14)</f>
        <v>333.0412140467032</v>
      </c>
      <c r="H6" s="120">
        <f>G6*(1+'Escalators &amp; overheads'!H$14)</f>
        <v>340.93429081961011</v>
      </c>
      <c r="I6" s="120">
        <f>H6*(1+'Escalators &amp; overheads'!I$14)</f>
        <v>349.01443351203488</v>
      </c>
      <c r="J6" s="7" t="s">
        <v>491</v>
      </c>
    </row>
    <row r="7" spans="1:11">
      <c r="B7" s="346" t="s">
        <v>198</v>
      </c>
      <c r="C7" s="347">
        <v>5</v>
      </c>
      <c r="D7" s="120">
        <f>C7*(1+'Escalators &amp; overheads'!D$14)</f>
        <v>5.0892060660124896</v>
      </c>
      <c r="E7" s="120">
        <f>D7*(1+'Escalators &amp; overheads'!E$14)</f>
        <v>5.2098202497769854</v>
      </c>
      <c r="F7" s="120">
        <f>E7*(1+'Escalators &amp; overheads'!F$14)</f>
        <v>5.3332929896966998</v>
      </c>
      <c r="G7" s="120">
        <f>F7*(1+'Escalators &amp; overheads'!G$14)</f>
        <v>5.4596920335525123</v>
      </c>
      <c r="H7" s="120">
        <f>G7*(1+'Escalators &amp; overheads'!H$14)</f>
        <v>5.5890867347477071</v>
      </c>
      <c r="I7" s="120">
        <f>H7*(1+'Escalators &amp; overheads'!I$14)</f>
        <v>5.7215480903612281</v>
      </c>
      <c r="J7" s="7" t="s">
        <v>491</v>
      </c>
    </row>
    <row r="8" spans="1:11" s="269" customFormat="1">
      <c r="B8" s="346" t="s">
        <v>1399</v>
      </c>
      <c r="C8" s="347">
        <v>143.32</v>
      </c>
      <c r="D8" s="120">
        <f>C8*(1+'Escalators &amp; overheads'!D$14)</f>
        <v>145.877002676182</v>
      </c>
      <c r="E8" s="120">
        <f>D8*(1+'Escalators &amp; overheads'!E$14)</f>
        <v>149.33428763960751</v>
      </c>
      <c r="F8" s="120">
        <f>E8*(1+'Escalators &amp; overheads'!F$14)</f>
        <v>152.87351025666621</v>
      </c>
      <c r="G8" s="120">
        <f>F8*(1+'Escalators &amp; overheads'!G$14)</f>
        <v>156.49661244974919</v>
      </c>
      <c r="H8" s="120">
        <f>G8*(1+'Escalators &amp; overheads'!H$14)</f>
        <v>160.20558216480825</v>
      </c>
      <c r="I8" s="120">
        <f>H8*(1+'Escalators &amp; overheads'!I$14)</f>
        <v>164.0024544621142</v>
      </c>
      <c r="J8" s="7"/>
      <c r="K8" s="7"/>
    </row>
    <row r="9" spans="1:11" s="269" customFormat="1" ht="16.5" customHeight="1">
      <c r="B9" s="346"/>
      <c r="C9" s="348"/>
      <c r="D9" s="120"/>
      <c r="E9" s="120"/>
      <c r="F9" s="120"/>
      <c r="G9" s="120"/>
      <c r="H9" s="120"/>
      <c r="I9" s="120"/>
      <c r="J9" s="7"/>
      <c r="K9" s="7"/>
    </row>
    <row r="10" spans="1:11">
      <c r="B10" s="48" t="s">
        <v>1309</v>
      </c>
      <c r="C10" s="35" t="s">
        <v>81</v>
      </c>
      <c r="D10" s="35" t="s">
        <v>1</v>
      </c>
      <c r="E10" s="35" t="s">
        <v>2</v>
      </c>
      <c r="F10" s="35" t="s">
        <v>3</v>
      </c>
      <c r="G10" s="35" t="s">
        <v>4</v>
      </c>
      <c r="H10" s="35" t="s">
        <v>5</v>
      </c>
      <c r="I10" s="35" t="s">
        <v>6</v>
      </c>
    </row>
    <row r="11" spans="1:11">
      <c r="B11" s="346" t="s">
        <v>77</v>
      </c>
      <c r="C11" s="348">
        <f>C3*(1+'Escalators &amp; overheads'!C$21)</f>
        <v>97.242999999999995</v>
      </c>
      <c r="D11" s="348">
        <f>D3*(1+'Escalators &amp; overheads'!D$21)</f>
        <v>98.977933095450496</v>
      </c>
      <c r="E11" s="348">
        <f>E3*(1+'Escalators &amp; overheads'!E$21)</f>
        <v>101.32371010981268</v>
      </c>
      <c r="F11" s="348">
        <f>F3*(1+'Escalators &amp; overheads'!F$21)</f>
        <v>103.72508203941524</v>
      </c>
      <c r="G11" s="348">
        <f>G3*(1+'Escalators &amp; overheads'!G$21)</f>
        <v>106.18336648374938</v>
      </c>
      <c r="H11" s="348">
        <f>H3*(1+'Escalators &amp; overheads'!H$21)</f>
        <v>108.69991226941426</v>
      </c>
      <c r="I11" s="348">
        <f>I3*(1+'Escalators &amp; overheads'!I$21)</f>
        <v>111.27610019019937</v>
      </c>
    </row>
    <row r="12" spans="1:11">
      <c r="B12" s="346" t="s">
        <v>78</v>
      </c>
      <c r="C12" s="348">
        <f>C4*(1+'Escalators &amp; overheads'!C$21)</f>
        <v>134.48499999999999</v>
      </c>
      <c r="D12" s="348">
        <f>D4*(1+'Escalators &amp; overheads'!D$21)</f>
        <v>136.88437555753794</v>
      </c>
      <c r="E12" s="348">
        <f>E4*(1+'Escalators &amp; overheads'!E$21)</f>
        <v>140.12853525825159</v>
      </c>
      <c r="F12" s="348">
        <f>F4*(1+'Escalators &amp; overheads'!F$21)</f>
        <v>143.44958154387217</v>
      </c>
      <c r="G12" s="348">
        <f>G4*(1+'Escalators &amp; overheads'!G$21)</f>
        <v>146.84933662646196</v>
      </c>
      <c r="H12" s="348">
        <f>H4*(1+'Escalators &amp; overheads'!H$21)</f>
        <v>150.32966590450911</v>
      </c>
      <c r="I12" s="348">
        <f>I4*(1+'Escalators &amp; overheads'!I$21)</f>
        <v>153.89247898644601</v>
      </c>
    </row>
    <row r="13" spans="1:11">
      <c r="B13" s="346" t="s">
        <v>79</v>
      </c>
      <c r="C13" s="348">
        <f>C5*(1+'Escalators &amp; overheads'!C$21)</f>
        <v>232.76249999999999</v>
      </c>
      <c r="D13" s="348">
        <f>D5*(1+'Escalators &amp; overheads'!D$21)</f>
        <v>236.91526538804641</v>
      </c>
      <c r="E13" s="348">
        <f>E5*(1+'Escalators &amp; overheads'!E$21)</f>
        <v>242.53015717774312</v>
      </c>
      <c r="F13" s="348">
        <f>F5*(1+'Escalators &amp; overheads'!F$21)</f>
        <v>248.27812190285564</v>
      </c>
      <c r="G13" s="348">
        <f>G5*(1+'Escalators &amp; overheads'!G$21)</f>
        <v>254.16231339195332</v>
      </c>
      <c r="H13" s="348">
        <f>H5*(1+'Escalators &amp; overheads'!H$21)</f>
        <v>260.18596021934263</v>
      </c>
      <c r="I13" s="348">
        <f>I5*(1+'Escalators &amp; overheads'!I$21)</f>
        <v>266.35236747654108</v>
      </c>
    </row>
    <row r="14" spans="1:11">
      <c r="B14" s="346" t="s">
        <v>80</v>
      </c>
      <c r="C14" s="348">
        <f>C6*(1+'Escalators &amp; overheads'!C$21)</f>
        <v>315.52249999999998</v>
      </c>
      <c r="D14" s="348">
        <f>D6*(1+'Escalators &amp; overheads'!D$21)</f>
        <v>321.15180419268512</v>
      </c>
      <c r="E14" s="348">
        <f>E6*(1+'Escalators &amp; overheads'!E$21)</f>
        <v>328.76310195205173</v>
      </c>
      <c r="F14" s="348">
        <f>F6*(1+'Escalators &amp; overheads'!F$21)</f>
        <v>336.5547874683154</v>
      </c>
      <c r="G14" s="348">
        <f>G6*(1+'Escalators &amp; overheads'!G$21)</f>
        <v>344.53113593131445</v>
      </c>
      <c r="H14" s="348">
        <f>H6*(1+'Escalators &amp; overheads'!H$21)</f>
        <v>352.69652385288663</v>
      </c>
      <c r="I14" s="348">
        <f>I6*(1+'Escalators &amp; overheads'!I$21)</f>
        <v>361.05543146820008</v>
      </c>
    </row>
    <row r="15" spans="1:11">
      <c r="B15" s="7" t="s">
        <v>198</v>
      </c>
      <c r="C15" s="348">
        <f>C7*(1+'Escalators &amp; overheads'!C$21)</f>
        <v>5.1724999999999994</v>
      </c>
      <c r="D15" s="348">
        <f>D7*(1+'Escalators &amp; overheads'!D$21)</f>
        <v>5.2647836752899204</v>
      </c>
      <c r="E15" s="348">
        <f>E7*(1+'Escalators &amp; overheads'!E$21)</f>
        <v>5.3895590483942915</v>
      </c>
      <c r="F15" s="348">
        <f>F7*(1+'Escalators &amp; overheads'!F$21)</f>
        <v>5.5172915978412362</v>
      </c>
      <c r="G15" s="348">
        <f>G7*(1+'Escalators &amp; overheads'!G$21)</f>
        <v>5.6480514087100735</v>
      </c>
      <c r="H15" s="348">
        <f>H7*(1+'Escalators &amp; overheads'!H$21)</f>
        <v>5.7819102270965033</v>
      </c>
      <c r="I15" s="348">
        <f>I7*(1+'Escalators &amp; overheads'!I$21)</f>
        <v>5.9189414994786906</v>
      </c>
    </row>
    <row r="16" spans="1:11" s="269" customFormat="1">
      <c r="B16" s="346" t="s">
        <v>1399</v>
      </c>
      <c r="C16" s="348">
        <f>C8*(1+'Escalators &amp; overheads'!C$21)</f>
        <v>148.26453999999998</v>
      </c>
      <c r="D16" s="348">
        <f>D8*(1+'Escalators &amp; overheads'!D$21)</f>
        <v>150.90975926851027</v>
      </c>
      <c r="E16" s="348">
        <f>E8*(1+'Escalators &amp; overheads'!E$21)</f>
        <v>154.48632056317396</v>
      </c>
      <c r="F16" s="348">
        <f>F8*(1+'Escalators &amp; overheads'!F$21)</f>
        <v>158.14764636052118</v>
      </c>
      <c r="G16" s="348">
        <f>G8*(1+'Escalators &amp; overheads'!G$21)</f>
        <v>161.89574557926554</v>
      </c>
      <c r="H16" s="348">
        <f>H8*(1+'Escalators &amp; overheads'!H$21)</f>
        <v>165.73267474949412</v>
      </c>
      <c r="I16" s="348">
        <f>I8*(1+'Escalators &amp; overheads'!I$21)</f>
        <v>169.66053914105714</v>
      </c>
      <c r="J16" s="7"/>
      <c r="K16" s="7"/>
    </row>
    <row r="17" spans="2:11" s="269" customFormat="1">
      <c r="B17" s="7"/>
      <c r="C17" s="348"/>
      <c r="D17" s="348"/>
      <c r="E17" s="348"/>
      <c r="F17" s="348"/>
      <c r="G17" s="348"/>
      <c r="H17" s="348"/>
      <c r="I17" s="348"/>
      <c r="J17" s="7"/>
      <c r="K17" s="7"/>
    </row>
    <row r="18" spans="2:11" s="269" customFormat="1">
      <c r="B18" s="349" t="s">
        <v>11</v>
      </c>
      <c r="C18" s="7"/>
      <c r="D18" s="7"/>
      <c r="E18" s="7"/>
      <c r="F18" s="7"/>
      <c r="G18" s="7"/>
      <c r="H18" s="7"/>
      <c r="I18" s="7"/>
      <c r="J18" s="7"/>
      <c r="K18" s="7"/>
    </row>
    <row r="19" spans="2:11" s="269" customFormat="1">
      <c r="B19" s="35" t="s">
        <v>82</v>
      </c>
      <c r="C19" s="35" t="s">
        <v>81</v>
      </c>
      <c r="D19" s="35" t="s">
        <v>1</v>
      </c>
      <c r="E19" s="35" t="s">
        <v>2</v>
      </c>
      <c r="F19" s="35" t="s">
        <v>3</v>
      </c>
      <c r="G19" s="35" t="s">
        <v>4</v>
      </c>
      <c r="H19" s="35" t="s">
        <v>5</v>
      </c>
      <c r="I19" s="35" t="s">
        <v>6</v>
      </c>
      <c r="J19" s="51"/>
      <c r="K19" s="7"/>
    </row>
    <row r="20" spans="2:11" s="269" customFormat="1">
      <c r="B20" s="346" t="s">
        <v>77</v>
      </c>
      <c r="C20" s="347">
        <v>94</v>
      </c>
      <c r="D20" s="120">
        <f>C20*(1+'Escalators &amp; overheads'!D$17)</f>
        <v>95.6770740410348</v>
      </c>
      <c r="E20" s="120">
        <f>D20*(1+'Escalators &amp; overheads'!E$17)</f>
        <v>97.94462069580733</v>
      </c>
      <c r="F20" s="120">
        <f>E20*(1+'Escalators &amp; overheads'!F$17)</f>
        <v>100.26590820629796</v>
      </c>
      <c r="G20" s="120">
        <f>F20*(1+'Escalators &amp; overheads'!G$17)</f>
        <v>102.64221023078723</v>
      </c>
      <c r="H20" s="120">
        <f>G20*(1+'Escalators &amp; overheads'!H$17)</f>
        <v>105.07483061325689</v>
      </c>
      <c r="I20" s="120">
        <f>H20*(1+'Escalators &amp; overheads'!I$17)</f>
        <v>107.56510409879108</v>
      </c>
      <c r="J20" s="7" t="s">
        <v>491</v>
      </c>
      <c r="K20" s="7"/>
    </row>
    <row r="21" spans="2:11" s="269" customFormat="1">
      <c r="B21" s="346" t="s">
        <v>78</v>
      </c>
      <c r="C21" s="347">
        <v>130</v>
      </c>
      <c r="D21" s="120">
        <f>C21*(1+'Escalators &amp; overheads'!D$17)</f>
        <v>132.31935771632473</v>
      </c>
      <c r="E21" s="120">
        <f>D21*(1+'Escalators &amp; overheads'!E$17)</f>
        <v>135.45532649420164</v>
      </c>
      <c r="F21" s="120">
        <f>E21*(1+'Escalators &amp; overheads'!F$17)</f>
        <v>138.66561773211424</v>
      </c>
      <c r="G21" s="120">
        <f>F21*(1+'Escalators &amp; overheads'!G$17)</f>
        <v>141.95199287236537</v>
      </c>
      <c r="H21" s="120">
        <f>G21*(1+'Escalators &amp; overheads'!H$17)</f>
        <v>145.31625510344043</v>
      </c>
      <c r="I21" s="120">
        <f>H21*(1+'Escalators &amp; overheads'!I$17)</f>
        <v>148.76025034939198</v>
      </c>
      <c r="J21" s="7" t="s">
        <v>491</v>
      </c>
      <c r="K21" s="7"/>
    </row>
    <row r="22" spans="2:11" s="269" customFormat="1">
      <c r="B22" s="346" t="s">
        <v>79</v>
      </c>
      <c r="C22" s="347">
        <v>225</v>
      </c>
      <c r="D22" s="120">
        <f>C22*(1+'Escalators &amp; overheads'!D$17)</f>
        <v>229.01427297056202</v>
      </c>
      <c r="E22" s="120">
        <f>D22*(1+'Escalators &amp; overheads'!E$17)</f>
        <v>234.44191123996436</v>
      </c>
      <c r="F22" s="120">
        <f>E22*(1+'Escalators &amp; overheads'!F$17)</f>
        <v>239.99818453635152</v>
      </c>
      <c r="G22" s="120">
        <f>F22*(1+'Escalators &amp; overheads'!G$17)</f>
        <v>245.68614150986306</v>
      </c>
      <c r="H22" s="120">
        <f>G22*(1+'Escalators &amp; overheads'!H$17)</f>
        <v>251.50890306364684</v>
      </c>
      <c r="I22" s="120">
        <f>H22*(1+'Escalators &amp; overheads'!I$17)</f>
        <v>257.46966406625529</v>
      </c>
      <c r="J22" s="7" t="s">
        <v>491</v>
      </c>
      <c r="K22" s="7"/>
    </row>
    <row r="23" spans="2:11" s="269" customFormat="1">
      <c r="B23" s="346" t="s">
        <v>80</v>
      </c>
      <c r="C23" s="347">
        <v>305</v>
      </c>
      <c r="D23" s="120">
        <f>C23*(1+'Escalators &amp; overheads'!D$17)</f>
        <v>310.44157002676184</v>
      </c>
      <c r="E23" s="120">
        <f>D23*(1+'Escalators &amp; overheads'!E$17)</f>
        <v>317.79903523639609</v>
      </c>
      <c r="F23" s="120">
        <f>E23*(1+'Escalators &amp; overheads'!F$17)</f>
        <v>325.33087237149869</v>
      </c>
      <c r="G23" s="120">
        <f>F23*(1+'Escalators &amp; overheads'!G$17)</f>
        <v>333.0412140467032</v>
      </c>
      <c r="H23" s="120">
        <f>G23*(1+'Escalators &amp; overheads'!H$17)</f>
        <v>340.93429081961011</v>
      </c>
      <c r="I23" s="120">
        <f>H23*(1+'Escalators &amp; overheads'!I$17)</f>
        <v>349.01443351203488</v>
      </c>
      <c r="J23" s="7" t="s">
        <v>491</v>
      </c>
      <c r="K23" s="7"/>
    </row>
    <row r="24" spans="2:11" s="269" customFormat="1">
      <c r="B24" s="346" t="s">
        <v>198</v>
      </c>
      <c r="C24" s="347">
        <v>5</v>
      </c>
      <c r="D24" s="120">
        <f>C24*(1+'Escalators &amp; overheads'!D$17)</f>
        <v>5.0892060660124896</v>
      </c>
      <c r="E24" s="120">
        <f>D24*(1+'Escalators &amp; overheads'!E$17)</f>
        <v>5.2098202497769854</v>
      </c>
      <c r="F24" s="120">
        <f>E24*(1+'Escalators &amp; overheads'!F$17)</f>
        <v>5.3332929896966998</v>
      </c>
      <c r="G24" s="120">
        <f>F24*(1+'Escalators &amp; overheads'!G$17)</f>
        <v>5.4596920335525123</v>
      </c>
      <c r="H24" s="120">
        <f>G24*(1+'Escalators &amp; overheads'!H$17)</f>
        <v>5.5890867347477071</v>
      </c>
      <c r="I24" s="120">
        <f>H24*(1+'Escalators &amp; overheads'!I$17)</f>
        <v>5.7215480903612281</v>
      </c>
      <c r="J24" s="7" t="s">
        <v>491</v>
      </c>
      <c r="K24" s="7"/>
    </row>
    <row r="25" spans="2:11" s="269" customFormat="1">
      <c r="B25" s="346" t="s">
        <v>1399</v>
      </c>
      <c r="C25" s="347">
        <v>143.32</v>
      </c>
      <c r="D25" s="120">
        <f>C25*(1+'Escalators &amp; overheads'!D$17)</f>
        <v>145.877002676182</v>
      </c>
      <c r="E25" s="120">
        <f>D25*(1+'Escalators &amp; overheads'!E$17)</f>
        <v>149.33428763960751</v>
      </c>
      <c r="F25" s="120">
        <f>E25*(1+'Escalators &amp; overheads'!F$17)</f>
        <v>152.87351025666621</v>
      </c>
      <c r="G25" s="120">
        <f>F25*(1+'Escalators &amp; overheads'!G$17)</f>
        <v>156.49661244974919</v>
      </c>
      <c r="H25" s="120">
        <f>G25*(1+'Escalators &amp; overheads'!H$17)</f>
        <v>160.20558216480825</v>
      </c>
      <c r="I25" s="120">
        <f>H25*(1+'Escalators &amp; overheads'!I$17)</f>
        <v>164.0024544621142</v>
      </c>
      <c r="J25" s="7"/>
      <c r="K25" s="7"/>
    </row>
    <row r="26" spans="2:11" s="269" customFormat="1" ht="12.75" customHeight="1">
      <c r="B26" s="346"/>
      <c r="C26" s="348"/>
      <c r="D26" s="120"/>
      <c r="E26" s="120"/>
      <c r="F26" s="120"/>
      <c r="G26" s="120"/>
      <c r="H26" s="120"/>
      <c r="I26" s="120"/>
      <c r="J26" s="7"/>
      <c r="K26" s="7"/>
    </row>
    <row r="27" spans="2:11">
      <c r="B27" s="35" t="s">
        <v>1309</v>
      </c>
      <c r="C27" s="35" t="s">
        <v>81</v>
      </c>
      <c r="D27" s="35" t="s">
        <v>1</v>
      </c>
      <c r="E27" s="35" t="s">
        <v>2</v>
      </c>
      <c r="F27" s="35" t="s">
        <v>3</v>
      </c>
      <c r="G27" s="35" t="s">
        <v>4</v>
      </c>
      <c r="H27" s="35" t="s">
        <v>5</v>
      </c>
      <c r="I27" s="35" t="s">
        <v>6</v>
      </c>
    </row>
    <row r="28" spans="2:11">
      <c r="B28" s="346" t="s">
        <v>77</v>
      </c>
      <c r="C28" s="348">
        <f>C3*(1+'Escalators &amp; overheads'!C$23)</f>
        <v>99.26400000000001</v>
      </c>
      <c r="D28" s="348">
        <f>D3*(1+'Escalators &amp; overheads'!D$23)</f>
        <v>101.03499018733275</v>
      </c>
      <c r="E28" s="348">
        <f>E3*(1+'Escalators &amp; overheads'!E$23)</f>
        <v>103.42951945477255</v>
      </c>
      <c r="F28" s="348">
        <f>F3*(1+'Escalators &amp; overheads'!F$23)</f>
        <v>105.88079906585065</v>
      </c>
      <c r="G28" s="348">
        <f>G3*(1+'Escalators &amp; overheads'!G$23)</f>
        <v>108.39017400371132</v>
      </c>
      <c r="H28" s="348">
        <f>H3*(1+'Escalators &amp; overheads'!H$23)</f>
        <v>110.95902112759929</v>
      </c>
      <c r="I28" s="348">
        <f>I3*(1+'Escalators &amp; overheads'!I$23)</f>
        <v>113.58874992832338</v>
      </c>
    </row>
    <row r="29" spans="2:11">
      <c r="B29" s="346" t="s">
        <v>78</v>
      </c>
      <c r="C29" s="348">
        <f>C4*(1+'Escalators &amp; overheads'!C$23)</f>
        <v>137.28</v>
      </c>
      <c r="D29" s="348">
        <f>D4*(1+'Escalators &amp; overheads'!D$23)</f>
        <v>139.72924174843891</v>
      </c>
      <c r="E29" s="348">
        <f>E4*(1+'Escalators &amp; overheads'!E$23)</f>
        <v>143.04082477787694</v>
      </c>
      <c r="F29" s="348">
        <f>F4*(1+'Escalators &amp; overheads'!F$23)</f>
        <v>146.43089232511264</v>
      </c>
      <c r="G29" s="348">
        <f>G4*(1+'Escalators &amp; overheads'!G$23)</f>
        <v>149.90130447321783</v>
      </c>
      <c r="H29" s="348">
        <f>H4*(1+'Escalators &amp; overheads'!H$23)</f>
        <v>153.4539653892331</v>
      </c>
      <c r="I29" s="348">
        <f>I4*(1+'Escalators &amp; overheads'!I$23)</f>
        <v>157.09082436895795</v>
      </c>
    </row>
    <row r="30" spans="2:11">
      <c r="B30" s="346" t="s">
        <v>79</v>
      </c>
      <c r="C30" s="348">
        <f>C5*(1+'Escalators &amp; overheads'!C$23)</f>
        <v>237.60000000000002</v>
      </c>
      <c r="D30" s="348">
        <f>D5*(1+'Escalators &amp; overheads'!D$23)</f>
        <v>241.83907225691351</v>
      </c>
      <c r="E30" s="348">
        <f>E5*(1+'Escalators &amp; overheads'!E$23)</f>
        <v>247.57065826940237</v>
      </c>
      <c r="F30" s="348">
        <f>F5*(1+'Escalators &amp; overheads'!F$23)</f>
        <v>253.43808287038721</v>
      </c>
      <c r="G30" s="348">
        <f>G5*(1+'Escalators &amp; overheads'!G$23)</f>
        <v>259.44456543441538</v>
      </c>
      <c r="H30" s="348">
        <f>H5*(1+'Escalators &amp; overheads'!H$23)</f>
        <v>265.59340163521108</v>
      </c>
      <c r="I30" s="348">
        <f>I5*(1+'Escalators &amp; overheads'!I$23)</f>
        <v>271.8879652539656</v>
      </c>
    </row>
    <row r="31" spans="2:11">
      <c r="B31" s="346" t="s">
        <v>80</v>
      </c>
      <c r="C31" s="348">
        <f>C6*(1+'Escalators &amp; overheads'!C$23)</f>
        <v>322.08000000000004</v>
      </c>
      <c r="D31" s="348">
        <f>D6*(1+'Escalators &amp; overheads'!D$23)</f>
        <v>327.8262979482605</v>
      </c>
      <c r="E31" s="348">
        <f>E6*(1+'Escalators &amp; overheads'!E$23)</f>
        <v>335.59578120963431</v>
      </c>
      <c r="F31" s="348">
        <f>F6*(1+'Escalators &amp; overheads'!F$23)</f>
        <v>343.54940122430264</v>
      </c>
      <c r="G31" s="348">
        <f>G6*(1+'Escalators &amp; overheads'!G$23)</f>
        <v>351.69152203331862</v>
      </c>
      <c r="H31" s="348">
        <f>H6*(1+'Escalators &amp; overheads'!H$23)</f>
        <v>360.02661110550832</v>
      </c>
      <c r="I31" s="348">
        <f>I6*(1+'Escalators &amp; overheads'!I$23)</f>
        <v>368.55924178870885</v>
      </c>
    </row>
    <row r="32" spans="2:11">
      <c r="B32" s="7" t="s">
        <v>198</v>
      </c>
      <c r="C32" s="348">
        <f>C7*(1+'Escalators &amp; overheads'!C$23)</f>
        <v>5.28</v>
      </c>
      <c r="D32" s="348">
        <f>D7*(1+'Escalators &amp; overheads'!D$23)</f>
        <v>5.3742016057091897</v>
      </c>
      <c r="E32" s="348">
        <f>E7*(1+'Escalators &amp; overheads'!E$23)</f>
        <v>5.501570183764497</v>
      </c>
      <c r="F32" s="348">
        <f>F7*(1+'Escalators &amp; overheads'!F$23)</f>
        <v>5.6319573971197157</v>
      </c>
      <c r="G32" s="348">
        <f>G7*(1+'Escalators &amp; overheads'!G$23)</f>
        <v>5.7654347874314533</v>
      </c>
      <c r="H32" s="348">
        <f>H7*(1+'Escalators &amp; overheads'!H$23)</f>
        <v>5.9020755918935786</v>
      </c>
      <c r="I32" s="348">
        <f>I7*(1+'Escalators &amp; overheads'!I$23)</f>
        <v>6.0419547834214571</v>
      </c>
    </row>
    <row r="33" spans="2:18">
      <c r="B33" s="346" t="s">
        <v>1399</v>
      </c>
      <c r="C33" s="348">
        <f>C8*(1+'Escalators &amp; overheads'!C$23)</f>
        <v>151.34592000000001</v>
      </c>
      <c r="D33" s="348">
        <f>D8*(1+'Escalators &amp; overheads'!D$23)</f>
        <v>154.04611482604821</v>
      </c>
      <c r="E33" s="348">
        <f>E8*(1+'Escalators &amp; overheads'!E$23)</f>
        <v>157.69700774742554</v>
      </c>
      <c r="F33" s="348">
        <f>F8*(1+'Escalators &amp; overheads'!F$23)</f>
        <v>161.43442683103953</v>
      </c>
      <c r="G33" s="348">
        <f>G8*(1+'Escalators &amp; overheads'!G$23)</f>
        <v>165.26042274693515</v>
      </c>
      <c r="H33" s="348">
        <f>H8*(1+'Escalators &amp; overheads'!H$23)</f>
        <v>169.17709476603753</v>
      </c>
      <c r="I33" s="348">
        <f>I8*(1+'Escalators &amp; overheads'!I$23)</f>
        <v>173.18659191199259</v>
      </c>
    </row>
    <row r="43" spans="2:18">
      <c r="G43" s="51"/>
    </row>
    <row r="45" spans="2:18">
      <c r="R45" t="s">
        <v>1307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07"/>
  <sheetViews>
    <sheetView zoomScaleNormal="100" workbookViewId="0"/>
  </sheetViews>
  <sheetFormatPr defaultColWidth="8.85546875" defaultRowHeight="15"/>
  <cols>
    <col min="1" max="1" width="23.42578125" style="7" customWidth="1"/>
    <col min="2" max="2" width="34.140625" style="7" customWidth="1"/>
    <col min="3" max="3" width="15" style="7" customWidth="1"/>
    <col min="4" max="4" width="12.42578125" style="7" customWidth="1"/>
    <col min="5" max="9" width="13.85546875" style="7" customWidth="1"/>
    <col min="10" max="19" width="8.85546875" style="7"/>
    <col min="20" max="20" width="28.28515625" style="7" customWidth="1"/>
    <col min="21" max="21" width="13" style="7" bestFit="1" customWidth="1"/>
    <col min="22" max="16384" width="8.85546875" style="7"/>
  </cols>
  <sheetData>
    <row r="1" spans="1:21">
      <c r="A1" s="336" t="s">
        <v>1465</v>
      </c>
    </row>
    <row r="2" spans="1:21">
      <c r="A2" s="81"/>
    </row>
    <row r="3" spans="1:21">
      <c r="A3" s="81" t="s">
        <v>363</v>
      </c>
    </row>
    <row r="4" spans="1:21">
      <c r="B4" s="81" t="s">
        <v>343</v>
      </c>
      <c r="C4" s="35" t="s">
        <v>81</v>
      </c>
      <c r="D4" s="35" t="s">
        <v>1</v>
      </c>
      <c r="E4" s="36" t="s">
        <v>2</v>
      </c>
      <c r="F4" s="36" t="s">
        <v>3</v>
      </c>
      <c r="G4" s="36" t="s">
        <v>4</v>
      </c>
      <c r="H4" s="36" t="s">
        <v>5</v>
      </c>
      <c r="I4" s="36" t="s">
        <v>6</v>
      </c>
    </row>
    <row r="5" spans="1:21" ht="30">
      <c r="A5" s="7" t="s">
        <v>10</v>
      </c>
      <c r="B5" s="25" t="s">
        <v>361</v>
      </c>
      <c r="C5" s="365"/>
      <c r="D5" s="365"/>
      <c r="E5" s="367"/>
      <c r="F5" s="367"/>
      <c r="G5" s="367"/>
      <c r="H5" s="367"/>
      <c r="I5" s="367"/>
      <c r="J5" s="7" t="s">
        <v>195</v>
      </c>
    </row>
    <row r="6" spans="1:21">
      <c r="E6" s="337"/>
      <c r="F6" s="337"/>
      <c r="G6" s="337"/>
      <c r="H6" s="337"/>
      <c r="I6" s="337"/>
      <c r="U6" s="7" t="s">
        <v>384</v>
      </c>
    </row>
    <row r="7" spans="1:21">
      <c r="B7" s="153" t="s">
        <v>313</v>
      </c>
      <c r="C7" s="35" t="s">
        <v>81</v>
      </c>
      <c r="D7" s="35" t="s">
        <v>1</v>
      </c>
      <c r="E7" s="36" t="s">
        <v>2</v>
      </c>
      <c r="F7" s="36" t="s">
        <v>3</v>
      </c>
      <c r="G7" s="36" t="s">
        <v>4</v>
      </c>
      <c r="H7" s="36" t="s">
        <v>5</v>
      </c>
      <c r="I7" s="36" t="s">
        <v>6</v>
      </c>
      <c r="S7" s="7" t="s">
        <v>315</v>
      </c>
      <c r="T7" s="7" t="s">
        <v>316</v>
      </c>
      <c r="U7" s="338">
        <v>0.74995000000000001</v>
      </c>
    </row>
    <row r="8" spans="1:21">
      <c r="B8" s="7" t="s">
        <v>56</v>
      </c>
      <c r="S8" s="7" t="s">
        <v>317</v>
      </c>
      <c r="T8" s="7" t="s">
        <v>318</v>
      </c>
      <c r="U8" s="338">
        <v>8.3299999999999999E-2</v>
      </c>
    </row>
    <row r="9" spans="1:21">
      <c r="B9" s="368"/>
      <c r="C9" s="365"/>
      <c r="D9" s="365"/>
      <c r="E9" s="365"/>
      <c r="F9" s="365"/>
      <c r="G9" s="365"/>
      <c r="H9" s="365"/>
      <c r="I9" s="365"/>
      <c r="J9" s="7" t="s">
        <v>196</v>
      </c>
      <c r="S9" s="7" t="s">
        <v>319</v>
      </c>
      <c r="T9" s="7" t="s">
        <v>320</v>
      </c>
      <c r="U9" s="338">
        <v>0.08</v>
      </c>
    </row>
    <row r="10" spans="1:21">
      <c r="B10" s="369"/>
      <c r="C10" s="365"/>
      <c r="D10" s="365"/>
      <c r="E10" s="365"/>
      <c r="F10" s="365"/>
      <c r="G10" s="365"/>
      <c r="H10" s="365"/>
      <c r="I10" s="365"/>
      <c r="S10" s="7" t="s">
        <v>321</v>
      </c>
      <c r="T10" s="7" t="s">
        <v>322</v>
      </c>
      <c r="U10" s="338">
        <v>0.08</v>
      </c>
    </row>
    <row r="11" spans="1:21">
      <c r="B11" s="369"/>
      <c r="C11" s="370"/>
      <c r="D11" s="370"/>
      <c r="E11" s="370"/>
      <c r="F11" s="370"/>
      <c r="G11" s="370"/>
      <c r="H11" s="370"/>
      <c r="I11" s="370"/>
      <c r="S11" s="7" t="s">
        <v>324</v>
      </c>
      <c r="T11" s="7" t="s">
        <v>325</v>
      </c>
      <c r="U11" s="338">
        <v>5.0000000000000001E-3</v>
      </c>
    </row>
    <row r="12" spans="1:21" ht="16.5" customHeight="1">
      <c r="B12" s="155" t="s">
        <v>197</v>
      </c>
      <c r="C12" s="120"/>
      <c r="D12" s="120"/>
      <c r="E12" s="367"/>
      <c r="F12" s="367"/>
      <c r="G12" s="367"/>
      <c r="H12" s="367"/>
      <c r="I12" s="367"/>
      <c r="U12" s="338"/>
    </row>
    <row r="13" spans="1:21">
      <c r="B13" s="117"/>
      <c r="C13" s="120"/>
      <c r="D13" s="120"/>
      <c r="E13" s="21"/>
      <c r="F13" s="21"/>
      <c r="G13" s="21"/>
      <c r="H13" s="21"/>
      <c r="I13" s="21"/>
      <c r="T13" s="7" t="s">
        <v>342</v>
      </c>
      <c r="U13" s="7" t="s">
        <v>384</v>
      </c>
    </row>
    <row r="14" spans="1:21" ht="30">
      <c r="B14" s="117" t="s">
        <v>346</v>
      </c>
      <c r="C14" s="35" t="s">
        <v>81</v>
      </c>
      <c r="D14" s="35" t="s">
        <v>1</v>
      </c>
      <c r="E14" s="36" t="s">
        <v>2</v>
      </c>
      <c r="F14" s="36" t="s">
        <v>3</v>
      </c>
      <c r="G14" s="36" t="s">
        <v>4</v>
      </c>
      <c r="H14" s="36" t="s">
        <v>5</v>
      </c>
      <c r="I14" s="36" t="s">
        <v>6</v>
      </c>
      <c r="T14" s="25" t="s">
        <v>341</v>
      </c>
      <c r="U14" s="338">
        <v>0.3</v>
      </c>
    </row>
    <row r="15" spans="1:21" ht="45">
      <c r="B15" s="154" t="s">
        <v>314</v>
      </c>
      <c r="T15" s="25" t="s">
        <v>340</v>
      </c>
      <c r="U15" s="338">
        <v>0.7</v>
      </c>
    </row>
    <row r="16" spans="1:21">
      <c r="B16" s="371"/>
      <c r="C16" s="365"/>
      <c r="D16" s="365"/>
      <c r="E16" s="365"/>
      <c r="F16" s="365"/>
      <c r="G16" s="365"/>
      <c r="H16" s="365"/>
      <c r="I16" s="365"/>
    </row>
    <row r="17" spans="1:20">
      <c r="B17" s="371"/>
      <c r="C17" s="365"/>
      <c r="D17" s="365"/>
      <c r="E17" s="365"/>
      <c r="F17" s="365"/>
      <c r="G17" s="365"/>
      <c r="H17" s="365"/>
      <c r="I17" s="365"/>
    </row>
    <row r="18" spans="1:20">
      <c r="B18" s="371"/>
      <c r="C18" s="370"/>
      <c r="D18" s="370"/>
      <c r="E18" s="370"/>
      <c r="F18" s="370"/>
      <c r="G18" s="370"/>
      <c r="H18" s="370"/>
      <c r="I18" s="370"/>
    </row>
    <row r="19" spans="1:20">
      <c r="B19" s="156" t="s">
        <v>197</v>
      </c>
      <c r="C19" s="120"/>
      <c r="D19" s="120"/>
      <c r="E19" s="367"/>
      <c r="F19" s="367"/>
      <c r="G19" s="367"/>
      <c r="H19" s="367"/>
      <c r="I19" s="367"/>
      <c r="T19" s="157"/>
    </row>
    <row r="20" spans="1:20">
      <c r="B20" s="156"/>
      <c r="C20" s="120"/>
      <c r="D20" s="120"/>
      <c r="E20" s="21"/>
      <c r="F20" s="21"/>
      <c r="G20" s="21"/>
      <c r="H20" s="21"/>
      <c r="I20" s="21"/>
      <c r="T20" s="157"/>
    </row>
    <row r="21" spans="1:20">
      <c r="B21" s="156" t="s">
        <v>374</v>
      </c>
      <c r="C21" s="120"/>
      <c r="D21" s="120"/>
      <c r="E21" s="367"/>
      <c r="F21" s="367"/>
      <c r="G21" s="367"/>
      <c r="H21" s="367"/>
      <c r="I21" s="367"/>
      <c r="T21" s="157"/>
    </row>
    <row r="22" spans="1:20">
      <c r="B22" s="156" t="s">
        <v>345</v>
      </c>
      <c r="C22" s="120"/>
      <c r="D22" s="120"/>
      <c r="E22" s="372"/>
      <c r="F22" s="372"/>
      <c r="G22" s="372"/>
      <c r="H22" s="372"/>
      <c r="I22" s="372"/>
      <c r="J22" s="7" t="s">
        <v>362</v>
      </c>
      <c r="T22" s="157"/>
    </row>
    <row r="24" spans="1:20">
      <c r="A24" s="81"/>
    </row>
    <row r="25" spans="1:20">
      <c r="A25" s="81" t="s">
        <v>364</v>
      </c>
    </row>
    <row r="26" spans="1:20">
      <c r="B26" s="81" t="s">
        <v>51</v>
      </c>
      <c r="C26" s="35" t="s">
        <v>81</v>
      </c>
      <c r="D26" s="35" t="s">
        <v>1</v>
      </c>
      <c r="E26" s="36" t="s">
        <v>2</v>
      </c>
      <c r="F26" s="36" t="s">
        <v>3</v>
      </c>
      <c r="G26" s="36" t="s">
        <v>4</v>
      </c>
      <c r="H26" s="36" t="s">
        <v>5</v>
      </c>
      <c r="I26" s="36" t="s">
        <v>6</v>
      </c>
    </row>
    <row r="27" spans="1:20">
      <c r="A27" s="7" t="s">
        <v>332</v>
      </c>
      <c r="J27" s="19"/>
    </row>
    <row r="28" spans="1:20">
      <c r="A28" s="376"/>
      <c r="B28" s="7" t="s">
        <v>323</v>
      </c>
      <c r="C28" s="365"/>
      <c r="D28" s="365"/>
      <c r="E28" s="365"/>
      <c r="F28" s="365"/>
      <c r="G28" s="365"/>
      <c r="H28" s="365"/>
      <c r="I28" s="365"/>
      <c r="J28" s="152" t="s">
        <v>196</v>
      </c>
    </row>
    <row r="29" spans="1:20">
      <c r="B29" s="7" t="s">
        <v>53</v>
      </c>
      <c r="C29" s="365"/>
      <c r="D29" s="365"/>
      <c r="E29" s="365"/>
      <c r="F29" s="365"/>
      <c r="G29" s="365"/>
      <c r="H29" s="365"/>
      <c r="I29" s="365"/>
      <c r="J29" s="7" t="s">
        <v>196</v>
      </c>
    </row>
    <row r="30" spans="1:20">
      <c r="B30" s="7" t="s">
        <v>54</v>
      </c>
      <c r="C30" s="365"/>
      <c r="D30" s="365"/>
      <c r="E30" s="365"/>
      <c r="F30" s="365"/>
      <c r="G30" s="365"/>
      <c r="H30" s="365"/>
      <c r="I30" s="365"/>
      <c r="J30" s="7" t="s">
        <v>196</v>
      </c>
    </row>
    <row r="31" spans="1:20">
      <c r="B31" s="7" t="s">
        <v>326</v>
      </c>
      <c r="C31" s="366"/>
      <c r="D31" s="366"/>
      <c r="E31" s="366"/>
      <c r="F31" s="366"/>
      <c r="G31" s="366"/>
      <c r="H31" s="366"/>
      <c r="I31" s="366"/>
      <c r="J31" s="7" t="s">
        <v>196</v>
      </c>
    </row>
    <row r="32" spans="1:20">
      <c r="B32" s="7" t="s">
        <v>359</v>
      </c>
      <c r="C32" s="366"/>
      <c r="D32" s="366"/>
      <c r="E32" s="366"/>
      <c r="F32" s="366"/>
      <c r="G32" s="366"/>
      <c r="H32" s="366"/>
      <c r="I32" s="366"/>
      <c r="J32" s="7" t="s">
        <v>196</v>
      </c>
    </row>
    <row r="33" spans="1:10">
      <c r="C33" s="21"/>
      <c r="D33" s="21"/>
      <c r="E33" s="21"/>
      <c r="F33" s="21"/>
      <c r="G33" s="21"/>
      <c r="H33" s="21"/>
      <c r="I33" s="21"/>
    </row>
    <row r="34" spans="1:10">
      <c r="A34" s="376"/>
      <c r="B34" s="7" t="s">
        <v>329</v>
      </c>
      <c r="C34" s="365"/>
      <c r="D34" s="365"/>
      <c r="E34" s="365"/>
      <c r="F34" s="365"/>
      <c r="G34" s="365"/>
      <c r="H34" s="365"/>
      <c r="I34" s="365"/>
      <c r="J34" s="7" t="s">
        <v>196</v>
      </c>
    </row>
    <row r="35" spans="1:10">
      <c r="B35" s="7" t="s">
        <v>327</v>
      </c>
      <c r="C35" s="365"/>
      <c r="D35" s="365"/>
      <c r="E35" s="365"/>
      <c r="F35" s="365"/>
      <c r="G35" s="365"/>
      <c r="H35" s="365"/>
      <c r="I35" s="365"/>
      <c r="J35" s="7" t="s">
        <v>196</v>
      </c>
    </row>
    <row r="36" spans="1:10" ht="15" customHeight="1">
      <c r="B36" s="7" t="s">
        <v>328</v>
      </c>
      <c r="C36" s="366"/>
      <c r="D36" s="366"/>
      <c r="E36" s="366"/>
      <c r="F36" s="366"/>
      <c r="G36" s="366"/>
      <c r="H36" s="366"/>
      <c r="I36" s="366"/>
      <c r="J36" s="7" t="s">
        <v>196</v>
      </c>
    </row>
    <row r="37" spans="1:10" ht="16.5" customHeight="1">
      <c r="B37" s="7" t="s">
        <v>330</v>
      </c>
      <c r="C37" s="366"/>
      <c r="D37" s="366"/>
      <c r="E37" s="366"/>
      <c r="F37" s="366"/>
      <c r="G37" s="366"/>
      <c r="H37" s="366"/>
      <c r="I37" s="366"/>
      <c r="J37" s="7" t="s">
        <v>196</v>
      </c>
    </row>
    <row r="38" spans="1:10" ht="16.5" customHeight="1">
      <c r="B38" s="7" t="s">
        <v>359</v>
      </c>
      <c r="C38" s="366"/>
      <c r="D38" s="366"/>
      <c r="E38" s="366"/>
      <c r="F38" s="366"/>
      <c r="G38" s="366"/>
      <c r="H38" s="366"/>
      <c r="I38" s="366"/>
      <c r="J38" s="7" t="s">
        <v>196</v>
      </c>
    </row>
    <row r="39" spans="1:10">
      <c r="C39" s="21"/>
      <c r="D39" s="21"/>
      <c r="E39" s="21"/>
      <c r="F39" s="21"/>
      <c r="G39" s="21"/>
      <c r="H39" s="21"/>
      <c r="I39" s="21"/>
    </row>
    <row r="40" spans="1:10">
      <c r="B40" s="7" t="s">
        <v>329</v>
      </c>
      <c r="C40" s="366"/>
      <c r="D40" s="366"/>
      <c r="E40" s="366"/>
      <c r="F40" s="366"/>
      <c r="G40" s="366"/>
      <c r="H40" s="366"/>
      <c r="I40" s="366"/>
      <c r="J40" s="7" t="s">
        <v>196</v>
      </c>
    </row>
    <row r="41" spans="1:10">
      <c r="A41" s="376"/>
      <c r="B41" s="7" t="s">
        <v>327</v>
      </c>
      <c r="C41" s="365"/>
      <c r="D41" s="365"/>
      <c r="E41" s="365"/>
      <c r="F41" s="365"/>
      <c r="G41" s="365"/>
      <c r="H41" s="365"/>
      <c r="I41" s="365"/>
      <c r="J41" s="7" t="s">
        <v>196</v>
      </c>
    </row>
    <row r="42" spans="1:10">
      <c r="B42" s="7" t="s">
        <v>328</v>
      </c>
      <c r="C42" s="366"/>
      <c r="D42" s="366"/>
      <c r="E42" s="366"/>
      <c r="F42" s="366"/>
      <c r="G42" s="366"/>
      <c r="H42" s="366"/>
      <c r="I42" s="366"/>
      <c r="J42" s="7" t="s">
        <v>196</v>
      </c>
    </row>
    <row r="43" spans="1:10">
      <c r="B43" s="7" t="s">
        <v>330</v>
      </c>
      <c r="C43" s="366"/>
      <c r="D43" s="366"/>
      <c r="E43" s="366"/>
      <c r="F43" s="366"/>
      <c r="G43" s="366"/>
      <c r="H43" s="366"/>
      <c r="I43" s="366"/>
      <c r="J43" s="7" t="s">
        <v>196</v>
      </c>
    </row>
    <row r="44" spans="1:10">
      <c r="B44" s="7" t="s">
        <v>359</v>
      </c>
      <c r="C44" s="366"/>
      <c r="D44" s="366"/>
      <c r="E44" s="366"/>
      <c r="F44" s="366"/>
      <c r="G44" s="366"/>
      <c r="H44" s="366"/>
      <c r="I44" s="366"/>
      <c r="J44" s="7" t="s">
        <v>196</v>
      </c>
    </row>
    <row r="45" spans="1:10" ht="17.25" customHeight="1">
      <c r="D45" s="21"/>
      <c r="E45" s="21"/>
      <c r="F45" s="21"/>
      <c r="G45" s="21"/>
      <c r="H45" s="21"/>
      <c r="I45" s="21"/>
    </row>
    <row r="46" spans="1:10">
      <c r="A46" s="339" t="s">
        <v>338</v>
      </c>
      <c r="B46" s="7" t="s">
        <v>323</v>
      </c>
      <c r="C46" s="373"/>
      <c r="D46" s="373"/>
      <c r="E46" s="373"/>
      <c r="F46" s="373"/>
      <c r="G46" s="373"/>
      <c r="H46" s="373"/>
      <c r="I46" s="373"/>
    </row>
    <row r="47" spans="1:10">
      <c r="B47" s="7" t="s">
        <v>327</v>
      </c>
      <c r="C47" s="373"/>
      <c r="D47" s="373"/>
      <c r="E47" s="373"/>
      <c r="F47" s="373"/>
      <c r="G47" s="373"/>
      <c r="H47" s="373"/>
      <c r="I47" s="373"/>
    </row>
    <row r="48" spans="1:10">
      <c r="B48" s="7" t="s">
        <v>328</v>
      </c>
      <c r="C48" s="373"/>
      <c r="D48" s="373"/>
      <c r="E48" s="373"/>
      <c r="F48" s="373"/>
      <c r="G48" s="373"/>
      <c r="H48" s="373"/>
      <c r="I48" s="373"/>
    </row>
    <row r="49" spans="1:10">
      <c r="B49" s="7" t="s">
        <v>330</v>
      </c>
      <c r="C49" s="373"/>
      <c r="D49" s="373"/>
      <c r="E49" s="373"/>
      <c r="F49" s="373"/>
      <c r="G49" s="373"/>
      <c r="H49" s="373"/>
      <c r="I49" s="373"/>
    </row>
    <row r="50" spans="1:10">
      <c r="B50" s="7" t="s">
        <v>359</v>
      </c>
      <c r="C50" s="374"/>
      <c r="D50" s="374"/>
      <c r="E50" s="374"/>
      <c r="F50" s="374"/>
      <c r="G50" s="374"/>
      <c r="H50" s="374"/>
      <c r="I50" s="374"/>
    </row>
    <row r="51" spans="1:10">
      <c r="B51" s="7" t="s">
        <v>360</v>
      </c>
      <c r="C51" s="375"/>
      <c r="D51" s="375"/>
      <c r="E51" s="375"/>
      <c r="F51" s="375"/>
      <c r="G51" s="375"/>
      <c r="H51" s="375"/>
      <c r="I51" s="375"/>
    </row>
    <row r="52" spans="1:10">
      <c r="B52" s="81" t="s">
        <v>55</v>
      </c>
      <c r="C52" s="372"/>
      <c r="D52" s="372"/>
      <c r="E52" s="372"/>
      <c r="F52" s="372"/>
      <c r="G52" s="372"/>
      <c r="H52" s="372"/>
      <c r="I52" s="372"/>
      <c r="J52" s="7" t="s">
        <v>331</v>
      </c>
    </row>
    <row r="54" spans="1:10" ht="15.75" customHeight="1">
      <c r="A54" s="7" t="s">
        <v>333</v>
      </c>
      <c r="B54" s="7" t="s">
        <v>52</v>
      </c>
      <c r="C54" s="35" t="s">
        <v>81</v>
      </c>
      <c r="D54" s="35" t="s">
        <v>1</v>
      </c>
      <c r="E54" s="36" t="s">
        <v>2</v>
      </c>
      <c r="F54" s="36" t="s">
        <v>3</v>
      </c>
      <c r="G54" s="36" t="s">
        <v>4</v>
      </c>
      <c r="H54" s="36" t="s">
        <v>5</v>
      </c>
      <c r="I54" s="36" t="s">
        <v>6</v>
      </c>
    </row>
    <row r="55" spans="1:10" s="170" customFormat="1" ht="15.75" customHeight="1">
      <c r="A55" s="376"/>
      <c r="B55" s="7" t="s">
        <v>334</v>
      </c>
      <c r="C55" s="365"/>
      <c r="D55" s="365"/>
      <c r="E55" s="365"/>
      <c r="F55" s="365"/>
      <c r="G55" s="365"/>
      <c r="H55" s="365"/>
      <c r="I55" s="365"/>
      <c r="J55" s="7" t="s">
        <v>196</v>
      </c>
    </row>
    <row r="56" spans="1:10">
      <c r="B56" s="7" t="s">
        <v>335</v>
      </c>
      <c r="C56" s="365"/>
      <c r="D56" s="365"/>
      <c r="E56" s="365"/>
      <c r="F56" s="365"/>
      <c r="G56" s="365"/>
      <c r="H56" s="365"/>
      <c r="I56" s="365"/>
      <c r="J56" s="7" t="s">
        <v>196</v>
      </c>
    </row>
    <row r="57" spans="1:10">
      <c r="B57" s="7" t="s">
        <v>336</v>
      </c>
      <c r="C57" s="365"/>
      <c r="D57" s="365"/>
      <c r="E57" s="365"/>
      <c r="F57" s="365"/>
      <c r="G57" s="365"/>
      <c r="H57" s="365"/>
      <c r="I57" s="365"/>
      <c r="J57" s="7" t="s">
        <v>196</v>
      </c>
    </row>
    <row r="58" spans="1:10">
      <c r="B58" s="7" t="s">
        <v>337</v>
      </c>
      <c r="C58" s="366"/>
      <c r="D58" s="366"/>
      <c r="E58" s="366"/>
      <c r="F58" s="366"/>
      <c r="G58" s="366"/>
      <c r="H58" s="366"/>
      <c r="I58" s="366"/>
      <c r="J58" s="7" t="s">
        <v>196</v>
      </c>
    </row>
    <row r="59" spans="1:10">
      <c r="B59" s="7" t="s">
        <v>359</v>
      </c>
      <c r="C59" s="365"/>
      <c r="D59" s="366"/>
      <c r="E59" s="366"/>
      <c r="F59" s="366"/>
      <c r="G59" s="366"/>
      <c r="H59" s="366"/>
      <c r="I59" s="366"/>
      <c r="J59" s="7" t="s">
        <v>196</v>
      </c>
    </row>
    <row r="60" spans="1:10">
      <c r="D60" s="120"/>
    </row>
    <row r="61" spans="1:10">
      <c r="A61" s="376"/>
      <c r="B61" s="7" t="s">
        <v>334</v>
      </c>
      <c r="C61" s="366"/>
      <c r="D61" s="365"/>
      <c r="E61" s="365"/>
      <c r="F61" s="365"/>
      <c r="G61" s="365"/>
      <c r="H61" s="365"/>
      <c r="I61" s="365"/>
      <c r="J61" s="7" t="s">
        <v>196</v>
      </c>
    </row>
    <row r="62" spans="1:10">
      <c r="B62" s="7" t="s">
        <v>335</v>
      </c>
      <c r="C62" s="365"/>
      <c r="D62" s="365"/>
      <c r="E62" s="365"/>
      <c r="F62" s="365"/>
      <c r="G62" s="365"/>
      <c r="H62" s="365"/>
      <c r="I62" s="365"/>
      <c r="J62" s="7" t="s">
        <v>196</v>
      </c>
    </row>
    <row r="63" spans="1:10">
      <c r="B63" s="7" t="s">
        <v>336</v>
      </c>
      <c r="C63" s="365"/>
      <c r="D63" s="365"/>
      <c r="E63" s="365"/>
      <c r="F63" s="365"/>
      <c r="G63" s="365"/>
      <c r="H63" s="365"/>
      <c r="I63" s="365"/>
      <c r="J63" s="7" t="s">
        <v>196</v>
      </c>
    </row>
    <row r="64" spans="1:10">
      <c r="B64" s="7" t="s">
        <v>337</v>
      </c>
      <c r="C64" s="366"/>
      <c r="D64" s="366"/>
      <c r="E64" s="366"/>
      <c r="F64" s="366"/>
      <c r="G64" s="366"/>
      <c r="H64" s="366"/>
      <c r="I64" s="366"/>
      <c r="J64" s="7" t="s">
        <v>196</v>
      </c>
    </row>
    <row r="65" spans="1:11">
      <c r="B65" s="7" t="s">
        <v>359</v>
      </c>
      <c r="C65" s="365"/>
      <c r="D65" s="366"/>
      <c r="E65" s="366"/>
      <c r="F65" s="366"/>
      <c r="G65" s="366"/>
      <c r="H65" s="366"/>
      <c r="I65" s="366"/>
      <c r="J65" s="7" t="s">
        <v>196</v>
      </c>
    </row>
    <row r="66" spans="1:11">
      <c r="C66" s="21"/>
      <c r="D66" s="21"/>
      <c r="E66" s="21"/>
      <c r="F66" s="21"/>
      <c r="G66" s="21"/>
      <c r="H66" s="21"/>
      <c r="I66" s="21"/>
    </row>
    <row r="67" spans="1:11">
      <c r="B67" s="7" t="s">
        <v>334</v>
      </c>
      <c r="C67" s="366"/>
      <c r="D67" s="366"/>
      <c r="E67" s="366"/>
      <c r="F67" s="366"/>
      <c r="G67" s="366"/>
      <c r="H67" s="366"/>
      <c r="I67" s="366"/>
      <c r="J67" s="7" t="s">
        <v>196</v>
      </c>
    </row>
    <row r="68" spans="1:11">
      <c r="A68" s="376"/>
      <c r="B68" s="7" t="s">
        <v>335</v>
      </c>
      <c r="C68" s="365"/>
      <c r="D68" s="365"/>
      <c r="E68" s="365"/>
      <c r="F68" s="365"/>
      <c r="G68" s="365"/>
      <c r="H68" s="365"/>
      <c r="I68" s="365"/>
      <c r="J68" s="7" t="s">
        <v>196</v>
      </c>
    </row>
    <row r="69" spans="1:11">
      <c r="B69" s="7" t="s">
        <v>336</v>
      </c>
      <c r="C69" s="365"/>
      <c r="D69" s="365"/>
      <c r="E69" s="365"/>
      <c r="F69" s="365"/>
      <c r="G69" s="365"/>
      <c r="H69" s="365"/>
      <c r="I69" s="365"/>
      <c r="J69" s="7" t="s">
        <v>196</v>
      </c>
    </row>
    <row r="70" spans="1:11">
      <c r="B70" s="7" t="s">
        <v>337</v>
      </c>
      <c r="C70" s="366"/>
      <c r="D70" s="366"/>
      <c r="E70" s="366"/>
      <c r="F70" s="366"/>
      <c r="G70" s="366"/>
      <c r="H70" s="366"/>
      <c r="I70" s="366"/>
      <c r="J70" s="7" t="s">
        <v>196</v>
      </c>
    </row>
    <row r="71" spans="1:11">
      <c r="B71" s="7" t="s">
        <v>359</v>
      </c>
      <c r="C71" s="366"/>
      <c r="D71" s="366"/>
      <c r="E71" s="366"/>
      <c r="F71" s="366"/>
      <c r="G71" s="366"/>
      <c r="H71" s="366"/>
      <c r="I71" s="366"/>
      <c r="J71" s="7" t="s">
        <v>196</v>
      </c>
    </row>
    <row r="72" spans="1:11">
      <c r="C72" s="21"/>
      <c r="D72" s="21"/>
      <c r="E72" s="21"/>
      <c r="F72" s="21"/>
      <c r="G72" s="21"/>
      <c r="H72" s="21"/>
      <c r="I72" s="21"/>
    </row>
    <row r="73" spans="1:11">
      <c r="A73" s="7" t="s">
        <v>339</v>
      </c>
      <c r="B73" s="7" t="s">
        <v>334</v>
      </c>
      <c r="C73" s="365"/>
      <c r="D73" s="365"/>
      <c r="E73" s="365"/>
      <c r="F73" s="365"/>
      <c r="G73" s="365"/>
      <c r="H73" s="365"/>
      <c r="I73" s="365"/>
      <c r="K73" s="337"/>
    </row>
    <row r="74" spans="1:11">
      <c r="B74" s="7" t="s">
        <v>335</v>
      </c>
      <c r="C74" s="365"/>
      <c r="D74" s="365"/>
      <c r="E74" s="365"/>
      <c r="F74" s="365"/>
      <c r="G74" s="365"/>
      <c r="H74" s="365"/>
      <c r="I74" s="365"/>
    </row>
    <row r="75" spans="1:11">
      <c r="B75" s="7" t="s">
        <v>336</v>
      </c>
      <c r="C75" s="365"/>
      <c r="D75" s="365"/>
      <c r="E75" s="365"/>
      <c r="F75" s="365"/>
      <c r="G75" s="365"/>
      <c r="H75" s="365"/>
      <c r="I75" s="365"/>
    </row>
    <row r="76" spans="1:11">
      <c r="B76" s="7" t="s">
        <v>337</v>
      </c>
      <c r="C76" s="365"/>
      <c r="D76" s="365"/>
      <c r="E76" s="365"/>
      <c r="F76" s="365"/>
      <c r="G76" s="365"/>
      <c r="H76" s="365"/>
      <c r="I76" s="365"/>
    </row>
    <row r="77" spans="1:11">
      <c r="B77" s="7" t="s">
        <v>359</v>
      </c>
      <c r="C77" s="370"/>
      <c r="D77" s="370"/>
      <c r="E77" s="370"/>
      <c r="F77" s="370"/>
      <c r="G77" s="370"/>
      <c r="H77" s="370"/>
      <c r="I77" s="370"/>
    </row>
    <row r="78" spans="1:11">
      <c r="B78" s="7" t="s">
        <v>339</v>
      </c>
      <c r="C78" s="374"/>
      <c r="D78" s="374"/>
      <c r="E78" s="374"/>
      <c r="F78" s="374"/>
      <c r="G78" s="374"/>
      <c r="H78" s="374"/>
      <c r="I78" s="374"/>
    </row>
    <row r="79" spans="1:11">
      <c r="B79" s="81" t="s">
        <v>55</v>
      </c>
      <c r="C79" s="372"/>
      <c r="D79" s="372"/>
      <c r="E79" s="372"/>
      <c r="F79" s="372"/>
      <c r="G79" s="372"/>
      <c r="H79" s="372"/>
      <c r="I79" s="372"/>
      <c r="J79" s="7" t="s">
        <v>331</v>
      </c>
    </row>
    <row r="81" spans="1:10">
      <c r="B81" s="81" t="s">
        <v>373</v>
      </c>
      <c r="E81" s="372"/>
      <c r="F81" s="372"/>
      <c r="G81" s="372"/>
      <c r="H81" s="372"/>
      <c r="I81" s="372"/>
      <c r="J81" s="7" t="s">
        <v>344</v>
      </c>
    </row>
    <row r="82" spans="1:10">
      <c r="B82" s="81"/>
      <c r="E82" s="22"/>
      <c r="F82" s="22"/>
      <c r="G82" s="22"/>
      <c r="H82" s="22"/>
      <c r="I82" s="22"/>
    </row>
    <row r="83" spans="1:10">
      <c r="B83" s="81"/>
      <c r="E83" s="22"/>
      <c r="F83" s="22"/>
      <c r="G83" s="22"/>
      <c r="H83" s="22"/>
      <c r="I83" s="22"/>
    </row>
    <row r="84" spans="1:10">
      <c r="A84" s="81" t="s">
        <v>365</v>
      </c>
      <c r="B84" s="81"/>
      <c r="C84" s="35" t="s">
        <v>81</v>
      </c>
      <c r="D84" s="35" t="s">
        <v>1</v>
      </c>
      <c r="E84" s="36" t="s">
        <v>2</v>
      </c>
      <c r="F84" s="36" t="s">
        <v>3</v>
      </c>
      <c r="G84" s="36" t="s">
        <v>4</v>
      </c>
      <c r="H84" s="36" t="s">
        <v>5</v>
      </c>
      <c r="I84" s="36" t="s">
        <v>6</v>
      </c>
    </row>
    <row r="85" spans="1:10">
      <c r="A85" s="7" t="s">
        <v>366</v>
      </c>
      <c r="B85" s="81"/>
      <c r="E85" s="22"/>
      <c r="F85" s="22"/>
      <c r="G85" s="22"/>
      <c r="H85" s="22"/>
      <c r="I85" s="22"/>
    </row>
    <row r="86" spans="1:10">
      <c r="A86" s="339" t="s">
        <v>367</v>
      </c>
      <c r="B86" s="7" t="s">
        <v>329</v>
      </c>
      <c r="C86" s="377"/>
      <c r="D86" s="377"/>
      <c r="E86" s="377"/>
      <c r="F86" s="377"/>
      <c r="G86" s="377"/>
      <c r="H86" s="377"/>
      <c r="I86" s="377"/>
    </row>
    <row r="87" spans="1:10">
      <c r="B87" s="7" t="s">
        <v>327</v>
      </c>
      <c r="C87" s="377"/>
      <c r="D87" s="377"/>
      <c r="E87" s="377"/>
      <c r="F87" s="377"/>
      <c r="G87" s="377"/>
      <c r="H87" s="377"/>
      <c r="I87" s="377"/>
    </row>
    <row r="88" spans="1:10">
      <c r="B88" s="7" t="s">
        <v>328</v>
      </c>
      <c r="C88" s="377"/>
      <c r="D88" s="377"/>
      <c r="E88" s="377"/>
      <c r="F88" s="377"/>
      <c r="G88" s="377"/>
      <c r="H88" s="377"/>
      <c r="I88" s="377"/>
    </row>
    <row r="89" spans="1:10">
      <c r="B89" s="7" t="s">
        <v>330</v>
      </c>
      <c r="C89" s="377"/>
      <c r="D89" s="377"/>
      <c r="E89" s="377"/>
      <c r="F89" s="377"/>
      <c r="G89" s="377"/>
      <c r="H89" s="377"/>
      <c r="I89" s="377"/>
    </row>
    <row r="90" spans="1:10">
      <c r="B90" s="7" t="s">
        <v>359</v>
      </c>
      <c r="C90" s="377"/>
      <c r="D90" s="377"/>
      <c r="E90" s="377"/>
      <c r="F90" s="377"/>
      <c r="G90" s="377"/>
      <c r="H90" s="377"/>
      <c r="I90" s="377"/>
    </row>
    <row r="91" spans="1:10">
      <c r="A91" s="339" t="s">
        <v>368</v>
      </c>
      <c r="B91" s="7" t="s">
        <v>329</v>
      </c>
      <c r="C91" s="377"/>
      <c r="D91" s="377"/>
      <c r="E91" s="377"/>
      <c r="F91" s="377"/>
      <c r="G91" s="377"/>
      <c r="H91" s="377"/>
      <c r="I91" s="377"/>
    </row>
    <row r="92" spans="1:10">
      <c r="B92" s="7" t="s">
        <v>327</v>
      </c>
      <c r="C92" s="377"/>
      <c r="D92" s="377"/>
      <c r="E92" s="377"/>
      <c r="F92" s="377"/>
      <c r="G92" s="377"/>
      <c r="H92" s="377"/>
      <c r="I92" s="377"/>
    </row>
    <row r="93" spans="1:10">
      <c r="B93" s="7" t="s">
        <v>328</v>
      </c>
      <c r="C93" s="377"/>
      <c r="D93" s="377"/>
      <c r="E93" s="377"/>
      <c r="F93" s="377"/>
      <c r="G93" s="377"/>
      <c r="H93" s="377"/>
      <c r="I93" s="377"/>
    </row>
    <row r="94" spans="1:10">
      <c r="B94" s="7" t="s">
        <v>330</v>
      </c>
      <c r="C94" s="377"/>
      <c r="D94" s="377"/>
      <c r="E94" s="377"/>
      <c r="F94" s="377"/>
      <c r="G94" s="377"/>
      <c r="H94" s="377"/>
      <c r="I94" s="377"/>
    </row>
    <row r="95" spans="1:10">
      <c r="B95" s="7" t="s">
        <v>359</v>
      </c>
      <c r="C95" s="377"/>
      <c r="D95" s="377"/>
      <c r="E95" s="377"/>
      <c r="F95" s="377"/>
      <c r="G95" s="377"/>
      <c r="H95" s="377"/>
      <c r="I95" s="377"/>
    </row>
    <row r="96" spans="1:10" ht="22.5" customHeight="1"/>
    <row r="97" spans="1:10" ht="14.25" customHeight="1">
      <c r="A97" s="7" t="s">
        <v>369</v>
      </c>
      <c r="B97" s="7" t="s">
        <v>371</v>
      </c>
      <c r="C97" s="378"/>
      <c r="D97" s="378"/>
      <c r="E97" s="378"/>
      <c r="F97" s="378"/>
      <c r="G97" s="378"/>
      <c r="H97" s="378"/>
      <c r="I97" s="378"/>
    </row>
    <row r="98" spans="1:10" ht="15" customHeight="1">
      <c r="B98" s="81" t="s">
        <v>372</v>
      </c>
      <c r="C98" s="379"/>
      <c r="D98" s="379"/>
      <c r="E98" s="379"/>
      <c r="F98" s="379"/>
      <c r="G98" s="379"/>
      <c r="H98" s="379"/>
      <c r="I98" s="379"/>
      <c r="J98" s="7" t="s">
        <v>331</v>
      </c>
    </row>
    <row r="99" spans="1:10" ht="15" customHeight="1">
      <c r="B99" s="81"/>
      <c r="C99" s="167"/>
      <c r="D99" s="167"/>
      <c r="E99" s="167"/>
      <c r="F99" s="167"/>
      <c r="G99" s="167"/>
      <c r="H99" s="167"/>
      <c r="I99" s="167"/>
    </row>
    <row r="100" spans="1:10" ht="15" customHeight="1">
      <c r="A100" s="7" t="s">
        <v>370</v>
      </c>
      <c r="B100" s="7" t="s">
        <v>371</v>
      </c>
      <c r="C100" s="378"/>
      <c r="D100" s="378"/>
      <c r="E100" s="378"/>
      <c r="F100" s="378"/>
      <c r="G100" s="378"/>
      <c r="H100" s="378"/>
      <c r="I100" s="378"/>
    </row>
    <row r="101" spans="1:10" ht="15" customHeight="1">
      <c r="B101" s="81" t="s">
        <v>372</v>
      </c>
      <c r="C101" s="379"/>
      <c r="D101" s="379"/>
      <c r="E101" s="379"/>
      <c r="F101" s="379"/>
      <c r="G101" s="379"/>
      <c r="H101" s="379"/>
      <c r="I101" s="379"/>
      <c r="J101" s="7" t="s">
        <v>331</v>
      </c>
    </row>
    <row r="102" spans="1:10" ht="15" customHeight="1">
      <c r="B102" s="81"/>
      <c r="C102" s="167"/>
      <c r="D102" s="167"/>
      <c r="E102" s="167"/>
      <c r="F102" s="167"/>
      <c r="G102" s="167"/>
      <c r="H102" s="167"/>
      <c r="I102" s="167"/>
    </row>
    <row r="103" spans="1:10" ht="15" customHeight="1">
      <c r="B103" s="81" t="s">
        <v>373</v>
      </c>
      <c r="C103" s="167"/>
      <c r="D103" s="167"/>
      <c r="E103" s="379"/>
      <c r="F103" s="379"/>
      <c r="G103" s="379"/>
      <c r="H103" s="379"/>
      <c r="I103" s="379"/>
    </row>
    <row r="104" spans="1:10" ht="21.75" customHeight="1"/>
    <row r="105" spans="1:10" ht="23.25" customHeight="1">
      <c r="B105" s="158" t="s">
        <v>347</v>
      </c>
      <c r="C105" s="75" t="s">
        <v>81</v>
      </c>
      <c r="D105" s="75" t="s">
        <v>1</v>
      </c>
      <c r="E105" s="159" t="s">
        <v>2</v>
      </c>
      <c r="F105" s="159" t="s">
        <v>3</v>
      </c>
      <c r="G105" s="159" t="s">
        <v>4</v>
      </c>
      <c r="H105" s="159" t="s">
        <v>5</v>
      </c>
      <c r="I105" s="160" t="s">
        <v>6</v>
      </c>
    </row>
    <row r="106" spans="1:10" ht="31.5" customHeight="1">
      <c r="B106" s="340" t="s">
        <v>10</v>
      </c>
      <c r="C106" s="341"/>
      <c r="D106" s="341"/>
      <c r="E106" s="342">
        <v>557.32438020070174</v>
      </c>
      <c r="F106" s="342">
        <v>570.53296801145825</v>
      </c>
      <c r="G106" s="342">
        <v>584.05459935332988</v>
      </c>
      <c r="H106" s="342">
        <v>597.89669335800374</v>
      </c>
      <c r="I106" s="342">
        <v>612.06684499058861</v>
      </c>
    </row>
    <row r="107" spans="1:10">
      <c r="B107" s="343" t="s">
        <v>11</v>
      </c>
      <c r="C107" s="344"/>
      <c r="D107" s="344"/>
      <c r="E107" s="342">
        <v>700.3791783912435</v>
      </c>
      <c r="F107" s="342">
        <v>716.9781649191159</v>
      </c>
      <c r="G107" s="342">
        <v>733.9705474276991</v>
      </c>
      <c r="H107" s="342">
        <v>751.3656494017356</v>
      </c>
      <c r="I107" s="342">
        <v>769.17301529255667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DC9BADB7961D94AA479786BE745AB6B" ma:contentTypeVersion="5" ma:contentTypeDescription="Create a new document." ma:contentTypeScope="" ma:versionID="cd2ee2c1adfa42f862662ca3fdc1150d">
  <xsd:schema xmlns:xsd="http://www.w3.org/2001/XMLSchema" xmlns:xs="http://www.w3.org/2001/XMLSchema" xmlns:p="http://schemas.microsoft.com/office/2006/metadata/properties" xmlns:ns2="65930c9a-4307-4bf5-9068-61a0eebb0c4e" targetNamespace="http://schemas.microsoft.com/office/2006/metadata/properties" ma:root="true" ma:fieldsID="ebcd64067fedc2813dfb0fdf83e74e36" ns2:_="">
    <xsd:import namespace="65930c9a-4307-4bf5-9068-61a0eebb0c4e"/>
    <xsd:element name="properties">
      <xsd:complexType>
        <xsd:sequence>
          <xsd:element name="documentManagement">
            <xsd:complexType>
              <xsd:all>
                <xsd:element ref="ns2:Internal_x0020__x002f__x0020_Public" minOccurs="0"/>
                <xsd:element ref="ns2:Stage" minOccurs="0"/>
                <xsd:element ref="ns2:Document_x0020_Section" minOccurs="0"/>
                <xsd:element ref="ns2:Responsibil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930c9a-4307-4bf5-9068-61a0eebb0c4e" elementFormDefault="qualified">
    <xsd:import namespace="http://schemas.microsoft.com/office/2006/documentManagement/types"/>
    <xsd:import namespace="http://schemas.microsoft.com/office/infopath/2007/PartnerControls"/>
    <xsd:element name="Internal_x0020__x002f__x0020_Public" ma:index="8" nillable="true" ma:displayName="Internal / Public" ma:format="Dropdown" ma:internalName="Internal_x0020__x002f__x0020_Public">
      <xsd:simpleType>
        <xsd:restriction base="dms:Choice">
          <xsd:enumeration value="Internal"/>
          <xsd:enumeration value="Public"/>
        </xsd:restriction>
      </xsd:simpleType>
    </xsd:element>
    <xsd:element name="Stage" ma:index="9" nillable="true" ma:displayName="Document Type" ma:format="Dropdown" ma:internalName="Stage">
      <xsd:simpleType>
        <xsd:restriction base="dms:Choice">
          <xsd:enumeration value="Forecast"/>
          <xsd:enumeration value="Historical"/>
          <xsd:enumeration value="Regulatory documents"/>
          <xsd:enumeration value="Submitted justification documents"/>
          <xsd:enumeration value="Management"/>
          <xsd:enumeration value="Internal Comms"/>
          <xsd:enumeration value="Governance"/>
          <xsd:enumeration value="Decision Support"/>
          <xsd:enumeration value="Customer Communications"/>
          <xsd:enumeration value="AER communications"/>
          <xsd:enumeration value="Government Relations"/>
          <xsd:enumeration value="Preliminary Proposal"/>
        </xsd:restriction>
      </xsd:simpleType>
    </xsd:element>
    <xsd:element name="Document_x0020_Section" ma:index="10" nillable="true" ma:displayName="Audience" ma:format="Dropdown" ma:internalName="Document_x0020_Section">
      <xsd:simpleType>
        <xsd:restriction base="dms:Choice">
          <xsd:enumeration value="Project internal"/>
          <xsd:enumeration value="GM Governance Group"/>
          <xsd:enumeration value="RSSC"/>
          <xsd:enumeration value="DNSP Boards"/>
          <xsd:enumeration value="Board Regulatory Committee"/>
          <xsd:enumeration value="EQL Board"/>
          <xsd:enumeration value="Public"/>
        </xsd:restriction>
      </xsd:simpleType>
    </xsd:element>
    <xsd:element name="Responsibility" ma:index="11" nillable="true" ma:displayName="Responsibility" ma:format="Dropdown" ma:indexed="true" ma:internalName="Responsibility">
      <xsd:simpleType>
        <xsd:restriction base="dms:Choice">
          <xsd:enumeration value="Central"/>
          <xsd:enumeration value="Regulatory"/>
          <xsd:enumeration value="Customer"/>
          <xsd:enumeration value="Investment"/>
          <xsd:enumeration value="Fin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Section xmlns="65930c9a-4307-4bf5-9068-61a0eebb0c4e">Public</Document_x0020_Section>
    <Internal_x0020__x002f__x0020_Public xmlns="65930c9a-4307-4bf5-9068-61a0eebb0c4e" xsi:nil="true"/>
    <Stage xmlns="65930c9a-4307-4bf5-9068-61a0eebb0c4e">Regulatory documents</Stage>
    <Responsibility xmlns="65930c9a-4307-4bf5-9068-61a0eebb0c4e">Regulatory</Responsibility>
  </documentManagement>
</p:properties>
</file>

<file path=customXml/itemProps1.xml><?xml version="1.0" encoding="utf-8"?>
<ds:datastoreItem xmlns:ds="http://schemas.openxmlformats.org/officeDocument/2006/customXml" ds:itemID="{7CED8309-192E-4B9D-B1E0-3457415953A0}">
  <ds:schemaRefs>
    <ds:schemaRef ds:uri="http://schemas.microsoft.com/sharepoint/v3/contenttype/forms"/>
  </ds:schemaRefs>
</ds:datastoreItem>
</file>

<file path=customXml/itemProps2.xml><?xml version="1.0" encoding="utf-8"?>
<ds:datastoreItem xmlns:ds="http://schemas.openxmlformats.org/officeDocument/2006/customXml" ds:itemID="{35C12B31-2A8E-4193-8C85-8A9573D01A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930c9a-4307-4bf5-9068-61a0eebb0c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05EC9A-90E0-4D18-8520-C877DD21591A}">
  <ds:schemaRefs>
    <ds:schemaRef ds:uri="http://schemas.openxmlformats.org/package/2006/metadata/core-properties"/>
    <ds:schemaRef ds:uri="65930c9a-4307-4bf5-9068-61a0eebb0c4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Intro</vt:lpstr>
      <vt:lpstr>Issues Log</vt:lpstr>
      <vt:lpstr>&gt;&gt;&gt;Inputs</vt:lpstr>
      <vt:lpstr>Lists</vt:lpstr>
      <vt:lpstr>Escalators &amp; overheads</vt:lpstr>
      <vt:lpstr>Labour rates</vt:lpstr>
      <vt:lpstr>Material costs</vt:lpstr>
      <vt:lpstr>Traffic control fees</vt:lpstr>
      <vt:lpstr>Contractor costs</vt:lpstr>
      <vt:lpstr>Travel time inputs</vt:lpstr>
      <vt:lpstr>&gt;&gt;&gt; Fee based calculation</vt:lpstr>
      <vt:lpstr>ERG Service assumptions</vt:lpstr>
      <vt:lpstr>EGX Service assumptions</vt:lpstr>
      <vt:lpstr>&gt;&gt;&gt;Price path</vt:lpstr>
      <vt:lpstr>ERG prices (all incl)</vt:lpstr>
      <vt:lpstr>EGX prices (all incl) </vt:lpstr>
      <vt:lpstr>&gt;&gt;&gt;Quoted Service calc</vt:lpstr>
      <vt:lpstr>Selected examples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2019-01-25T05:18:10Z</dcterms:created>
  <dcterms:modified xsi:type="dcterms:W3CDTF">2019-12-12T03:31:10Z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0x0101001DC9BADB7961D94AA479786BE745AB6B</vt:lpwstr>
  </property>
  <property fmtid="{D5CDD505-2E9C-101B-9397-08002B2CF9AE}" pid="3" name="_MarkAsFinal">
    <vt:bool>true</vt:bool>
  </property>
</Properties>
</file>