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-120" yWindow="-120" windowWidth="29040" windowHeight="17640"/>
  </bookViews>
  <sheets>
    <sheet name="Forecast_Opex Exp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3" l="1"/>
  <c r="E26" i="3"/>
  <c r="D34" i="3" l="1"/>
  <c r="J48" i="3" l="1"/>
  <c r="I48" i="3"/>
  <c r="H48" i="3"/>
  <c r="G48" i="3"/>
  <c r="F48" i="3"/>
  <c r="F42" i="3"/>
  <c r="J42" i="3"/>
  <c r="I42" i="3"/>
  <c r="H42" i="3"/>
  <c r="G42" i="3"/>
  <c r="E37" i="3"/>
  <c r="F41" i="3"/>
  <c r="F31" i="3"/>
  <c r="F26" i="3"/>
  <c r="E23" i="3"/>
  <c r="E24" i="3"/>
  <c r="E25" i="3"/>
  <c r="E28" i="3"/>
  <c r="E29" i="3"/>
  <c r="E30" i="3"/>
  <c r="E34" i="3"/>
  <c r="J18" i="3"/>
  <c r="I18" i="3"/>
  <c r="H18" i="3"/>
  <c r="G18" i="3"/>
  <c r="F18" i="3"/>
  <c r="G17" i="3"/>
  <c r="H17" i="3"/>
  <c r="I17" i="3"/>
  <c r="J17" i="3"/>
  <c r="F17" i="3"/>
  <c r="J16" i="3"/>
  <c r="I16" i="3"/>
  <c r="H16" i="3"/>
  <c r="G16" i="3"/>
  <c r="F16" i="3"/>
  <c r="D23" i="3"/>
  <c r="D25" i="3" s="1"/>
  <c r="D30" i="3"/>
  <c r="F34" i="3" l="1"/>
  <c r="G34" i="3" s="1"/>
  <c r="H34" i="3" s="1"/>
  <c r="I34" i="3" s="1"/>
  <c r="J34" i="3" s="1"/>
  <c r="C64" i="3" l="1"/>
  <c r="D37" i="3" l="1"/>
  <c r="F29" i="3"/>
  <c r="G29" i="3" s="1"/>
  <c r="H29" i="3" s="1"/>
  <c r="I29" i="3" s="1"/>
  <c r="J29" i="3" s="1"/>
  <c r="D33" i="3"/>
  <c r="E33" i="3" s="1"/>
  <c r="E36" i="3" s="1"/>
  <c r="F24" i="3"/>
  <c r="G24" i="3" s="1"/>
  <c r="H24" i="3" s="1"/>
  <c r="I24" i="3" s="1"/>
  <c r="J24" i="3" s="1"/>
  <c r="E38" i="3" l="1"/>
  <c r="E57" i="3"/>
  <c r="D36" i="3"/>
  <c r="D51" i="3" s="1"/>
  <c r="F33" i="3"/>
  <c r="G33" i="3" s="1"/>
  <c r="H33" i="3" s="1"/>
  <c r="I33" i="3" s="1"/>
  <c r="J33" i="3" s="1"/>
  <c r="F23" i="3"/>
  <c r="G23" i="3" s="1"/>
  <c r="F28" i="3"/>
  <c r="F30" i="3" s="1"/>
  <c r="D53" i="3" l="1"/>
  <c r="E53" i="3" s="1"/>
  <c r="F53" i="3" s="1"/>
  <c r="G53" i="3" s="1"/>
  <c r="H53" i="3" s="1"/>
  <c r="I53" i="3" s="1"/>
  <c r="J53" i="3" s="1"/>
  <c r="F25" i="3"/>
  <c r="F36" i="3" s="1"/>
  <c r="G28" i="3"/>
  <c r="G30" i="3" s="1"/>
  <c r="D38" i="3"/>
  <c r="D57" i="3"/>
  <c r="H23" i="3"/>
  <c r="G25" i="3"/>
  <c r="G36" i="3" s="1"/>
  <c r="D52" i="3" l="1"/>
  <c r="E52" i="3" s="1"/>
  <c r="D56" i="3"/>
  <c r="H28" i="3"/>
  <c r="H30" i="3" s="1"/>
  <c r="H25" i="3"/>
  <c r="I23" i="3"/>
  <c r="E51" i="3" l="1"/>
  <c r="F52" i="3"/>
  <c r="H36" i="3"/>
  <c r="I28" i="3"/>
  <c r="J28" i="3" s="1"/>
  <c r="J30" i="3" s="1"/>
  <c r="I25" i="3"/>
  <c r="J23" i="3"/>
  <c r="J25" i="3" s="1"/>
  <c r="G52" i="3" l="1"/>
  <c r="F51" i="3"/>
  <c r="F56" i="3" s="1"/>
  <c r="J36" i="3"/>
  <c r="I30" i="3"/>
  <c r="I36" i="3" s="1"/>
  <c r="G26" i="3"/>
  <c r="F37" i="3"/>
  <c r="F43" i="3" s="1"/>
  <c r="G31" i="3"/>
  <c r="F38" i="3"/>
  <c r="F49" i="3" l="1"/>
  <c r="F63" i="3" s="1"/>
  <c r="F44" i="3"/>
  <c r="F57" i="3" s="1"/>
  <c r="G51" i="3"/>
  <c r="G56" i="3" s="1"/>
  <c r="H52" i="3"/>
  <c r="H31" i="3"/>
  <c r="H26" i="3"/>
  <c r="G37" i="3"/>
  <c r="G43" i="3" s="1"/>
  <c r="G38" i="3"/>
  <c r="G49" i="3" s="1"/>
  <c r="G63" i="3" s="1"/>
  <c r="H51" i="3" l="1"/>
  <c r="H56" i="3" s="1"/>
  <c r="I52" i="3"/>
  <c r="H37" i="3"/>
  <c r="H43" i="3" s="1"/>
  <c r="I31" i="3"/>
  <c r="I26" i="3"/>
  <c r="G44" i="3"/>
  <c r="G57" i="3" s="1"/>
  <c r="H38" i="3"/>
  <c r="H49" i="3" s="1"/>
  <c r="H63" i="3" s="1"/>
  <c r="J52" i="3" l="1"/>
  <c r="J51" i="3" s="1"/>
  <c r="J56" i="3" s="1"/>
  <c r="I51" i="3"/>
  <c r="I56" i="3" s="1"/>
  <c r="J26" i="3"/>
  <c r="J31" i="3"/>
  <c r="H44" i="3"/>
  <c r="H57" i="3" s="1"/>
  <c r="I37" i="3"/>
  <c r="I43" i="3" s="1"/>
  <c r="I38" i="3"/>
  <c r="I49" i="3" s="1"/>
  <c r="I63" i="3" s="1"/>
  <c r="I44" i="3" l="1"/>
  <c r="I57" i="3" s="1"/>
  <c r="J37" i="3"/>
  <c r="J43" i="3" s="1"/>
  <c r="J38" i="3"/>
  <c r="J49" i="3" s="1"/>
  <c r="J63" i="3" s="1"/>
  <c r="J44" i="3" l="1"/>
  <c r="J57" i="3" s="1"/>
  <c r="D58" i="3" l="1"/>
  <c r="D59" i="3" s="1"/>
  <c r="E58" i="3" l="1"/>
  <c r="E59" i="3" s="1"/>
  <c r="F58" i="3" l="1"/>
  <c r="F59" i="3" s="1"/>
  <c r="F62" i="3"/>
  <c r="F67" i="3" l="1"/>
  <c r="F64" i="3"/>
  <c r="F65" i="3" s="1"/>
  <c r="G62" i="3"/>
  <c r="F70" i="3"/>
  <c r="F68" i="3" l="1"/>
  <c r="G64" i="3"/>
  <c r="G65" i="3" s="1"/>
  <c r="G68" i="3" s="1"/>
  <c r="G58" i="3"/>
  <c r="G59" i="3"/>
  <c r="G67" i="3" s="1"/>
  <c r="H62" i="3"/>
  <c r="J62" i="3" l="1"/>
  <c r="G70" i="3"/>
  <c r="H64" i="3"/>
  <c r="H65" i="3" s="1"/>
  <c r="H68" i="3" s="1"/>
  <c r="H58" i="3"/>
  <c r="H59" i="3"/>
  <c r="H67" i="3" s="1"/>
  <c r="I62" i="3"/>
  <c r="H70" i="3" l="1"/>
  <c r="I58" i="3"/>
  <c r="I59" i="3" s="1"/>
  <c r="I67" i="3" s="1"/>
  <c r="J64" i="3"/>
  <c r="J65" i="3" s="1"/>
  <c r="J68" i="3" s="1"/>
  <c r="I64" i="3"/>
  <c r="I65" i="3" s="1"/>
  <c r="I68" i="3" s="1"/>
  <c r="J58" i="3"/>
  <c r="J59" i="3" s="1"/>
  <c r="J67" i="3" s="1"/>
  <c r="J70" i="3" l="1"/>
  <c r="C72" i="3" s="1"/>
  <c r="I70" i="3"/>
</calcChain>
</file>

<file path=xl/sharedStrings.xml><?xml version="1.0" encoding="utf-8"?>
<sst xmlns="http://schemas.openxmlformats.org/spreadsheetml/2006/main" count="56" uniqueCount="54">
  <si>
    <t>TOTAL</t>
  </si>
  <si>
    <t>Materials</t>
  </si>
  <si>
    <t>Total Operating Cost</t>
  </si>
  <si>
    <t>Opex LED</t>
  </si>
  <si>
    <t>Productivity Factor</t>
  </si>
  <si>
    <t>Total Maintenance - Major</t>
  </si>
  <si>
    <t>Total Maintenance - Minor</t>
  </si>
  <si>
    <t>Maintenance Unit Rate - All</t>
  </si>
  <si>
    <t>Annual increase in total lights</t>
  </si>
  <si>
    <t>MV portion of total</t>
  </si>
  <si>
    <t>LED portion of total</t>
  </si>
  <si>
    <t>LED conversion</t>
  </si>
  <si>
    <t>Minor Luminaires - maintenance volume</t>
  </si>
  <si>
    <t>Major Luminaires - maintenance volume</t>
  </si>
  <si>
    <t>Unadjusted Luminaire Maintenance Volume</t>
  </si>
  <si>
    <t>Reduction in maintenance volume due to LEDs</t>
  </si>
  <si>
    <t>Portion of conventional/MV luminaires requiring maintenance</t>
  </si>
  <si>
    <t>Portion of LED luminaires requiring maintenance</t>
  </si>
  <si>
    <t>Adjusted Conventional/MV Luminair Maintenance Volume</t>
  </si>
  <si>
    <t>LED Luminair Maintenance Volume</t>
  </si>
  <si>
    <t>Addition of LED Luminaire Maintenance</t>
  </si>
  <si>
    <t>Reduction in Conventional/MV Luminiaire Maintenance</t>
  </si>
  <si>
    <t xml:space="preserve">Opex Conventional/MV </t>
  </si>
  <si>
    <t>Opex per Conventional/MV installation</t>
  </si>
  <si>
    <t>Opex per LED installation</t>
  </si>
  <si>
    <t>Reduction in Maintenance Cost of Conventional/MV Luminaires</t>
  </si>
  <si>
    <t>Increase in Maintenance Cost of LEDs Luminaires</t>
  </si>
  <si>
    <t xml:space="preserve">  Pole maintenance</t>
  </si>
  <si>
    <t>Total Luminaire Maintenance - ALL</t>
  </si>
  <si>
    <t>Total Pole Maintenance</t>
  </si>
  <si>
    <t>Labour portion</t>
  </si>
  <si>
    <t>Material Portion</t>
  </si>
  <si>
    <t>Real labour escalation (BIS/DAE)</t>
  </si>
  <si>
    <t xml:space="preserve">   Overhead</t>
  </si>
  <si>
    <t xml:space="preserve">  Luminaire maintenance</t>
  </si>
  <si>
    <t xml:space="preserve">  Overhead</t>
  </si>
  <si>
    <t xml:space="preserve">   Luminaire maintenance</t>
  </si>
  <si>
    <t>All - Luminaire Maintenance Activity</t>
  </si>
  <si>
    <t>Major Road Luminaires Maintenance - Labour</t>
  </si>
  <si>
    <t>Major Road Luminaires Maintenance - Materials</t>
  </si>
  <si>
    <t>Total PL Opex</t>
  </si>
  <si>
    <t>Percentage decline 2020- 2025</t>
  </si>
  <si>
    <t>ACTUAL 2018/19 Operating Costs (RIN basis)</t>
  </si>
  <si>
    <t>Actual 2018/19 Operating Costs (Direct costs - operating accounts)</t>
  </si>
  <si>
    <t>Minor Road Luminaires Maintenance - Labour</t>
  </si>
  <si>
    <t>Portion of difference between RIN and operating accounts attributed to Luminaires (all labour)</t>
  </si>
  <si>
    <t>Non-network capex (excluded from SCS)</t>
  </si>
  <si>
    <t>Key</t>
  </si>
  <si>
    <t>Blue = Assumptions and sourced data</t>
  </si>
  <si>
    <t>Black = calculated data</t>
  </si>
  <si>
    <t>Major LED</t>
  </si>
  <si>
    <t>Minor LED</t>
  </si>
  <si>
    <t>Major Conventional</t>
  </si>
  <si>
    <t>Minor Conventional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</si>
</sst>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_(* #,##0_);_(* \(#,##0\);_(* &quot;-&quot;??_);_(@_)"/>
    <numFmt numFmtId="167" formatCode="0.0%"/>
    <numFmt numFmtId="168" formatCode="_(* #,##0_);_(* \(#,##0\);_(* &quot;-&quot;?_);_(@_)"/>
    <numFmt numFmtId="169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432FF"/>
      <name val="Calibri"/>
      <family val="2"/>
      <scheme val="minor"/>
    </font>
    <font>
      <b/>
      <sz val="12"/>
      <color rgb="FF0432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4" fillId="0" borderId="0" xfId="0" applyFont="1" applyFill="1" applyBorder="1"/>
    <xf numFmtId="164" fontId="4" fillId="0" borderId="0" xfId="1" applyNumberFormat="1" applyFont="1" applyFill="1" applyBorder="1"/>
    <xf numFmtId="10" fontId="5" fillId="0" borderId="0" xfId="0" applyNumberFormat="1" applyFont="1" applyFill="1" applyBorder="1"/>
    <xf numFmtId="9" fontId="5" fillId="0" borderId="0" xfId="0" applyNumberFormat="1" applyFont="1" applyFill="1" applyBorder="1"/>
    <xf numFmtId="0" fontId="4" fillId="0" borderId="5" xfId="0" applyFont="1" applyFill="1" applyBorder="1"/>
    <xf numFmtId="0" fontId="1" fillId="0" borderId="5" xfId="0" applyFont="1" applyFill="1" applyBorder="1"/>
    <xf numFmtId="169" fontId="4" fillId="0" borderId="0" xfId="0" applyNumberFormat="1" applyFont="1" applyFill="1" applyBorder="1"/>
    <xf numFmtId="0" fontId="1" fillId="0" borderId="5" xfId="0" applyFont="1" applyBorder="1"/>
    <xf numFmtId="0" fontId="1" fillId="0" borderId="0" xfId="0" applyFont="1" applyFill="1" applyBorder="1"/>
    <xf numFmtId="17" fontId="4" fillId="0" borderId="0" xfId="0" applyNumberFormat="1" applyFont="1"/>
    <xf numFmtId="0" fontId="1" fillId="0" borderId="0" xfId="0" applyFont="1"/>
    <xf numFmtId="164" fontId="5" fillId="0" borderId="0" xfId="1" applyNumberFormat="1" applyFont="1"/>
    <xf numFmtId="164" fontId="1" fillId="0" borderId="0" xfId="1" applyNumberFormat="1" applyFont="1" applyFill="1" applyBorder="1"/>
    <xf numFmtId="9" fontId="1" fillId="0" borderId="0" xfId="3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164" fontId="5" fillId="0" borderId="0" xfId="1" applyNumberFormat="1" applyFont="1" applyFill="1"/>
    <xf numFmtId="0" fontId="4" fillId="0" borderId="0" xfId="0" applyFont="1" applyFill="1" applyAlignment="1">
      <alignment horizontal="left"/>
    </xf>
    <xf numFmtId="164" fontId="1" fillId="0" borderId="0" xfId="1" applyNumberFormat="1" applyFont="1" applyFill="1"/>
    <xf numFmtId="166" fontId="1" fillId="0" borderId="0" xfId="0" applyNumberFormat="1" applyFont="1" applyFill="1"/>
    <xf numFmtId="164" fontId="1" fillId="0" borderId="0" xfId="0" applyNumberFormat="1" applyFont="1" applyFill="1"/>
    <xf numFmtId="166" fontId="1" fillId="0" borderId="0" xfId="0" applyNumberFormat="1" applyFont="1"/>
    <xf numFmtId="44" fontId="1" fillId="0" borderId="0" xfId="2" applyFont="1"/>
    <xf numFmtId="164" fontId="1" fillId="0" borderId="0" xfId="1" applyNumberFormat="1" applyFont="1"/>
    <xf numFmtId="44" fontId="1" fillId="0" borderId="1" xfId="2" applyFont="1" applyBorder="1"/>
    <xf numFmtId="167" fontId="1" fillId="0" borderId="0" xfId="3" applyNumberFormat="1" applyFont="1"/>
    <xf numFmtId="165" fontId="1" fillId="0" borderId="0" xfId="2" applyNumberFormat="1" applyFont="1" applyFill="1" applyBorder="1"/>
    <xf numFmtId="44" fontId="1" fillId="0" borderId="0" xfId="2" applyFont="1" applyFill="1" applyBorder="1"/>
    <xf numFmtId="167" fontId="5" fillId="0" borderId="0" xfId="3" applyNumberFormat="1" applyFont="1" applyFill="1" applyBorder="1"/>
    <xf numFmtId="168" fontId="1" fillId="0" borderId="0" xfId="0" applyNumberFormat="1" applyFont="1" applyFill="1" applyBorder="1"/>
    <xf numFmtId="164" fontId="1" fillId="0" borderId="0" xfId="0" applyNumberFormat="1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165" fontId="1" fillId="0" borderId="6" xfId="2" applyNumberFormat="1" applyFont="1" applyFill="1" applyBorder="1"/>
    <xf numFmtId="165" fontId="1" fillId="0" borderId="0" xfId="0" applyNumberFormat="1" applyFont="1" applyFill="1" applyBorder="1"/>
    <xf numFmtId="165" fontId="1" fillId="0" borderId="6" xfId="0" applyNumberFormat="1" applyFont="1" applyFill="1" applyBorder="1"/>
    <xf numFmtId="169" fontId="1" fillId="0" borderId="0" xfId="0" applyNumberFormat="1" applyFont="1" applyBorder="1"/>
    <xf numFmtId="0" fontId="1" fillId="0" borderId="0" xfId="0" applyFont="1" applyBorder="1"/>
    <xf numFmtId="0" fontId="1" fillId="0" borderId="6" xfId="0" applyFont="1" applyBorder="1"/>
    <xf numFmtId="164" fontId="1" fillId="0" borderId="0" xfId="0" applyNumberFormat="1" applyFont="1" applyBorder="1"/>
    <xf numFmtId="164" fontId="1" fillId="0" borderId="6" xfId="0" applyNumberFormat="1" applyFont="1" applyBorder="1"/>
    <xf numFmtId="44" fontId="1" fillId="0" borderId="6" xfId="2" applyFont="1" applyFill="1" applyBorder="1"/>
    <xf numFmtId="0" fontId="4" fillId="0" borderId="2" xfId="0" applyFont="1" applyFill="1" applyBorder="1"/>
    <xf numFmtId="167" fontId="5" fillId="0" borderId="0" xfId="0" applyNumberFormat="1" applyFont="1"/>
    <xf numFmtId="167" fontId="1" fillId="0" borderId="0" xfId="0" applyNumberFormat="1" applyFont="1" applyFill="1" applyBorder="1"/>
    <xf numFmtId="169" fontId="1" fillId="0" borderId="6" xfId="0" applyNumberFormat="1" applyFont="1" applyBorder="1"/>
    <xf numFmtId="165" fontId="4" fillId="0" borderId="0" xfId="0" applyNumberFormat="1" applyFont="1" applyBorder="1"/>
    <xf numFmtId="165" fontId="4" fillId="0" borderId="6" xfId="0" applyNumberFormat="1" applyFont="1" applyBorder="1"/>
    <xf numFmtId="0" fontId="1" fillId="0" borderId="6" xfId="0" applyFont="1" applyFill="1" applyBorder="1"/>
    <xf numFmtId="169" fontId="4" fillId="0" borderId="6" xfId="0" applyNumberFormat="1" applyFont="1" applyFill="1" applyBorder="1"/>
    <xf numFmtId="0" fontId="1" fillId="0" borderId="7" xfId="0" applyFont="1" applyFill="1" applyBorder="1"/>
    <xf numFmtId="44" fontId="1" fillId="0" borderId="8" xfId="2" applyFont="1" applyFill="1" applyBorder="1"/>
    <xf numFmtId="44" fontId="1" fillId="0" borderId="9" xfId="2" applyFont="1" applyFill="1" applyBorder="1"/>
    <xf numFmtId="9" fontId="5" fillId="0" borderId="0" xfId="3" applyFont="1" applyFill="1" applyBorder="1"/>
    <xf numFmtId="10" fontId="5" fillId="0" borderId="0" xfId="3" applyNumberFormat="1" applyFont="1"/>
    <xf numFmtId="0" fontId="4" fillId="0" borderId="3" xfId="0" applyFont="1" applyFill="1" applyBorder="1"/>
    <xf numFmtId="0" fontId="1" fillId="0" borderId="8" xfId="0" applyFont="1" applyFill="1" applyBorder="1"/>
    <xf numFmtId="0" fontId="1" fillId="0" borderId="0" xfId="0" applyFont="1" applyAlignment="1">
      <alignment wrapText="1"/>
    </xf>
    <xf numFmtId="164" fontId="6" fillId="0" borderId="0" xfId="1" applyNumberFormat="1" applyFont="1" applyFill="1" applyBorder="1"/>
    <xf numFmtId="165" fontId="4" fillId="0" borderId="0" xfId="0" applyNumberFormat="1" applyFont="1"/>
    <xf numFmtId="0" fontId="3" fillId="0" borderId="0" xfId="0" applyFont="1"/>
    <xf numFmtId="10" fontId="3" fillId="0" borderId="0" xfId="3" applyNumberFormat="1" applyFont="1"/>
    <xf numFmtId="164" fontId="5" fillId="0" borderId="0" xfId="1" applyNumberFormat="1" applyFont="1" applyFill="1" applyAlignment="1">
      <alignment horizontal="left"/>
    </xf>
    <xf numFmtId="164" fontId="1" fillId="0" borderId="10" xfId="0" applyNumberFormat="1" applyFont="1" applyBorder="1"/>
    <xf numFmtId="3" fontId="1" fillId="0" borderId="0" xfId="0" applyNumberFormat="1" applyFont="1"/>
    <xf numFmtId="3" fontId="1" fillId="0" borderId="0" xfId="0" applyNumberFormat="1" applyFont="1" applyFill="1" applyBorder="1"/>
    <xf numFmtId="3" fontId="4" fillId="0" borderId="0" xfId="0" applyNumberFormat="1" applyFont="1"/>
    <xf numFmtId="0" fontId="1" fillId="0" borderId="8" xfId="2" applyNumberFormat="1" applyFont="1" applyFill="1" applyBorder="1"/>
    <xf numFmtId="167" fontId="5" fillId="0" borderId="0" xfId="0" applyNumberFormat="1" applyFont="1" applyBorder="1"/>
    <xf numFmtId="165" fontId="1" fillId="0" borderId="0" xfId="0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O77"/>
  <sheetViews>
    <sheetView tabSelected="1" zoomScaleNormal="100" workbookViewId="0"/>
  </sheetViews>
  <sheetFormatPr defaultColWidth="10.85546875" defaultRowHeight="15.75" x14ac:dyDescent="0.25"/>
  <cols>
    <col min="1" max="1" width="6" style="12" customWidth="1"/>
    <col min="2" max="2" width="69.7109375" style="12" customWidth="1"/>
    <col min="3" max="3" width="13.85546875" style="12" customWidth="1"/>
    <col min="4" max="4" width="15.7109375" style="12" bestFit="1" customWidth="1"/>
    <col min="5" max="5" width="14" style="12" bestFit="1" customWidth="1"/>
    <col min="6" max="6" width="17.28515625" style="12" bestFit="1" customWidth="1"/>
    <col min="7" max="10" width="14" style="12" bestFit="1" customWidth="1"/>
    <col min="11" max="12" width="10.85546875" style="12"/>
    <col min="13" max="13" width="14" style="12" bestFit="1" customWidth="1"/>
    <col min="14" max="16384" width="10.85546875" style="12"/>
  </cols>
  <sheetData>
    <row r="2" spans="2:15" s="1" customFormat="1" x14ac:dyDescent="0.25">
      <c r="C2" s="11">
        <v>43160</v>
      </c>
      <c r="D2" s="11">
        <v>43617</v>
      </c>
      <c r="E2" s="11">
        <v>43983</v>
      </c>
      <c r="F2" s="11">
        <v>44348</v>
      </c>
      <c r="G2" s="11">
        <v>44713</v>
      </c>
      <c r="H2" s="11">
        <v>45078</v>
      </c>
      <c r="I2" s="11">
        <v>45444</v>
      </c>
      <c r="J2" s="11">
        <v>45809</v>
      </c>
    </row>
    <row r="3" spans="2:15" s="1" customFormat="1" x14ac:dyDescent="0.25">
      <c r="D3" s="11"/>
      <c r="E3" s="11"/>
      <c r="F3" s="11"/>
      <c r="G3" s="11"/>
      <c r="H3" s="11"/>
      <c r="I3" s="11"/>
      <c r="J3" s="11"/>
    </row>
    <row r="4" spans="2:15" x14ac:dyDescent="0.25">
      <c r="B4" s="12" t="s">
        <v>32</v>
      </c>
      <c r="F4" s="56">
        <v>6.8491222314366849E-3</v>
      </c>
      <c r="G4" s="56">
        <v>8.6425611965758563E-3</v>
      </c>
      <c r="H4" s="56">
        <v>9.1219124004980282E-3</v>
      </c>
      <c r="I4" s="56">
        <v>9.3851484987669768E-3</v>
      </c>
      <c r="J4" s="56">
        <v>6.99202884332056E-3</v>
      </c>
    </row>
    <row r="5" spans="2:15" x14ac:dyDescent="0.25">
      <c r="B5" s="12" t="s">
        <v>4</v>
      </c>
      <c r="F5" s="56">
        <v>5.0000000000000001E-3</v>
      </c>
      <c r="G5" s="56">
        <v>5.0000000000000001E-3</v>
      </c>
      <c r="H5" s="56">
        <v>5.0000000000000001E-3</v>
      </c>
      <c r="I5" s="56">
        <v>5.0000000000000001E-3</v>
      </c>
      <c r="J5" s="56">
        <v>5.0000000000000001E-3</v>
      </c>
    </row>
    <row r="6" spans="2:15" x14ac:dyDescent="0.25">
      <c r="B6" s="12" t="s">
        <v>8</v>
      </c>
      <c r="D6" s="13"/>
      <c r="E6" s="13"/>
      <c r="F6" s="13">
        <v>5000</v>
      </c>
      <c r="G6" s="13">
        <v>5000</v>
      </c>
      <c r="H6" s="13">
        <v>5000</v>
      </c>
      <c r="I6" s="13">
        <v>5000</v>
      </c>
      <c r="J6" s="13">
        <v>5000</v>
      </c>
      <c r="N6" s="66"/>
    </row>
    <row r="7" spans="2:15" x14ac:dyDescent="0.25">
      <c r="N7" s="66"/>
    </row>
    <row r="8" spans="2:15" s="10" customFormat="1" x14ac:dyDescent="0.25">
      <c r="C8" s="12"/>
      <c r="D8" s="12"/>
      <c r="N8" s="67"/>
    </row>
    <row r="9" spans="2:15" s="10" customFormat="1" x14ac:dyDescent="0.25">
      <c r="B9" s="10" t="s">
        <v>11</v>
      </c>
      <c r="C9" s="12"/>
      <c r="D9" s="59"/>
      <c r="E9" s="4"/>
      <c r="F9" s="4">
        <v>0.125</v>
      </c>
      <c r="G9" s="5">
        <v>0.15</v>
      </c>
      <c r="H9" s="4">
        <v>0.17499999999999999</v>
      </c>
      <c r="I9" s="5">
        <v>0.2</v>
      </c>
      <c r="J9" s="4">
        <v>0.22500000000000001</v>
      </c>
      <c r="N9" s="67"/>
      <c r="O9" s="67"/>
    </row>
    <row r="10" spans="2:15" s="10" customFormat="1" x14ac:dyDescent="0.25">
      <c r="C10" s="12"/>
      <c r="D10" s="14"/>
      <c r="E10" s="14"/>
      <c r="F10" s="14"/>
      <c r="G10" s="14"/>
      <c r="H10" s="14"/>
      <c r="I10" s="14"/>
      <c r="J10" s="14"/>
      <c r="N10" s="67"/>
      <c r="O10" s="67"/>
    </row>
    <row r="11" spans="2:15" s="10" customFormat="1" x14ac:dyDescent="0.25">
      <c r="C11" s="12"/>
      <c r="D11" s="14"/>
      <c r="E11" s="14"/>
      <c r="F11" s="14"/>
      <c r="G11" s="14"/>
      <c r="H11" s="14"/>
      <c r="I11" s="14"/>
      <c r="J11" s="14"/>
      <c r="O11" s="67"/>
    </row>
    <row r="12" spans="2:15" s="10" customFormat="1" x14ac:dyDescent="0.25">
      <c r="B12" s="10" t="s">
        <v>50</v>
      </c>
      <c r="C12" s="12"/>
      <c r="F12" s="14">
        <v>5884</v>
      </c>
      <c r="G12" s="14">
        <v>11021</v>
      </c>
      <c r="H12" s="14">
        <v>19785</v>
      </c>
      <c r="I12" s="14">
        <v>29818</v>
      </c>
      <c r="J12" s="14">
        <v>41165</v>
      </c>
      <c r="O12" s="67"/>
    </row>
    <row r="13" spans="2:15" s="10" customFormat="1" x14ac:dyDescent="0.25">
      <c r="B13" s="12" t="s">
        <v>51</v>
      </c>
      <c r="C13" s="12"/>
      <c r="D13" s="14"/>
      <c r="F13" s="25">
        <v>13889</v>
      </c>
      <c r="G13" s="25">
        <v>26111</v>
      </c>
      <c r="H13" s="14">
        <v>47098</v>
      </c>
      <c r="I13" s="14">
        <v>71286</v>
      </c>
      <c r="J13" s="14">
        <v>98962</v>
      </c>
    </row>
    <row r="14" spans="2:15" s="10" customFormat="1" x14ac:dyDescent="0.25">
      <c r="B14" s="10" t="s">
        <v>52</v>
      </c>
      <c r="C14" s="12"/>
      <c r="D14" s="14"/>
      <c r="F14" s="14">
        <v>88706</v>
      </c>
      <c r="G14" s="14">
        <v>85084</v>
      </c>
      <c r="H14" s="14">
        <v>77895</v>
      </c>
      <c r="I14" s="14">
        <v>69502</v>
      </c>
      <c r="J14" s="14">
        <v>59860</v>
      </c>
      <c r="O14" s="67"/>
    </row>
    <row r="15" spans="2:15" s="10" customFormat="1" x14ac:dyDescent="0.25">
      <c r="B15" s="10" t="s">
        <v>53</v>
      </c>
      <c r="C15" s="12"/>
      <c r="D15" s="14"/>
      <c r="F15" s="14">
        <v>227988</v>
      </c>
      <c r="G15" s="14">
        <v>219681</v>
      </c>
      <c r="H15" s="14">
        <v>202683</v>
      </c>
      <c r="I15" s="25">
        <v>182561</v>
      </c>
      <c r="J15" s="25">
        <v>159025</v>
      </c>
      <c r="N15" s="67"/>
      <c r="O15" s="67"/>
    </row>
    <row r="16" spans="2:15" s="10" customFormat="1" x14ac:dyDescent="0.25">
      <c r="B16" s="2" t="s">
        <v>0</v>
      </c>
      <c r="C16" s="60">
        <v>362730</v>
      </c>
      <c r="D16" s="3"/>
      <c r="E16" s="3"/>
      <c r="F16" s="60">
        <f>SUM(F12:F15)</f>
        <v>336467</v>
      </c>
      <c r="G16" s="60">
        <f t="shared" ref="G16:J16" si="0">SUM(G12:G15)</f>
        <v>341897</v>
      </c>
      <c r="H16" s="60">
        <f t="shared" si="0"/>
        <v>347461</v>
      </c>
      <c r="I16" s="60">
        <f t="shared" si="0"/>
        <v>353167</v>
      </c>
      <c r="J16" s="60">
        <f t="shared" si="0"/>
        <v>359012</v>
      </c>
      <c r="N16" s="67"/>
      <c r="O16" s="67"/>
    </row>
    <row r="17" spans="1:15" s="10" customFormat="1" x14ac:dyDescent="0.25">
      <c r="B17" s="10" t="s">
        <v>10</v>
      </c>
      <c r="D17" s="15"/>
      <c r="E17" s="15"/>
      <c r="F17" s="15">
        <f>SUM(F12:F13)/F16</f>
        <v>5.8766535796972663E-2</v>
      </c>
      <c r="G17" s="15">
        <f t="shared" ref="G17:J17" si="1">SUM(G12:G13)/G16</f>
        <v>0.10860580818199633</v>
      </c>
      <c r="H17" s="15">
        <f t="shared" si="1"/>
        <v>0.19249066801741779</v>
      </c>
      <c r="I17" s="15">
        <f t="shared" si="1"/>
        <v>0.28627816302202641</v>
      </c>
      <c r="J17" s="15">
        <f t="shared" si="1"/>
        <v>0.3903128586231101</v>
      </c>
      <c r="N17" s="67"/>
    </row>
    <row r="18" spans="1:15" s="10" customFormat="1" x14ac:dyDescent="0.25">
      <c r="B18" s="10" t="s">
        <v>9</v>
      </c>
      <c r="D18" s="15"/>
      <c r="E18" s="15"/>
      <c r="F18" s="15">
        <f>SUM(F14:F15)/F16</f>
        <v>0.94123346420302734</v>
      </c>
      <c r="G18" s="15">
        <f t="shared" ref="G18:J18" si="2">SUM(G14:G15)/G16</f>
        <v>0.89139419181800372</v>
      </c>
      <c r="H18" s="15">
        <f t="shared" si="2"/>
        <v>0.80750933198258223</v>
      </c>
      <c r="I18" s="15">
        <f t="shared" si="2"/>
        <v>0.71372183697797364</v>
      </c>
      <c r="J18" s="15">
        <f t="shared" si="2"/>
        <v>0.60968714137688995</v>
      </c>
      <c r="N18" s="67"/>
      <c r="O18" s="67"/>
    </row>
    <row r="19" spans="1:15" s="1" customFormat="1" x14ac:dyDescent="0.25">
      <c r="D19" s="11"/>
      <c r="E19" s="11"/>
      <c r="F19" s="11"/>
      <c r="G19" s="11"/>
      <c r="H19" s="11"/>
      <c r="I19" s="11"/>
      <c r="J19" s="11"/>
      <c r="N19" s="68"/>
      <c r="O19" s="68"/>
    </row>
    <row r="20" spans="1:15" x14ac:dyDescent="0.25">
      <c r="B20" s="1" t="s">
        <v>42</v>
      </c>
      <c r="D20" s="60">
        <v>15984892</v>
      </c>
      <c r="N20" s="66"/>
      <c r="O20" s="66"/>
    </row>
    <row r="21" spans="1:15" x14ac:dyDescent="0.25">
      <c r="B21" s="1" t="s">
        <v>43</v>
      </c>
      <c r="C21" s="13"/>
      <c r="D21" s="13">
        <v>12011644.359999994</v>
      </c>
      <c r="O21" s="66"/>
    </row>
    <row r="22" spans="1:15" x14ac:dyDescent="0.25">
      <c r="A22" s="16"/>
      <c r="B22" s="19" t="s">
        <v>37</v>
      </c>
      <c r="C22" s="19"/>
      <c r="D22" s="20"/>
      <c r="E22" s="16"/>
      <c r="F22" s="16"/>
      <c r="G22" s="16"/>
      <c r="H22" s="16"/>
      <c r="I22" s="16"/>
      <c r="J22" s="16"/>
    </row>
    <row r="23" spans="1:15" x14ac:dyDescent="0.25">
      <c r="A23" s="16"/>
      <c r="B23" s="17" t="s">
        <v>38</v>
      </c>
      <c r="C23" s="17"/>
      <c r="D23" s="18">
        <f>1422513.79048334</f>
        <v>1422513.7904833399</v>
      </c>
      <c r="E23" s="21">
        <f>D23*(1+E$4)*(1-E$5)</f>
        <v>1422513.7904833399</v>
      </c>
      <c r="F23" s="21">
        <f t="shared" ref="F23:J23" si="3">E23*(1+F$4)*(1-F$5)</f>
        <v>1425095.4775037132</v>
      </c>
      <c r="G23" s="21">
        <f t="shared" si="3"/>
        <v>1430224.8926171076</v>
      </c>
      <c r="H23" s="21">
        <f t="shared" si="3"/>
        <v>1436054.9224065696</v>
      </c>
      <c r="I23" s="21">
        <f t="shared" si="3"/>
        <v>1442284.8485502119</v>
      </c>
      <c r="J23" s="21">
        <f t="shared" si="3"/>
        <v>1445107.4990825013</v>
      </c>
      <c r="O23" s="66"/>
    </row>
    <row r="24" spans="1:15" x14ac:dyDescent="0.25">
      <c r="A24" s="16"/>
      <c r="B24" s="17" t="s">
        <v>39</v>
      </c>
      <c r="D24" s="18">
        <v>766596.17890000122</v>
      </c>
      <c r="E24" s="22">
        <f>D24</f>
        <v>766596.17890000122</v>
      </c>
      <c r="F24" s="22">
        <f t="shared" ref="F24:J24" si="4">E24</f>
        <v>766596.17890000122</v>
      </c>
      <c r="G24" s="22">
        <f t="shared" si="4"/>
        <v>766596.17890000122</v>
      </c>
      <c r="H24" s="22">
        <f t="shared" si="4"/>
        <v>766596.17890000122</v>
      </c>
      <c r="I24" s="22">
        <f t="shared" si="4"/>
        <v>766596.17890000122</v>
      </c>
      <c r="J24" s="22">
        <f t="shared" si="4"/>
        <v>766596.17890000122</v>
      </c>
      <c r="O24" s="66"/>
    </row>
    <row r="25" spans="1:15" x14ac:dyDescent="0.25">
      <c r="A25" s="16"/>
      <c r="B25" s="17" t="s">
        <v>5</v>
      </c>
      <c r="C25" s="17"/>
      <c r="D25" s="21">
        <f>SUM(D23:D24)</f>
        <v>2189109.9693833413</v>
      </c>
      <c r="E25" s="21">
        <f>SUM(E23:E24)</f>
        <v>2189109.9693833413</v>
      </c>
      <c r="F25" s="21">
        <f t="shared" ref="F25:J25" si="5">SUM(F23:F24)</f>
        <v>2191691.6564037143</v>
      </c>
      <c r="G25" s="21">
        <f t="shared" si="5"/>
        <v>2196821.0715171089</v>
      </c>
      <c r="H25" s="21">
        <f t="shared" si="5"/>
        <v>2202651.1013065707</v>
      </c>
      <c r="I25" s="21">
        <f t="shared" si="5"/>
        <v>2208881.0274502132</v>
      </c>
      <c r="J25" s="21">
        <f t="shared" si="5"/>
        <v>2211703.6779825026</v>
      </c>
      <c r="O25" s="66"/>
    </row>
    <row r="26" spans="1:15" x14ac:dyDescent="0.25">
      <c r="B26" s="17" t="s">
        <v>13</v>
      </c>
      <c r="C26" s="17"/>
      <c r="D26" s="18">
        <v>18020</v>
      </c>
      <c r="E26" s="23">
        <f>D26</f>
        <v>18020</v>
      </c>
      <c r="F26" s="23">
        <f>D26/F$16*F$16</f>
        <v>18020</v>
      </c>
      <c r="G26" s="23">
        <f t="shared" ref="G26:J26" si="6">F26/F$16*G$16</f>
        <v>18310.811877539254</v>
      </c>
      <c r="H26" s="23">
        <f t="shared" si="6"/>
        <v>18608.800328115387</v>
      </c>
      <c r="I26" s="23">
        <f t="shared" si="6"/>
        <v>18914.393803850005</v>
      </c>
      <c r="J26" s="23">
        <f t="shared" si="6"/>
        <v>19227.43163519751</v>
      </c>
      <c r="O26" s="66"/>
    </row>
    <row r="27" spans="1:15" x14ac:dyDescent="0.25">
      <c r="B27" s="17"/>
      <c r="C27" s="17"/>
      <c r="D27" s="24"/>
      <c r="E27" s="24"/>
      <c r="F27" s="24"/>
      <c r="G27" s="24"/>
      <c r="H27" s="24"/>
      <c r="I27" s="24"/>
      <c r="J27" s="24"/>
      <c r="O27" s="66"/>
    </row>
    <row r="28" spans="1:15" x14ac:dyDescent="0.25">
      <c r="B28" s="17" t="s">
        <v>44</v>
      </c>
      <c r="C28" s="17"/>
      <c r="D28" s="18">
        <v>3241564.7495166622</v>
      </c>
      <c r="E28" s="21">
        <f>D28*(1+E$4)*(1-E$5)</f>
        <v>3241564.7495166622</v>
      </c>
      <c r="F28" s="21">
        <f t="shared" ref="F28:J28" si="7">E28*(1+F$4)*(1-F$5)</f>
        <v>3247447.7895936817</v>
      </c>
      <c r="G28" s="21">
        <f t="shared" si="7"/>
        <v>3259136.4855686906</v>
      </c>
      <c r="H28" s="21">
        <f t="shared" si="7"/>
        <v>3272421.7128758584</v>
      </c>
      <c r="I28" s="21">
        <f t="shared" si="7"/>
        <v>3286618.2072187788</v>
      </c>
      <c r="J28" s="21">
        <f t="shared" si="7"/>
        <v>3293050.344838032</v>
      </c>
    </row>
    <row r="29" spans="1:15" x14ac:dyDescent="0.25">
      <c r="B29" s="17" t="s">
        <v>1</v>
      </c>
      <c r="C29" s="17"/>
      <c r="D29" s="18">
        <v>1315254.651100002</v>
      </c>
      <c r="E29" s="22">
        <f>D29</f>
        <v>1315254.651100002</v>
      </c>
      <c r="F29" s="22">
        <f t="shared" ref="F29:J29" si="8">E29</f>
        <v>1315254.651100002</v>
      </c>
      <c r="G29" s="22">
        <f t="shared" si="8"/>
        <v>1315254.651100002</v>
      </c>
      <c r="H29" s="22">
        <f t="shared" si="8"/>
        <v>1315254.651100002</v>
      </c>
      <c r="I29" s="22">
        <f t="shared" si="8"/>
        <v>1315254.651100002</v>
      </c>
      <c r="J29" s="22">
        <f t="shared" si="8"/>
        <v>1315254.651100002</v>
      </c>
    </row>
    <row r="30" spans="1:15" x14ac:dyDescent="0.25">
      <c r="B30" s="17" t="s">
        <v>6</v>
      </c>
      <c r="C30" s="17"/>
      <c r="D30" s="25">
        <f>D28+D29</f>
        <v>4556819.4006166644</v>
      </c>
      <c r="E30" s="21">
        <f>SUM(E28:E29)</f>
        <v>4556819.4006166644</v>
      </c>
      <c r="F30" s="21">
        <f t="shared" ref="F30:J30" si="9">SUM(F28:F29)</f>
        <v>4562702.4406936839</v>
      </c>
      <c r="G30" s="21">
        <f t="shared" si="9"/>
        <v>4574391.1366686923</v>
      </c>
      <c r="H30" s="21">
        <f t="shared" si="9"/>
        <v>4587676.3639758602</v>
      </c>
      <c r="I30" s="21">
        <f t="shared" si="9"/>
        <v>4601872.8583187805</v>
      </c>
      <c r="J30" s="21">
        <f t="shared" si="9"/>
        <v>4608304.9959380338</v>
      </c>
    </row>
    <row r="31" spans="1:15" x14ac:dyDescent="0.25">
      <c r="B31" s="17" t="s">
        <v>12</v>
      </c>
      <c r="C31" s="17"/>
      <c r="D31" s="18">
        <v>50391</v>
      </c>
      <c r="E31" s="23">
        <f>D31</f>
        <v>50391</v>
      </c>
      <c r="F31" s="23">
        <f>D31/F$16*F$16</f>
        <v>50391</v>
      </c>
      <c r="G31" s="23">
        <f t="shared" ref="G31:J31" si="10">F31/F$16*G$16</f>
        <v>51204.224268650418</v>
      </c>
      <c r="H31" s="23">
        <f t="shared" si="10"/>
        <v>52037.517055164404</v>
      </c>
      <c r="I31" s="23">
        <f t="shared" si="10"/>
        <v>52892.076480011412</v>
      </c>
      <c r="J31" s="23">
        <f t="shared" si="10"/>
        <v>53767.453248015408</v>
      </c>
    </row>
    <row r="32" spans="1:15" x14ac:dyDescent="0.25">
      <c r="B32" s="17"/>
      <c r="C32" s="17"/>
      <c r="D32" s="24"/>
      <c r="E32" s="24"/>
      <c r="F32" s="24"/>
      <c r="G32" s="24"/>
      <c r="H32" s="24"/>
      <c r="I32" s="24"/>
      <c r="J32" s="24"/>
    </row>
    <row r="33" spans="2:10" x14ac:dyDescent="0.25">
      <c r="B33" s="17" t="s">
        <v>45</v>
      </c>
      <c r="C33" s="17"/>
      <c r="D33" s="25">
        <f>(D20-D21)*SUM(D25,D30)/D21</f>
        <v>2231438.68946177</v>
      </c>
      <c r="E33" s="21">
        <f>D33*(1+E$4)*(1-E$5)</f>
        <v>2231438.68946177</v>
      </c>
      <c r="F33" s="21">
        <f t="shared" ref="F33:J33" si="11">E33*(1+F$4)*(1-F$5)</f>
        <v>2235488.4753688611</v>
      </c>
      <c r="G33" s="21">
        <f t="shared" si="11"/>
        <v>2243534.7772148694</v>
      </c>
      <c r="H33" s="21">
        <f t="shared" si="11"/>
        <v>2252680.1043954939</v>
      </c>
      <c r="I33" s="21">
        <f t="shared" si="11"/>
        <v>2262452.7324869866</v>
      </c>
      <c r="J33" s="21">
        <f t="shared" si="11"/>
        <v>2266880.5079129389</v>
      </c>
    </row>
    <row r="34" spans="2:10" x14ac:dyDescent="0.25">
      <c r="B34" s="12" t="s">
        <v>46</v>
      </c>
      <c r="D34" s="64">
        <f>469638</f>
        <v>469638</v>
      </c>
      <c r="E34" s="22">
        <f>D34</f>
        <v>469638</v>
      </c>
      <c r="F34" s="22">
        <f t="shared" ref="F34:J34" si="12">E34</f>
        <v>469638</v>
      </c>
      <c r="G34" s="22">
        <f t="shared" si="12"/>
        <v>469638</v>
      </c>
      <c r="H34" s="22">
        <f t="shared" si="12"/>
        <v>469638</v>
      </c>
      <c r="I34" s="22">
        <f t="shared" si="12"/>
        <v>469638</v>
      </c>
      <c r="J34" s="22">
        <f t="shared" si="12"/>
        <v>469638</v>
      </c>
    </row>
    <row r="35" spans="2:10" x14ac:dyDescent="0.25">
      <c r="D35" s="64"/>
      <c r="E35" s="22"/>
      <c r="F35" s="22"/>
      <c r="G35" s="22"/>
      <c r="H35" s="22"/>
      <c r="I35" s="22"/>
      <c r="J35" s="22"/>
    </row>
    <row r="36" spans="2:10" ht="16.5" thickBot="1" x14ac:dyDescent="0.3">
      <c r="B36" s="17" t="s">
        <v>28</v>
      </c>
      <c r="C36" s="17"/>
      <c r="D36" s="65">
        <f>SUM(D25,D30,D33:D34)</f>
        <v>9447006.0594617762</v>
      </c>
      <c r="E36" s="65">
        <f t="shared" ref="E36:J36" si="13">SUM(E25,E30,E33:E34)</f>
        <v>9447006.0594617762</v>
      </c>
      <c r="F36" s="65">
        <f t="shared" si="13"/>
        <v>9459520.5724662598</v>
      </c>
      <c r="G36" s="65">
        <f t="shared" si="13"/>
        <v>9484384.9854006711</v>
      </c>
      <c r="H36" s="65">
        <f t="shared" si="13"/>
        <v>9512645.5696779247</v>
      </c>
      <c r="I36" s="65">
        <f t="shared" si="13"/>
        <v>9542844.6182559803</v>
      </c>
      <c r="J36" s="65">
        <f t="shared" si="13"/>
        <v>9556527.1818334758</v>
      </c>
    </row>
    <row r="37" spans="2:10" s="10" customFormat="1" ht="17.25" thickTop="1" thickBot="1" x14ac:dyDescent="0.3">
      <c r="B37" s="10" t="s">
        <v>14</v>
      </c>
      <c r="D37" s="14">
        <f t="shared" ref="D37:J37" si="14">D31+D26</f>
        <v>68411</v>
      </c>
      <c r="E37" s="14">
        <f>D37</f>
        <v>68411</v>
      </c>
      <c r="F37" s="14">
        <f t="shared" si="14"/>
        <v>68411</v>
      </c>
      <c r="G37" s="14">
        <f t="shared" si="14"/>
        <v>69515.036146189668</v>
      </c>
      <c r="H37" s="14">
        <f t="shared" si="14"/>
        <v>70646.317383279791</v>
      </c>
      <c r="I37" s="14">
        <f t="shared" si="14"/>
        <v>71806.470283861418</v>
      </c>
      <c r="J37" s="14">
        <f t="shared" si="14"/>
        <v>72994.884883212915</v>
      </c>
    </row>
    <row r="38" spans="2:10" ht="16.5" thickBot="1" x14ac:dyDescent="0.3">
      <c r="B38" s="17" t="s">
        <v>7</v>
      </c>
      <c r="C38" s="17"/>
      <c r="D38" s="26">
        <f t="shared" ref="D38:J38" si="15">D36/(D26+D31)</f>
        <v>138.09191591208688</v>
      </c>
      <c r="E38" s="26">
        <f t="shared" si="15"/>
        <v>138.09191591208688</v>
      </c>
      <c r="F38" s="26">
        <f t="shared" si="15"/>
        <v>138.27484720975076</v>
      </c>
      <c r="G38" s="26">
        <f t="shared" si="15"/>
        <v>136.43645333730493</v>
      </c>
      <c r="H38" s="26">
        <f t="shared" si="15"/>
        <v>134.65168351336214</v>
      </c>
      <c r="I38" s="26">
        <f t="shared" si="15"/>
        <v>132.89672338066094</v>
      </c>
      <c r="J38" s="26">
        <f t="shared" si="15"/>
        <v>130.92050486994123</v>
      </c>
    </row>
    <row r="39" spans="2:10" s="10" customFormat="1" x14ac:dyDescent="0.25">
      <c r="D39" s="14"/>
      <c r="E39" s="14"/>
      <c r="F39" s="14"/>
      <c r="G39" s="14"/>
      <c r="H39" s="14"/>
      <c r="I39" s="14"/>
      <c r="J39" s="14"/>
    </row>
    <row r="40" spans="2:10" x14ac:dyDescent="0.25">
      <c r="B40" s="1" t="s">
        <v>25</v>
      </c>
      <c r="C40" s="1"/>
    </row>
    <row r="41" spans="2:10" x14ac:dyDescent="0.25">
      <c r="B41" s="12" t="s">
        <v>16</v>
      </c>
      <c r="F41" s="27">
        <f>F37/(F14+F15)</f>
        <v>0.21601609124265064</v>
      </c>
    </row>
    <row r="42" spans="2:10" s="10" customFormat="1" x14ac:dyDescent="0.25">
      <c r="B42" s="10" t="s">
        <v>18</v>
      </c>
      <c r="E42" s="14"/>
      <c r="F42" s="14">
        <f>ROUND($F$41*SUM(F14:F15),0)</f>
        <v>68411</v>
      </c>
      <c r="G42" s="14">
        <f>ROUND($F$41*SUM(G14:G15),0)</f>
        <v>65834</v>
      </c>
      <c r="H42" s="14">
        <f t="shared" ref="H42:J42" si="16">ROUND($F$41*SUM(H14:H15),0)</f>
        <v>60609</v>
      </c>
      <c r="I42" s="14">
        <f t="shared" si="16"/>
        <v>54450</v>
      </c>
      <c r="J42" s="14">
        <f t="shared" si="16"/>
        <v>47283</v>
      </c>
    </row>
    <row r="43" spans="2:10" s="10" customFormat="1" x14ac:dyDescent="0.25">
      <c r="B43" s="10" t="s">
        <v>15</v>
      </c>
      <c r="E43" s="14"/>
      <c r="F43" s="14">
        <f t="shared" ref="F43:J43" si="17">F37-F42</f>
        <v>0</v>
      </c>
      <c r="G43" s="14">
        <f t="shared" si="17"/>
        <v>3681.0361461896682</v>
      </c>
      <c r="H43" s="14">
        <f t="shared" si="17"/>
        <v>10037.317383279791</v>
      </c>
      <c r="I43" s="14">
        <f t="shared" si="17"/>
        <v>17356.470283861418</v>
      </c>
      <c r="J43" s="14">
        <f t="shared" si="17"/>
        <v>25711.884883212915</v>
      </c>
    </row>
    <row r="44" spans="2:10" s="10" customFormat="1" x14ac:dyDescent="0.25">
      <c r="B44" s="10" t="s">
        <v>21</v>
      </c>
      <c r="E44" s="28"/>
      <c r="F44" s="28">
        <f>F38*F43</f>
        <v>0</v>
      </c>
      <c r="G44" s="28">
        <f t="shared" ref="G44:J44" si="18">G38*G43</f>
        <v>502227.51639253943</v>
      </c>
      <c r="H44" s="28">
        <f t="shared" si="18"/>
        <v>1351541.6836165588</v>
      </c>
      <c r="I44" s="28">
        <f t="shared" si="18"/>
        <v>2306618.0301789925</v>
      </c>
      <c r="J44" s="28">
        <f t="shared" si="18"/>
        <v>3366212.9500680445</v>
      </c>
    </row>
    <row r="46" spans="2:10" s="10" customFormat="1" x14ac:dyDescent="0.25">
      <c r="B46" s="2" t="s">
        <v>26</v>
      </c>
      <c r="C46" s="2"/>
      <c r="E46" s="29"/>
      <c r="F46" s="29"/>
      <c r="G46" s="29"/>
      <c r="H46" s="29"/>
      <c r="I46" s="29"/>
      <c r="J46" s="29"/>
    </row>
    <row r="47" spans="2:10" s="10" customFormat="1" x14ac:dyDescent="0.25">
      <c r="B47" s="12" t="s">
        <v>17</v>
      </c>
      <c r="C47" s="12"/>
      <c r="D47" s="30"/>
      <c r="E47" s="30"/>
      <c r="F47" s="30">
        <v>0.01</v>
      </c>
      <c r="G47" s="30">
        <v>0.02</v>
      </c>
      <c r="H47" s="30">
        <v>0.03</v>
      </c>
      <c r="I47" s="30">
        <v>0.04</v>
      </c>
      <c r="J47" s="30">
        <v>0.05</v>
      </c>
    </row>
    <row r="48" spans="2:10" s="10" customFormat="1" x14ac:dyDescent="0.25">
      <c r="B48" s="10" t="s">
        <v>19</v>
      </c>
      <c r="D48" s="31"/>
      <c r="E48" s="31"/>
      <c r="F48" s="31">
        <f>ROUND(SUM(F12:F13)*F47,0)</f>
        <v>198</v>
      </c>
      <c r="G48" s="31">
        <f t="shared" ref="G48:J48" si="19">ROUND(SUM(G12:G13)*G47,0)</f>
        <v>743</v>
      </c>
      <c r="H48" s="31">
        <f t="shared" si="19"/>
        <v>2006</v>
      </c>
      <c r="I48" s="31">
        <f t="shared" si="19"/>
        <v>4044</v>
      </c>
      <c r="J48" s="31">
        <f t="shared" si="19"/>
        <v>7006</v>
      </c>
    </row>
    <row r="49" spans="1:13" s="10" customFormat="1" x14ac:dyDescent="0.25">
      <c r="B49" s="10" t="s">
        <v>20</v>
      </c>
      <c r="D49" s="14"/>
      <c r="E49" s="14"/>
      <c r="F49" s="14">
        <f t="shared" ref="F49:J49" si="20">F48*F38</f>
        <v>27378.41974753065</v>
      </c>
      <c r="G49" s="14">
        <f t="shared" si="20"/>
        <v>101372.28482961757</v>
      </c>
      <c r="H49" s="14">
        <f t="shared" si="20"/>
        <v>270111.27712780447</v>
      </c>
      <c r="I49" s="14">
        <f t="shared" si="20"/>
        <v>537434.34935139283</v>
      </c>
      <c r="J49" s="14">
        <f t="shared" si="20"/>
        <v>917229.05711880827</v>
      </c>
    </row>
    <row r="50" spans="1:13" s="10" customFormat="1" x14ac:dyDescent="0.25">
      <c r="D50" s="14"/>
      <c r="E50" s="14"/>
      <c r="F50" s="14"/>
      <c r="G50" s="14"/>
      <c r="H50" s="14"/>
      <c r="I50" s="14"/>
      <c r="J50" s="14"/>
    </row>
    <row r="51" spans="1:13" x14ac:dyDescent="0.25">
      <c r="A51" s="16"/>
      <c r="B51" s="17" t="s">
        <v>29</v>
      </c>
      <c r="C51" s="17"/>
      <c r="D51" s="20">
        <f>D20-D36</f>
        <v>6537885.9405382238</v>
      </c>
      <c r="E51" s="21">
        <f>SUM(E52:E53)</f>
        <v>6537885.9405382238</v>
      </c>
      <c r="F51" s="21">
        <f t="shared" ref="F51:J51" si="21">SUM(F52:F53)</f>
        <v>6547971.5784268295</v>
      </c>
      <c r="G51" s="21">
        <f t="shared" si="21"/>
        <v>6568010.1900035953</v>
      </c>
      <c r="H51" s="21">
        <f t="shared" si="21"/>
        <v>6590785.8281317977</v>
      </c>
      <c r="I51" s="21">
        <f t="shared" si="21"/>
        <v>6615123.7043583477</v>
      </c>
      <c r="J51" s="21">
        <f t="shared" si="21"/>
        <v>6626150.6921109669</v>
      </c>
    </row>
    <row r="52" spans="1:13" s="10" customFormat="1" x14ac:dyDescent="0.25">
      <c r="B52" s="10" t="s">
        <v>30</v>
      </c>
      <c r="D52" s="14">
        <f>D51-D53</f>
        <v>5557203.0494574904</v>
      </c>
      <c r="E52" s="21">
        <f>D52*(1+E$4)*(1-E$5)</f>
        <v>5557203.0494574904</v>
      </c>
      <c r="F52" s="21">
        <f t="shared" ref="F52:J52" si="22">E52*(1+F$4)*(1-F$5)</f>
        <v>5567288.6873460962</v>
      </c>
      <c r="G52" s="21">
        <f t="shared" si="22"/>
        <v>5587327.2989228619</v>
      </c>
      <c r="H52" s="21">
        <f t="shared" si="22"/>
        <v>5610102.9370510643</v>
      </c>
      <c r="I52" s="21">
        <f t="shared" si="22"/>
        <v>5634440.8132776143</v>
      </c>
      <c r="J52" s="21">
        <f t="shared" si="22"/>
        <v>5645467.8010302335</v>
      </c>
    </row>
    <row r="53" spans="1:13" s="10" customFormat="1" x14ac:dyDescent="0.25">
      <c r="B53" s="10" t="s">
        <v>31</v>
      </c>
      <c r="C53" s="55">
        <v>0.15</v>
      </c>
      <c r="D53" s="14">
        <f>D51*$C53</f>
        <v>980682.89108073351</v>
      </c>
      <c r="E53" s="32">
        <f>D53</f>
        <v>980682.89108073351</v>
      </c>
      <c r="F53" s="32">
        <f t="shared" ref="F53:J53" si="23">E53</f>
        <v>980682.89108073351</v>
      </c>
      <c r="G53" s="32">
        <f t="shared" si="23"/>
        <v>980682.89108073351</v>
      </c>
      <c r="H53" s="32">
        <f t="shared" si="23"/>
        <v>980682.89108073351</v>
      </c>
      <c r="I53" s="32">
        <f t="shared" si="23"/>
        <v>980682.89108073351</v>
      </c>
      <c r="J53" s="32">
        <f t="shared" si="23"/>
        <v>980682.89108073351</v>
      </c>
    </row>
    <row r="54" spans="1:13" s="10" customFormat="1" ht="16.5" thickBot="1" x14ac:dyDescent="0.3"/>
    <row r="55" spans="1:13" s="10" customFormat="1" x14ac:dyDescent="0.25">
      <c r="B55" s="44" t="s">
        <v>22</v>
      </c>
      <c r="C55" s="57"/>
      <c r="D55" s="33"/>
      <c r="E55" s="33"/>
      <c r="F55" s="33"/>
      <c r="G55" s="33"/>
      <c r="H55" s="33"/>
      <c r="I55" s="33"/>
      <c r="J55" s="34"/>
    </row>
    <row r="56" spans="1:13" s="10" customFormat="1" x14ac:dyDescent="0.25">
      <c r="B56" s="7" t="s">
        <v>27</v>
      </c>
      <c r="D56" s="28">
        <f>D20-D62-D57</f>
        <v>6537885.9405382238</v>
      </c>
      <c r="E56" s="28"/>
      <c r="F56" s="28">
        <f>F51*SUM(F14:F15)/F16</f>
        <v>6163169.9722656496</v>
      </c>
      <c r="G56" s="28">
        <f t="shared" ref="G56:J56" si="24">G51*SUM(G14:G15)/G16</f>
        <v>5854686.1351706674</v>
      </c>
      <c r="H56" s="28">
        <f t="shared" si="24"/>
        <v>5322121.0613149777</v>
      </c>
      <c r="I56" s="28">
        <f t="shared" si="24"/>
        <v>4721358.2421111772</v>
      </c>
      <c r="J56" s="35">
        <f t="shared" si="24"/>
        <v>4039878.8738056361</v>
      </c>
    </row>
    <row r="57" spans="1:13" s="10" customFormat="1" x14ac:dyDescent="0.25">
      <c r="B57" s="7" t="s">
        <v>36</v>
      </c>
      <c r="D57" s="36">
        <f>D36-D44</f>
        <v>9447006.0594617762</v>
      </c>
      <c r="E57" s="36">
        <f>E36-E44</f>
        <v>9447006.0594617762</v>
      </c>
      <c r="F57" s="36">
        <f>F36-F44</f>
        <v>9459520.5724662598</v>
      </c>
      <c r="G57" s="36">
        <f t="shared" ref="G57:J57" si="25">G36-G44</f>
        <v>8982157.469008131</v>
      </c>
      <c r="H57" s="36">
        <f t="shared" si="25"/>
        <v>8161103.8860613657</v>
      </c>
      <c r="I57" s="36">
        <f t="shared" si="25"/>
        <v>7236226.5880769882</v>
      </c>
      <c r="J57" s="37">
        <f t="shared" si="25"/>
        <v>6190314.2317654314</v>
      </c>
    </row>
    <row r="58" spans="1:13" x14ac:dyDescent="0.25">
      <c r="B58" s="9" t="s">
        <v>33</v>
      </c>
      <c r="C58" s="70">
        <v>0.31900000000000001</v>
      </c>
      <c r="D58" s="38">
        <f t="shared" ref="D58:J58" si="26">SUM(D56:D57)*$C58</f>
        <v>5099180.5480000004</v>
      </c>
      <c r="E58" s="38">
        <f t="shared" si="26"/>
        <v>3013594.9329683068</v>
      </c>
      <c r="F58" s="38">
        <f t="shared" si="26"/>
        <v>4983638.283769479</v>
      </c>
      <c r="G58" s="38">
        <f t="shared" si="26"/>
        <v>4732953.1097330367</v>
      </c>
      <c r="H58" s="38">
        <f t="shared" si="26"/>
        <v>4301148.7582130544</v>
      </c>
      <c r="I58" s="38">
        <f t="shared" si="26"/>
        <v>3814469.560830025</v>
      </c>
      <c r="J58" s="47">
        <f t="shared" si="26"/>
        <v>3263431.6006771703</v>
      </c>
    </row>
    <row r="59" spans="1:13" x14ac:dyDescent="0.25">
      <c r="B59" s="6" t="s">
        <v>0</v>
      </c>
      <c r="C59" s="2"/>
      <c r="D59" s="48">
        <f>SUM(D56:D58)</f>
        <v>21084072.548</v>
      </c>
      <c r="E59" s="48">
        <f t="shared" ref="E59:J59" si="27">SUM(E56:E58)</f>
        <v>12460600.992430083</v>
      </c>
      <c r="F59" s="48">
        <f t="shared" si="27"/>
        <v>20606328.828501388</v>
      </c>
      <c r="G59" s="48">
        <f t="shared" si="27"/>
        <v>19569796.713911835</v>
      </c>
      <c r="H59" s="48">
        <f t="shared" si="27"/>
        <v>17784373.705589399</v>
      </c>
      <c r="I59" s="48">
        <f t="shared" si="27"/>
        <v>15772054.391018191</v>
      </c>
      <c r="J59" s="49">
        <f t="shared" si="27"/>
        <v>13493624.706248237</v>
      </c>
      <c r="M59" s="71"/>
    </row>
    <row r="60" spans="1:13" s="10" customFormat="1" x14ac:dyDescent="0.25">
      <c r="B60" s="7"/>
      <c r="J60" s="50"/>
    </row>
    <row r="61" spans="1:13" x14ac:dyDescent="0.25">
      <c r="B61" s="6" t="s">
        <v>3</v>
      </c>
      <c r="C61" s="2"/>
      <c r="D61" s="39"/>
      <c r="E61" s="39"/>
      <c r="F61" s="39"/>
      <c r="G61" s="39"/>
      <c r="H61" s="39"/>
      <c r="I61" s="39"/>
      <c r="J61" s="40"/>
    </row>
    <row r="62" spans="1:13" x14ac:dyDescent="0.25">
      <c r="B62" s="7" t="s">
        <v>27</v>
      </c>
      <c r="C62" s="10"/>
      <c r="D62" s="28"/>
      <c r="E62" s="28"/>
      <c r="F62" s="28">
        <f t="shared" ref="F62:J62" si="28">F51*F17</f>
        <v>384801.60616117989</v>
      </c>
      <c r="G62" s="28">
        <f t="shared" si="28"/>
        <v>713324.05483292777</v>
      </c>
      <c r="H62" s="28">
        <f t="shared" si="28"/>
        <v>1268664.7668168198</v>
      </c>
      <c r="I62" s="28">
        <f t="shared" si="28"/>
        <v>1893765.4622471703</v>
      </c>
      <c r="J62" s="35">
        <f t="shared" si="28"/>
        <v>2586271.8183053308</v>
      </c>
    </row>
    <row r="63" spans="1:13" x14ac:dyDescent="0.25">
      <c r="B63" s="7" t="s">
        <v>34</v>
      </c>
      <c r="C63" s="10"/>
      <c r="D63" s="41"/>
      <c r="E63" s="41"/>
      <c r="F63" s="41">
        <f t="shared" ref="F63:J63" si="29">F49</f>
        <v>27378.41974753065</v>
      </c>
      <c r="G63" s="41">
        <f t="shared" si="29"/>
        <v>101372.28482961757</v>
      </c>
      <c r="H63" s="41">
        <f t="shared" si="29"/>
        <v>270111.27712780447</v>
      </c>
      <c r="I63" s="41">
        <f t="shared" si="29"/>
        <v>537434.34935139283</v>
      </c>
      <c r="J63" s="42">
        <f t="shared" si="29"/>
        <v>917229.05711880827</v>
      </c>
    </row>
    <row r="64" spans="1:13" s="10" customFormat="1" x14ac:dyDescent="0.25">
      <c r="B64" s="7" t="s">
        <v>35</v>
      </c>
      <c r="C64" s="46">
        <f>C58</f>
        <v>0.31900000000000001</v>
      </c>
      <c r="D64" s="38"/>
      <c r="E64" s="38"/>
      <c r="F64" s="38">
        <f t="shared" ref="F64:J64" si="30">SUM(F62:F63)*$C64</f>
        <v>131485.42826487866</v>
      </c>
      <c r="G64" s="38">
        <f t="shared" si="30"/>
        <v>259888.13235235197</v>
      </c>
      <c r="H64" s="38">
        <f t="shared" si="30"/>
        <v>490869.55801833514</v>
      </c>
      <c r="I64" s="38">
        <f t="shared" si="30"/>
        <v>775552.7398999416</v>
      </c>
      <c r="J64" s="47">
        <f t="shared" si="30"/>
        <v>1117616.7792603003</v>
      </c>
    </row>
    <row r="65" spans="2:13" s="10" customFormat="1" x14ac:dyDescent="0.25">
      <c r="B65" s="6" t="s">
        <v>2</v>
      </c>
      <c r="C65" s="2"/>
      <c r="D65" s="48"/>
      <c r="E65" s="48"/>
      <c r="F65" s="48">
        <f t="shared" ref="F65" si="31">SUM(F62:F64)</f>
        <v>543665.45417358924</v>
      </c>
      <c r="G65" s="48">
        <f t="shared" ref="G65" si="32">SUM(G62:G64)</f>
        <v>1074584.4720148973</v>
      </c>
      <c r="H65" s="48">
        <f t="shared" ref="H65" si="33">SUM(H62:H64)</f>
        <v>2029645.6019629594</v>
      </c>
      <c r="I65" s="48">
        <f t="shared" ref="I65" si="34">SUM(I62:I64)</f>
        <v>3206752.5514985048</v>
      </c>
      <c r="J65" s="49">
        <f t="shared" ref="J65" si="35">SUM(J62:J64)</f>
        <v>4621117.6546844393</v>
      </c>
      <c r="M65" s="36"/>
    </row>
    <row r="66" spans="2:13" s="39" customFormat="1" x14ac:dyDescent="0.25">
      <c r="B66" s="6"/>
      <c r="C66" s="2"/>
      <c r="D66" s="8"/>
      <c r="E66" s="8"/>
      <c r="F66" s="8"/>
      <c r="G66" s="8"/>
      <c r="H66" s="8"/>
      <c r="I66" s="8"/>
      <c r="J66" s="51"/>
    </row>
    <row r="67" spans="2:13" x14ac:dyDescent="0.25">
      <c r="B67" s="7" t="s">
        <v>23</v>
      </c>
      <c r="C67" s="10"/>
      <c r="D67" s="29"/>
      <c r="E67" s="29"/>
      <c r="F67" s="29">
        <f t="shared" ref="F67:J67" si="36">F59/SUM(F14:F15)</f>
        <v>65.067001043598509</v>
      </c>
      <c r="G67" s="29">
        <f t="shared" si="36"/>
        <v>64.212743306848992</v>
      </c>
      <c r="H67" s="29">
        <f t="shared" si="36"/>
        <v>63.38477608932061</v>
      </c>
      <c r="I67" s="29">
        <f t="shared" si="36"/>
        <v>62.571874456061344</v>
      </c>
      <c r="J67" s="43">
        <f t="shared" si="36"/>
        <v>61.647096449040532</v>
      </c>
    </row>
    <row r="68" spans="2:13" ht="16.5" thickBot="1" x14ac:dyDescent="0.3">
      <c r="B68" s="52" t="s">
        <v>24</v>
      </c>
      <c r="C68" s="58"/>
      <c r="D68" s="69"/>
      <c r="E68" s="69"/>
      <c r="F68" s="53">
        <f t="shared" ref="F68:J68" si="37">F65/SUM(F12:F13)</f>
        <v>27.495344872987875</v>
      </c>
      <c r="G68" s="53">
        <f t="shared" si="37"/>
        <v>28.939579662148478</v>
      </c>
      <c r="H68" s="53">
        <f t="shared" si="37"/>
        <v>30.346210576124864</v>
      </c>
      <c r="I68" s="53">
        <f t="shared" si="37"/>
        <v>31.717365796590688</v>
      </c>
      <c r="J68" s="54">
        <f t="shared" si="37"/>
        <v>32.978067429435008</v>
      </c>
    </row>
    <row r="70" spans="2:13" x14ac:dyDescent="0.25">
      <c r="B70" s="1" t="s">
        <v>40</v>
      </c>
      <c r="D70" s="61"/>
      <c r="E70" s="61"/>
      <c r="F70" s="61">
        <f t="shared" ref="F70:J70" si="38">SUM(F59,F65)</f>
        <v>21149994.282674979</v>
      </c>
      <c r="G70" s="61">
        <f t="shared" si="38"/>
        <v>20644381.185926732</v>
      </c>
      <c r="H70" s="61">
        <f t="shared" si="38"/>
        <v>19814019.30755236</v>
      </c>
      <c r="I70" s="61">
        <f t="shared" si="38"/>
        <v>18978806.942516696</v>
      </c>
      <c r="J70" s="61">
        <f t="shared" si="38"/>
        <v>18114742.360932678</v>
      </c>
    </row>
    <row r="71" spans="2:13" x14ac:dyDescent="0.25">
      <c r="B71"/>
      <c r="C71"/>
      <c r="D71"/>
      <c r="E71"/>
      <c r="F71"/>
      <c r="G71"/>
      <c r="H71"/>
      <c r="I71"/>
      <c r="J71"/>
    </row>
    <row r="72" spans="2:13" x14ac:dyDescent="0.25">
      <c r="B72" s="62" t="s">
        <v>41</v>
      </c>
      <c r="C72" s="63">
        <f>(F70-J70)/F70</f>
        <v>0.14351076795461021</v>
      </c>
      <c r="E72"/>
      <c r="F72"/>
      <c r="G72"/>
      <c r="H72"/>
      <c r="I72"/>
      <c r="J72"/>
    </row>
    <row r="75" spans="2:13" x14ac:dyDescent="0.25">
      <c r="B75" s="12" t="s">
        <v>47</v>
      </c>
    </row>
    <row r="76" spans="2:13" x14ac:dyDescent="0.25">
      <c r="B76" s="45" t="s">
        <v>48</v>
      </c>
    </row>
    <row r="77" spans="2:13" x14ac:dyDescent="0.25">
      <c r="B77" s="12" t="s">
        <v>49</v>
      </c>
    </row>
  </sheetData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C9BADB7961D94AA479786BE745AB6B" ma:contentTypeVersion="5" ma:contentTypeDescription="Create a new document." ma:contentTypeScope="" ma:versionID="cd2ee2c1adfa42f862662ca3fdc1150d">
  <xsd:schema xmlns:xsd="http://www.w3.org/2001/XMLSchema" xmlns:xs="http://www.w3.org/2001/XMLSchema" xmlns:p="http://schemas.microsoft.com/office/2006/metadata/properties" xmlns:ns2="65930c9a-4307-4bf5-9068-61a0eebb0c4e" targetNamespace="http://schemas.microsoft.com/office/2006/metadata/properties" ma:root="true" ma:fieldsID="ebcd64067fedc2813dfb0fdf83e74e36" ns2:_="">
    <xsd:import namespace="65930c9a-4307-4bf5-9068-61a0eebb0c4e"/>
    <xsd:element name="properties">
      <xsd:complexType>
        <xsd:sequence>
          <xsd:element name="documentManagement">
            <xsd:complexType>
              <xsd:all>
                <xsd:element ref="ns2:Internal_x0020__x002f__x0020_Public" minOccurs="0"/>
                <xsd:element ref="ns2:Stage" minOccurs="0"/>
                <xsd:element ref="ns2:Document_x0020_Section" minOccurs="0"/>
                <xsd:element ref="ns2:Responsibil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30c9a-4307-4bf5-9068-61a0eebb0c4e" elementFormDefault="qualified">
    <xsd:import namespace="http://schemas.microsoft.com/office/2006/documentManagement/types"/>
    <xsd:import namespace="http://schemas.microsoft.com/office/infopath/2007/PartnerControls"/>
    <xsd:element name="Internal_x0020__x002f__x0020_Public" ma:index="8" nillable="true" ma:displayName="Internal / Public" ma:format="Dropdown" ma:internalName="Internal_x0020__x002f__x0020_Public">
      <xsd:simpleType>
        <xsd:restriction base="dms:Choice">
          <xsd:enumeration value="Internal"/>
          <xsd:enumeration value="Public"/>
        </xsd:restriction>
      </xsd:simpleType>
    </xsd:element>
    <xsd:element name="Stage" ma:index="9" nillable="true" ma:displayName="Document Type" ma:format="Dropdown" ma:internalName="Stage">
      <xsd:simpleType>
        <xsd:restriction base="dms:Choice">
          <xsd:enumeration value="Forecast"/>
          <xsd:enumeration value="Historical"/>
          <xsd:enumeration value="Regulatory documents"/>
          <xsd:enumeration value="Submitted justification documents"/>
          <xsd:enumeration value="Management"/>
          <xsd:enumeration value="Internal Comms"/>
          <xsd:enumeration value="Governance"/>
          <xsd:enumeration value="Decision Support"/>
          <xsd:enumeration value="Customer Communications"/>
          <xsd:enumeration value="AER communications"/>
          <xsd:enumeration value="Government Relations"/>
          <xsd:enumeration value="Preliminary Proposal"/>
        </xsd:restriction>
      </xsd:simpleType>
    </xsd:element>
    <xsd:element name="Document_x0020_Section" ma:index="10" nillable="true" ma:displayName="Audience" ma:format="Dropdown" ma:internalName="Document_x0020_Section">
      <xsd:simpleType>
        <xsd:restriction base="dms:Choice">
          <xsd:enumeration value="Project internal"/>
          <xsd:enumeration value="GM Governance Group"/>
          <xsd:enumeration value="RSSC"/>
          <xsd:enumeration value="DNSP Boards"/>
          <xsd:enumeration value="Board Regulatory Committee"/>
          <xsd:enumeration value="EQL Board"/>
          <xsd:enumeration value="Public"/>
        </xsd:restriction>
      </xsd:simpleType>
    </xsd:element>
    <xsd:element name="Responsibility" ma:index="11" nillable="true" ma:displayName="Responsibility" ma:format="Dropdown" ma:indexed="true" ma:internalName="Responsibility">
      <xsd:simpleType>
        <xsd:restriction base="dms:Choice">
          <xsd:enumeration value="Central"/>
          <xsd:enumeration value="Regulatory"/>
          <xsd:enumeration value="Customer"/>
          <xsd:enumeration value="Investment"/>
          <xsd:enumeration value="Fin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ection xmlns="65930c9a-4307-4bf5-9068-61a0eebb0c4e" xsi:nil="true"/>
    <Internal_x0020__x002f__x0020_Public xmlns="65930c9a-4307-4bf5-9068-61a0eebb0c4e" xsi:nil="true"/>
    <Stage xmlns="65930c9a-4307-4bf5-9068-61a0eebb0c4e" xsi:nil="true"/>
    <Responsibility xmlns="65930c9a-4307-4bf5-9068-61a0eebb0c4e" xsi:nil="true"/>
  </documentManagement>
</p:properties>
</file>

<file path=customXml/itemProps1.xml><?xml version="1.0" encoding="utf-8"?>
<ds:datastoreItem xmlns:ds="http://schemas.openxmlformats.org/officeDocument/2006/customXml" ds:itemID="{DA488E75-1655-4E7B-A98F-EFFAF62DE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930c9a-4307-4bf5-9068-61a0eebb0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5E6FA3-2186-4F55-A95F-B6397D5F29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2A88D5-CADA-4F5A-BD1F-6889D388FC4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5930c9a-4307-4bf5-9068-61a0eebb0c4e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Forecast_Opex Exp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EGX 11.009 Opex forecast - ACS public lighting DEC19 PUBLIC</dc:title>
  <dc:creator/>
  <dc:description>Energex 2020 - 2025</dc:description>
  <cp:lastModifiedBy/>
  <dcterms:created xsi:type="dcterms:W3CDTF">2019-11-28T05:10:26Z</dcterms:created>
  <dcterms:modified xsi:type="dcterms:W3CDTF">2019-12-12T02:58:25Z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0x0101001DC9BADB7961D94AA479786BE745AB6B</vt:lpwstr>
  </property>
  <property fmtid="{D5CDD505-2E9C-101B-9397-08002B2CF9AE}" pid="3" name="_MarkAsFinal">
    <vt:bool>true</vt:bool>
  </property>
</Properties>
</file>