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filterPrivacy="1" codeName="ThisWorkbook" defaultThemeVersion="124226"/>
  <xr:revisionPtr revIDLastSave="0" documentId="13_ncr:1_{21CDF836-38CD-4759-A747-6C8626A36497}" xr6:coauthVersionLast="41" xr6:coauthVersionMax="41" xr10:uidLastSave="{00000000-0000-0000-0000-000000000000}"/>
  <bookViews>
    <workbookView xWindow="-120" yWindow="-120" windowWidth="29040" windowHeight="17640" tabRatio="807" activeTab="7" xr2:uid="{00000000-000D-0000-FFFF-FFFF00000000}"/>
  </bookViews>
  <sheets>
    <sheet name="Index" sheetId="1" r:id="rId1"/>
    <sheet name="Input|General" sheetId="54" r:id="rId2"/>
    <sheet name="Input|Inflation" sheetId="55" r:id="rId3"/>
    <sheet name="Input|Reported opex" sheetId="58" r:id="rId4"/>
    <sheet name="Input|Rate of change" sheetId="2" r:id="rId5"/>
    <sheet name="Input|Step changes" sheetId="53" r:id="rId6"/>
    <sheet name="Calc|Opex forecast" sheetId="42" r:id="rId7"/>
    <sheet name="Output|Models" sheetId="44" r:id="rId8"/>
    <sheet name="Lookup|Tables" sheetId="4" r:id="rId9"/>
    <sheet name="Check|List" sheetId="16" r:id="rId10"/>
  </sheets>
  <definedNames>
    <definedName name="_xlnm._FilterDatabase" localSheetId="1" hidden="1">'Input|General'!$G$6:$G$14</definedName>
    <definedName name="_xlnm._FilterDatabase" localSheetId="3" hidden="1">'Input|Reported opex'!$C$37:$F$37</definedName>
    <definedName name="BaseYear">'Input|General'!$G$11</definedName>
    <definedName name="dollars">'Lookup|Tables'!$G$10</definedName>
    <definedName name="factor">'Lookup|Tables'!$G$17</definedName>
    <definedName name="FPFirstYear">'Input|General'!$G$13</definedName>
    <definedName name="FPLastYear">'Input|General'!$G$14</definedName>
    <definedName name="millions">'Lookup|Tables'!$G$12</definedName>
    <definedName name="Nominal_to_Real">'Input|Rate of change'!$C$25:$C$30</definedName>
    <definedName name="NSP">'Input|General'!$G$7</definedName>
    <definedName name="number">'Lookup|Tables'!$G$16</definedName>
    <definedName name="percent">'Lookup|Tables'!$G$14</definedName>
    <definedName name="PPFirstYear">'Input|General'!$G$10</definedName>
    <definedName name="PPLastYear">'Input|General'!$G$12</definedName>
    <definedName name="Real_to_Nominal">'Input|Rate of change'!$C$16:$C$21</definedName>
    <definedName name="thousands">'Lookup|Tables'!$G$11</definedName>
    <definedName name="unit">'Lookup|Tables'!$G$15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T38" i="2" l="1"/>
  <c r="S38" i="2"/>
  <c r="R38" i="2"/>
  <c r="Q38" i="2"/>
  <c r="P38" i="2"/>
  <c r="M41" i="58" l="1"/>
  <c r="M37" i="58" l="1"/>
  <c r="F62" i="55" l="1"/>
  <c r="G62" i="55" s="1"/>
  <c r="G58" i="55"/>
  <c r="F37" i="42" l="1"/>
  <c r="F40" i="42" l="1"/>
  <c r="G57" i="55" l="1"/>
  <c r="F60" i="55"/>
  <c r="G55" i="55"/>
  <c r="F64" i="55" l="1"/>
  <c r="F61" i="55"/>
  <c r="G61" i="55" s="1"/>
  <c r="G60" i="55"/>
  <c r="F59" i="55"/>
  <c r="G59" i="55" s="1"/>
  <c r="G56" i="55"/>
  <c r="Q104" i="2"/>
  <c r="R104" i="2" s="1"/>
  <c r="S104" i="2" s="1"/>
  <c r="T104" i="2" s="1"/>
  <c r="G64" i="55" l="1"/>
  <c r="F63" i="55"/>
  <c r="G63" i="55" s="1"/>
  <c r="G54" i="55" l="1"/>
  <c r="G53" i="55"/>
  <c r="G52" i="55"/>
  <c r="G51" i="55"/>
  <c r="G50" i="55"/>
  <c r="F47" i="58" l="1"/>
  <c r="F42" i="58"/>
  <c r="F43" i="58"/>
  <c r="F44" i="58"/>
  <c r="F45" i="58"/>
  <c r="F41" i="58"/>
  <c r="C78" i="4" l="1"/>
  <c r="K47" i="58" l="1"/>
  <c r="L47" i="58"/>
  <c r="M47" i="58"/>
  <c r="N47" i="58"/>
  <c r="O47" i="58"/>
  <c r="P47" i="58"/>
  <c r="Q47" i="58"/>
  <c r="R47" i="58"/>
  <c r="S47" i="58"/>
  <c r="J47" i="58"/>
  <c r="W56" i="58"/>
  <c r="W29" i="58"/>
  <c r="C95" i="2" l="1" a="1"/>
  <c r="C98" i="2" s="1"/>
  <c r="T91" i="2" a="1"/>
  <c r="T91" i="2" s="1"/>
  <c r="S91" i="2" a="1"/>
  <c r="S91" i="2" s="1"/>
  <c r="R91" i="2" a="1"/>
  <c r="R91" i="2" s="1"/>
  <c r="Q91" i="2" a="1"/>
  <c r="Q91" i="2" s="1"/>
  <c r="P91" i="2" a="1"/>
  <c r="P91" i="2" s="1"/>
  <c r="O91" i="2" a="1"/>
  <c r="O91" i="2" s="1"/>
  <c r="N91" i="2" a="1"/>
  <c r="N91" i="2" s="1"/>
  <c r="M91" i="2" a="1"/>
  <c r="M91" i="2" s="1"/>
  <c r="L91" i="2" a="1"/>
  <c r="L91" i="2" s="1"/>
  <c r="K91" i="2" a="1"/>
  <c r="K91" i="2" s="1"/>
  <c r="J91" i="2" a="1"/>
  <c r="J91" i="2" s="1"/>
  <c r="C89" i="2"/>
  <c r="C88" i="2"/>
  <c r="C87" i="2"/>
  <c r="C86" i="2"/>
  <c r="C85" i="2"/>
  <c r="C84" i="2"/>
  <c r="W91" i="2" l="1"/>
  <c r="C95" i="2"/>
  <c r="C96" i="2"/>
  <c r="C97" i="2"/>
  <c r="S1" i="58" l="1"/>
  <c r="F38" i="53"/>
  <c r="F19" i="42"/>
  <c r="F8" i="42" l="1"/>
  <c r="F8" i="44" l="1"/>
  <c r="F24" i="42" l="1"/>
  <c r="E24" i="42"/>
  <c r="F22" i="42"/>
  <c r="E22" i="42"/>
  <c r="F20" i="42"/>
  <c r="E20" i="42"/>
  <c r="K29" i="58"/>
  <c r="L29" i="58"/>
  <c r="M29" i="58"/>
  <c r="N29" i="58"/>
  <c r="O29" i="58"/>
  <c r="P29" i="58"/>
  <c r="Q29" i="58"/>
  <c r="R29" i="58"/>
  <c r="S29" i="58"/>
  <c r="J29" i="58"/>
  <c r="E19" i="58"/>
  <c r="E15" i="58"/>
  <c r="D15" i="58"/>
  <c r="F15" i="58"/>
  <c r="K15" i="58"/>
  <c r="L15" i="58"/>
  <c r="M15" i="58"/>
  <c r="N15" i="58"/>
  <c r="O15" i="58"/>
  <c r="P15" i="58"/>
  <c r="Q15" i="58"/>
  <c r="R15" i="58"/>
  <c r="S15" i="58"/>
  <c r="J15" i="58"/>
  <c r="E29" i="42" l="1"/>
  <c r="F28" i="42"/>
  <c r="F29" i="42"/>
  <c r="C29" i="42"/>
  <c r="E68" i="58"/>
  <c r="E28" i="42" s="1"/>
  <c r="F35" i="42" l="1"/>
  <c r="E35" i="42"/>
  <c r="K56" i="58"/>
  <c r="L56" i="58"/>
  <c r="M56" i="58"/>
  <c r="N56" i="58"/>
  <c r="O56" i="58"/>
  <c r="P56" i="58"/>
  <c r="Q56" i="58"/>
  <c r="R56" i="58"/>
  <c r="S56" i="58"/>
  <c r="J56" i="58"/>
  <c r="E47" i="58"/>
  <c r="G70" i="4"/>
  <c r="G65" i="4"/>
  <c r="G66" i="4" s="1"/>
  <c r="G67" i="4" s="1"/>
  <c r="G68" i="4" s="1"/>
  <c r="G69" i="4" s="1"/>
  <c r="I42" i="4"/>
  <c r="I43" i="4"/>
  <c r="I44" i="4"/>
  <c r="I45" i="4"/>
  <c r="I46" i="4"/>
  <c r="I47" i="4"/>
  <c r="I48" i="4"/>
  <c r="I49" i="4"/>
  <c r="I50" i="4"/>
  <c r="I51" i="4"/>
  <c r="I52" i="4"/>
  <c r="I53" i="4"/>
  <c r="I54" i="4"/>
  <c r="I55" i="4"/>
  <c r="I56" i="4"/>
  <c r="I57" i="4"/>
  <c r="I58" i="4"/>
  <c r="I59" i="4"/>
  <c r="I60" i="4"/>
  <c r="I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41" i="4"/>
  <c r="H69" i="4"/>
  <c r="H68" i="4"/>
  <c r="H67" i="4"/>
  <c r="H66" i="4"/>
  <c r="H74" i="4"/>
  <c r="H73" i="4"/>
  <c r="H72" i="4"/>
  <c r="H71" i="4"/>
  <c r="H70" i="4"/>
  <c r="H65" i="4"/>
  <c r="C40" i="4"/>
  <c r="G71" i="4" l="1"/>
  <c r="G72" i="4" s="1"/>
  <c r="G73" i="4" s="1"/>
  <c r="G74" i="4" s="1"/>
  <c r="F31" i="42" l="1"/>
  <c r="E31" i="42"/>
  <c r="F26" i="42"/>
  <c r="E26" i="42"/>
  <c r="S4" i="44"/>
  <c r="R4" i="44"/>
  <c r="Q4" i="44"/>
  <c r="P4" i="44"/>
  <c r="O4" i="44"/>
  <c r="N4" i="44"/>
  <c r="M4" i="44"/>
  <c r="L4" i="44"/>
  <c r="K4" i="44"/>
  <c r="J4" i="44"/>
  <c r="S4" i="42"/>
  <c r="S35" i="42" s="1"/>
  <c r="R4" i="42"/>
  <c r="R35" i="42" s="1"/>
  <c r="Q4" i="42"/>
  <c r="Q35" i="42" s="1"/>
  <c r="P4" i="42"/>
  <c r="P35" i="42" s="1"/>
  <c r="O4" i="42"/>
  <c r="O35" i="42" s="1"/>
  <c r="N4" i="42"/>
  <c r="M4" i="42"/>
  <c r="L4" i="42"/>
  <c r="K4" i="42"/>
  <c r="K35" i="42" s="1"/>
  <c r="J4" i="42"/>
  <c r="J35" i="42" s="1"/>
  <c r="S4" i="53"/>
  <c r="S10" i="53" s="1"/>
  <c r="R4" i="53"/>
  <c r="Q4" i="53"/>
  <c r="P4" i="53"/>
  <c r="P36" i="53" s="1"/>
  <c r="O4" i="53"/>
  <c r="N4" i="53"/>
  <c r="N36" i="53" s="1"/>
  <c r="M4" i="53"/>
  <c r="L4" i="53"/>
  <c r="L36" i="53" s="1"/>
  <c r="K4" i="53"/>
  <c r="J4" i="53"/>
  <c r="J4" i="2"/>
  <c r="J93" i="2" s="1"/>
  <c r="T4" i="2"/>
  <c r="T93" i="2" s="1"/>
  <c r="S4" i="2"/>
  <c r="S93" i="2" s="1"/>
  <c r="R4" i="2"/>
  <c r="R93" i="2" s="1"/>
  <c r="Q4" i="2"/>
  <c r="Q93" i="2" s="1"/>
  <c r="P4" i="2"/>
  <c r="P93" i="2" s="1"/>
  <c r="O4" i="2"/>
  <c r="O93" i="2" s="1"/>
  <c r="N4" i="2"/>
  <c r="N93" i="2" s="1"/>
  <c r="M4" i="2"/>
  <c r="M93" i="2" s="1"/>
  <c r="L4" i="2"/>
  <c r="L93" i="2" s="1"/>
  <c r="K4" i="2"/>
  <c r="K93" i="2" s="1"/>
  <c r="S4" i="58"/>
  <c r="S60" i="58" s="1"/>
  <c r="R4" i="58"/>
  <c r="R60" i="58" s="1"/>
  <c r="Q4" i="58"/>
  <c r="Q60" i="58" s="1"/>
  <c r="P4" i="58"/>
  <c r="P60" i="58" s="1"/>
  <c r="O4" i="58"/>
  <c r="O60" i="58" s="1"/>
  <c r="N4" i="58"/>
  <c r="N60" i="58" s="1"/>
  <c r="M4" i="58"/>
  <c r="M60" i="58" s="1"/>
  <c r="L4" i="58"/>
  <c r="L60" i="58" s="1"/>
  <c r="K4" i="58"/>
  <c r="K60" i="58" s="1"/>
  <c r="J4" i="58"/>
  <c r="J60" i="58" s="1"/>
  <c r="J76" i="2"/>
  <c r="K76" i="2"/>
  <c r="L76" i="2"/>
  <c r="M76" i="2"/>
  <c r="N76" i="2"/>
  <c r="O76" i="2"/>
  <c r="P76" i="2"/>
  <c r="Q76" i="2"/>
  <c r="R76" i="2"/>
  <c r="S76" i="2"/>
  <c r="T76" i="2"/>
  <c r="J77" i="2"/>
  <c r="K77" i="2"/>
  <c r="L77" i="2"/>
  <c r="M77" i="2"/>
  <c r="N77" i="2"/>
  <c r="O77" i="2"/>
  <c r="P77" i="2"/>
  <c r="Q77" i="2"/>
  <c r="R77" i="2"/>
  <c r="S77" i="2"/>
  <c r="T77" i="2"/>
  <c r="J78" i="2"/>
  <c r="K78" i="2"/>
  <c r="L78" i="2"/>
  <c r="M78" i="2"/>
  <c r="N78" i="2"/>
  <c r="O78" i="2"/>
  <c r="P78" i="2"/>
  <c r="Q78" i="2"/>
  <c r="R78" i="2"/>
  <c r="S78" i="2"/>
  <c r="T78" i="2"/>
  <c r="J79" i="2"/>
  <c r="K79" i="2"/>
  <c r="L79" i="2"/>
  <c r="M79" i="2"/>
  <c r="N79" i="2"/>
  <c r="O79" i="2"/>
  <c r="P79" i="2"/>
  <c r="Q79" i="2"/>
  <c r="R79" i="2"/>
  <c r="S79" i="2"/>
  <c r="T79" i="2"/>
  <c r="J80" i="2"/>
  <c r="K80" i="2"/>
  <c r="L80" i="2"/>
  <c r="M80" i="2"/>
  <c r="N80" i="2"/>
  <c r="O80" i="2"/>
  <c r="P80" i="2"/>
  <c r="Q80" i="2"/>
  <c r="R80" i="2"/>
  <c r="S80" i="2"/>
  <c r="T80" i="2"/>
  <c r="J75" i="2"/>
  <c r="K75" i="2"/>
  <c r="L75" i="2"/>
  <c r="M75" i="2"/>
  <c r="O75" i="2"/>
  <c r="P75" i="2"/>
  <c r="Q75" i="2"/>
  <c r="R75" i="2"/>
  <c r="S75" i="2"/>
  <c r="T75" i="2"/>
  <c r="N75" i="2"/>
  <c r="N34" i="58" l="1"/>
  <c r="R34" i="58"/>
  <c r="R96" i="2"/>
  <c r="R95" i="2"/>
  <c r="R98" i="2"/>
  <c r="R97" i="2"/>
  <c r="K97" i="2"/>
  <c r="K96" i="2"/>
  <c r="K95" i="2"/>
  <c r="K98" i="2"/>
  <c r="O97" i="2"/>
  <c r="O96" i="2"/>
  <c r="O95" i="2"/>
  <c r="O98" i="2"/>
  <c r="S97" i="2"/>
  <c r="S96" i="2"/>
  <c r="S95" i="2"/>
  <c r="S98" i="2"/>
  <c r="L98" i="2"/>
  <c r="L97" i="2"/>
  <c r="L96" i="2"/>
  <c r="L95" i="2"/>
  <c r="P98" i="2"/>
  <c r="P97" i="2"/>
  <c r="P96" i="2"/>
  <c r="P95" i="2"/>
  <c r="T98" i="2"/>
  <c r="T97" i="2"/>
  <c r="T95" i="2"/>
  <c r="T96" i="2"/>
  <c r="N96" i="2"/>
  <c r="N97" i="2"/>
  <c r="N98" i="2"/>
  <c r="N95" i="2"/>
  <c r="M95" i="2"/>
  <c r="M98" i="2"/>
  <c r="M97" i="2"/>
  <c r="M96" i="2"/>
  <c r="Q95" i="2"/>
  <c r="Q98" i="2"/>
  <c r="Q97" i="2"/>
  <c r="Q96" i="2"/>
  <c r="J96" i="2"/>
  <c r="J97" i="2"/>
  <c r="J95" i="2"/>
  <c r="J98" i="2"/>
  <c r="J23" i="42"/>
  <c r="J21" i="42"/>
  <c r="J19" i="42"/>
  <c r="L23" i="42"/>
  <c r="L21" i="42"/>
  <c r="L19" i="42"/>
  <c r="N23" i="42"/>
  <c r="N21" i="42"/>
  <c r="N19" i="42"/>
  <c r="P23" i="42"/>
  <c r="P21" i="42"/>
  <c r="P19" i="42"/>
  <c r="R23" i="42"/>
  <c r="R21" i="42"/>
  <c r="R19" i="42"/>
  <c r="K23" i="42"/>
  <c r="K21" i="42"/>
  <c r="K19" i="42"/>
  <c r="M23" i="42"/>
  <c r="M21" i="42"/>
  <c r="M19" i="42"/>
  <c r="O23" i="42"/>
  <c r="O21" i="42"/>
  <c r="O19" i="42"/>
  <c r="Q23" i="42"/>
  <c r="Q21" i="42"/>
  <c r="Q19" i="42"/>
  <c r="S23" i="42"/>
  <c r="S21" i="42"/>
  <c r="S19" i="42"/>
  <c r="J33" i="42"/>
  <c r="P33" i="42"/>
  <c r="R33" i="42"/>
  <c r="K33" i="42"/>
  <c r="Q33" i="42"/>
  <c r="S33" i="42"/>
  <c r="L12" i="42"/>
  <c r="J12" i="42"/>
  <c r="K12" i="42"/>
  <c r="M12" i="42"/>
  <c r="O49" i="42"/>
  <c r="O12" i="42"/>
  <c r="Q49" i="42"/>
  <c r="Q12" i="42"/>
  <c r="S12" i="42"/>
  <c r="N49" i="42"/>
  <c r="N12" i="42"/>
  <c r="P49" i="42"/>
  <c r="P12" i="42"/>
  <c r="R49" i="42"/>
  <c r="R12" i="42"/>
  <c r="J10" i="58"/>
  <c r="N10" i="58"/>
  <c r="R10" i="58"/>
  <c r="L34" i="58"/>
  <c r="P34" i="58"/>
  <c r="S10" i="2"/>
  <c r="O10" i="2"/>
  <c r="K10" i="2"/>
  <c r="M14" i="2"/>
  <c r="Q14" i="2"/>
  <c r="J23" i="2"/>
  <c r="K73" i="2"/>
  <c r="O73" i="2"/>
  <c r="S73" i="2"/>
  <c r="J62" i="2"/>
  <c r="Q62" i="2"/>
  <c r="M62" i="2"/>
  <c r="L10" i="58"/>
  <c r="P10" i="58"/>
  <c r="J34" i="58"/>
  <c r="J10" i="2"/>
  <c r="Q10" i="2"/>
  <c r="M10" i="2"/>
  <c r="K14" i="2"/>
  <c r="O14" i="2"/>
  <c r="S14" i="2"/>
  <c r="J47" i="2"/>
  <c r="M73" i="2"/>
  <c r="Q73" i="2"/>
  <c r="J102" i="2"/>
  <c r="S62" i="2"/>
  <c r="O62" i="2"/>
  <c r="K62" i="2"/>
  <c r="M34" i="58"/>
  <c r="M10" i="58"/>
  <c r="O34" i="58"/>
  <c r="O10" i="58"/>
  <c r="S34" i="58"/>
  <c r="S10" i="58"/>
  <c r="L62" i="2"/>
  <c r="L73" i="2"/>
  <c r="L14" i="2"/>
  <c r="L10" i="2"/>
  <c r="P62" i="2"/>
  <c r="P73" i="2"/>
  <c r="P14" i="2"/>
  <c r="P10" i="2"/>
  <c r="R62" i="2"/>
  <c r="R73" i="2"/>
  <c r="R14" i="2"/>
  <c r="R10" i="2"/>
  <c r="T62" i="2"/>
  <c r="T73" i="2"/>
  <c r="T14" i="2"/>
  <c r="T10" i="2"/>
  <c r="J26" i="53"/>
  <c r="J10" i="53"/>
  <c r="R26" i="53"/>
  <c r="R10" i="53"/>
  <c r="L49" i="42"/>
  <c r="L23" i="2"/>
  <c r="P23" i="2"/>
  <c r="T23" i="2"/>
  <c r="R34" i="2"/>
  <c r="N34" i="2"/>
  <c r="N47" i="2"/>
  <c r="R47" i="2"/>
  <c r="L102" i="2"/>
  <c r="P102" i="2"/>
  <c r="T102" i="2"/>
  <c r="L10" i="53"/>
  <c r="P26" i="53"/>
  <c r="K34" i="58"/>
  <c r="K10" i="58"/>
  <c r="Q34" i="58"/>
  <c r="Q10" i="58"/>
  <c r="N62" i="2"/>
  <c r="N73" i="2"/>
  <c r="N14" i="2"/>
  <c r="N10" i="2"/>
  <c r="N26" i="53"/>
  <c r="N10" i="53"/>
  <c r="J49" i="42"/>
  <c r="N23" i="2"/>
  <c r="R23" i="2"/>
  <c r="T34" i="2"/>
  <c r="P34" i="2"/>
  <c r="L34" i="2"/>
  <c r="L47" i="2"/>
  <c r="P47" i="2"/>
  <c r="T47" i="2"/>
  <c r="N102" i="2"/>
  <c r="R102" i="2"/>
  <c r="P10" i="53"/>
  <c r="L26" i="53"/>
  <c r="J36" i="53"/>
  <c r="R36" i="53"/>
  <c r="K36" i="53"/>
  <c r="K26" i="53"/>
  <c r="K10" i="53"/>
  <c r="M36" i="53"/>
  <c r="M26" i="53"/>
  <c r="M10" i="53"/>
  <c r="O36" i="53"/>
  <c r="O26" i="53"/>
  <c r="O10" i="53"/>
  <c r="Q36" i="53"/>
  <c r="Q26" i="53"/>
  <c r="Q10" i="53"/>
  <c r="S36" i="53"/>
  <c r="S26" i="53"/>
  <c r="K49" i="42"/>
  <c r="M49" i="42"/>
  <c r="S49" i="42"/>
  <c r="J14" i="2"/>
  <c r="K23" i="2"/>
  <c r="M23" i="2"/>
  <c r="O23" i="2"/>
  <c r="Q23" i="2"/>
  <c r="S23" i="2"/>
  <c r="J34" i="2"/>
  <c r="S34" i="2"/>
  <c r="Q34" i="2"/>
  <c r="O34" i="2"/>
  <c r="M34" i="2"/>
  <c r="K34" i="2"/>
  <c r="K47" i="2"/>
  <c r="M47" i="2"/>
  <c r="O47" i="2"/>
  <c r="Q47" i="2"/>
  <c r="S47" i="2"/>
  <c r="J73" i="2"/>
  <c r="K102" i="2"/>
  <c r="M102" i="2"/>
  <c r="O102" i="2"/>
  <c r="Q102" i="2"/>
  <c r="S102" i="2"/>
  <c r="J31" i="42"/>
  <c r="R31" i="42"/>
  <c r="P31" i="42"/>
  <c r="S31" i="42"/>
  <c r="Q31" i="42"/>
  <c r="K31" i="42"/>
  <c r="J10" i="42"/>
  <c r="R10" i="42"/>
  <c r="P10" i="42"/>
  <c r="N10" i="42"/>
  <c r="L10" i="42"/>
  <c r="J16" i="42"/>
  <c r="R16" i="42"/>
  <c r="P16" i="42"/>
  <c r="N16" i="42"/>
  <c r="L16" i="42"/>
  <c r="J37" i="42"/>
  <c r="L37" i="42"/>
  <c r="N37" i="42"/>
  <c r="P37" i="42"/>
  <c r="R37" i="42"/>
  <c r="J40" i="42"/>
  <c r="L40" i="42"/>
  <c r="N40" i="42"/>
  <c r="P40" i="42"/>
  <c r="R40" i="42"/>
  <c r="J43" i="42"/>
  <c r="L43" i="42"/>
  <c r="N43" i="42"/>
  <c r="P43" i="42"/>
  <c r="R43" i="42"/>
  <c r="J46" i="42"/>
  <c r="L46" i="42"/>
  <c r="N46" i="42"/>
  <c r="P46" i="42"/>
  <c r="R46" i="42"/>
  <c r="S10" i="42"/>
  <c r="Q10" i="42"/>
  <c r="O10" i="42"/>
  <c r="M10" i="42"/>
  <c r="K10" i="42"/>
  <c r="S16" i="42"/>
  <c r="Q16" i="42"/>
  <c r="O16" i="42"/>
  <c r="K16" i="42"/>
  <c r="K37" i="42"/>
  <c r="M37" i="42"/>
  <c r="O37" i="42"/>
  <c r="Q37" i="42"/>
  <c r="S37" i="42"/>
  <c r="K40" i="42"/>
  <c r="M40" i="42"/>
  <c r="O40" i="42"/>
  <c r="Q40" i="42"/>
  <c r="S40" i="42"/>
  <c r="K43" i="42"/>
  <c r="M43" i="42"/>
  <c r="O43" i="42"/>
  <c r="Q43" i="42"/>
  <c r="S43" i="42"/>
  <c r="K46" i="42"/>
  <c r="M46" i="42"/>
  <c r="O46" i="42"/>
  <c r="Q46" i="42"/>
  <c r="S46" i="42"/>
  <c r="S8" i="54"/>
  <c r="J14" i="42"/>
  <c r="F49" i="42"/>
  <c r="C49" i="42"/>
  <c r="F46" i="42"/>
  <c r="C46" i="42"/>
  <c r="F43" i="42"/>
  <c r="C43" i="42"/>
  <c r="C40" i="42"/>
  <c r="C37" i="42"/>
  <c r="F16" i="42"/>
  <c r="E16" i="42"/>
  <c r="F14" i="42"/>
  <c r="E14" i="42"/>
  <c r="F12" i="42"/>
  <c r="E12" i="42"/>
  <c r="U73" i="2"/>
  <c r="Q28" i="42" l="1"/>
  <c r="M28" i="42"/>
  <c r="S28" i="42"/>
  <c r="R28" i="42"/>
  <c r="P28" i="42"/>
  <c r="J28" i="42"/>
  <c r="O28" i="42"/>
  <c r="N28" i="42"/>
  <c r="K28" i="42"/>
  <c r="L28" i="42"/>
  <c r="E66" i="58"/>
  <c r="E49" i="42" s="1"/>
  <c r="E65" i="58"/>
  <c r="E46" i="42" s="1"/>
  <c r="E64" i="58"/>
  <c r="E43" i="42" s="1"/>
  <c r="E63" i="58"/>
  <c r="E62" i="58"/>
  <c r="E37" i="42" s="1"/>
  <c r="F54" i="58"/>
  <c r="E54" i="58"/>
  <c r="F53" i="58"/>
  <c r="E53" i="58"/>
  <c r="F52" i="58"/>
  <c r="E52" i="58"/>
  <c r="F51" i="58"/>
  <c r="E51" i="58"/>
  <c r="E45" i="58"/>
  <c r="E44" i="58"/>
  <c r="E43" i="58"/>
  <c r="E42" i="58"/>
  <c r="E41" i="58"/>
  <c r="E37" i="58"/>
  <c r="F27" i="58"/>
  <c r="F29" i="58" s="1"/>
  <c r="E27" i="58"/>
  <c r="F26" i="58"/>
  <c r="E26" i="58"/>
  <c r="F25" i="58"/>
  <c r="E25" i="58"/>
  <c r="F24" i="58"/>
  <c r="E24" i="58"/>
  <c r="F23" i="58"/>
  <c r="E23" i="58"/>
  <c r="F22" i="58"/>
  <c r="E22" i="58"/>
  <c r="F21" i="58"/>
  <c r="E21" i="58"/>
  <c r="F20" i="58"/>
  <c r="E20" i="58"/>
  <c r="F19" i="58"/>
  <c r="C2" i="58"/>
  <c r="G12" i="16"/>
  <c r="C1" i="58"/>
  <c r="F23" i="42" l="1"/>
  <c r="F21" i="42"/>
  <c r="E21" i="42"/>
  <c r="E23" i="42"/>
  <c r="E40" i="42"/>
  <c r="E19" i="42"/>
  <c r="F16" i="44"/>
  <c r="F15" i="44"/>
  <c r="F14" i="44"/>
  <c r="E16" i="44" l="1"/>
  <c r="E15" i="44"/>
  <c r="E14" i="44"/>
  <c r="C15" i="44"/>
  <c r="C16" i="44"/>
  <c r="C13" i="44"/>
  <c r="C14" i="44"/>
  <c r="S11" i="44"/>
  <c r="R11" i="44"/>
  <c r="Q11" i="44"/>
  <c r="P11" i="44"/>
  <c r="O11" i="44"/>
  <c r="N11" i="44"/>
  <c r="M11" i="44"/>
  <c r="L11" i="44"/>
  <c r="K11" i="44"/>
  <c r="J11" i="44"/>
  <c r="F100" i="42"/>
  <c r="E100" i="42"/>
  <c r="K15" i="44" l="1"/>
  <c r="K16" i="44"/>
  <c r="K14" i="44"/>
  <c r="J15" i="44"/>
  <c r="J16" i="44"/>
  <c r="J14" i="44"/>
  <c r="L15" i="44"/>
  <c r="L16" i="44"/>
  <c r="L14" i="44"/>
  <c r="F102" i="42"/>
  <c r="F101" i="42"/>
  <c r="F94" i="42"/>
  <c r="F92" i="42"/>
  <c r="F91" i="42"/>
  <c r="F90" i="42"/>
  <c r="F84" i="42"/>
  <c r="F82" i="42"/>
  <c r="F81" i="42"/>
  <c r="F80" i="42"/>
  <c r="F79" i="42"/>
  <c r="F78" i="42"/>
  <c r="F77" i="42"/>
  <c r="F76" i="42"/>
  <c r="F75" i="42"/>
  <c r="F74" i="42"/>
  <c r="R22" i="53"/>
  <c r="P22" i="53"/>
  <c r="N22" i="53"/>
  <c r="M40" i="53"/>
  <c r="L22" i="53"/>
  <c r="K40" i="53"/>
  <c r="J22" i="53"/>
  <c r="G26" i="55"/>
  <c r="G27" i="55"/>
  <c r="G28" i="55"/>
  <c r="G29" i="55"/>
  <c r="G30" i="55"/>
  <c r="G31" i="55"/>
  <c r="G32" i="55"/>
  <c r="G33" i="55"/>
  <c r="G34" i="55"/>
  <c r="G35" i="55"/>
  <c r="G36" i="55"/>
  <c r="G37" i="55"/>
  <c r="G38" i="55"/>
  <c r="G39" i="55"/>
  <c r="G40" i="55"/>
  <c r="G41" i="55"/>
  <c r="G42" i="55"/>
  <c r="G43" i="55"/>
  <c r="G44" i="55"/>
  <c r="G45" i="55"/>
  <c r="G46" i="55"/>
  <c r="G47" i="55"/>
  <c r="G48" i="55"/>
  <c r="G49" i="55"/>
  <c r="G25" i="55"/>
  <c r="E14" i="55"/>
  <c r="E15" i="55"/>
  <c r="E16" i="55"/>
  <c r="E17" i="55"/>
  <c r="E18" i="55"/>
  <c r="E19" i="55"/>
  <c r="E20" i="55"/>
  <c r="E21" i="55"/>
  <c r="E22" i="55"/>
  <c r="E23" i="55"/>
  <c r="E24" i="55"/>
  <c r="E25" i="55"/>
  <c r="E26" i="55"/>
  <c r="E27" i="55"/>
  <c r="E28" i="55"/>
  <c r="E29" i="55"/>
  <c r="E13" i="55"/>
  <c r="C11" i="16"/>
  <c r="D11" i="16" s="1"/>
  <c r="T9" i="55"/>
  <c r="T10" i="55"/>
  <c r="T11" i="55"/>
  <c r="T12" i="55"/>
  <c r="T13" i="55"/>
  <c r="T14" i="55"/>
  <c r="T15" i="55"/>
  <c r="T16" i="55"/>
  <c r="T17" i="55"/>
  <c r="T18" i="55"/>
  <c r="T19" i="55"/>
  <c r="T20" i="55"/>
  <c r="T21" i="55"/>
  <c r="T22" i="55"/>
  <c r="T23" i="55"/>
  <c r="T24" i="55"/>
  <c r="T25" i="55"/>
  <c r="T26" i="55"/>
  <c r="T27" i="55"/>
  <c r="T28" i="55"/>
  <c r="T29" i="55"/>
  <c r="T30" i="55"/>
  <c r="T31" i="55"/>
  <c r="T32" i="55"/>
  <c r="T33" i="55"/>
  <c r="T34" i="55"/>
  <c r="T35" i="55"/>
  <c r="T36" i="55"/>
  <c r="T37" i="55"/>
  <c r="T38" i="55"/>
  <c r="T39" i="55"/>
  <c r="T40" i="55"/>
  <c r="T41" i="55"/>
  <c r="T42" i="55"/>
  <c r="T43" i="55"/>
  <c r="T44" i="55"/>
  <c r="T45" i="55"/>
  <c r="T46" i="55"/>
  <c r="T47" i="55"/>
  <c r="T48" i="55"/>
  <c r="T49" i="55"/>
  <c r="T50" i="55"/>
  <c r="T51" i="55"/>
  <c r="T52" i="55"/>
  <c r="T53" i="55"/>
  <c r="T54" i="55"/>
  <c r="T55" i="55"/>
  <c r="T56" i="55"/>
  <c r="T57" i="55"/>
  <c r="T58" i="55"/>
  <c r="T59" i="55"/>
  <c r="T60" i="55"/>
  <c r="T61" i="55"/>
  <c r="T62" i="55"/>
  <c r="T63" i="55"/>
  <c r="T64" i="55"/>
  <c r="K106" i="2"/>
  <c r="S106" i="2"/>
  <c r="Q106" i="2"/>
  <c r="O106" i="2"/>
  <c r="M106" i="2"/>
  <c r="C24" i="4"/>
  <c r="S9" i="54"/>
  <c r="K14" i="42" l="1"/>
  <c r="M14" i="42"/>
  <c r="O14" i="42"/>
  <c r="Q14" i="42"/>
  <c r="S14" i="42"/>
  <c r="N14" i="42"/>
  <c r="P14" i="42"/>
  <c r="R14" i="42"/>
  <c r="J98" i="42"/>
  <c r="L98" i="42"/>
  <c r="N98" i="42"/>
  <c r="P98" i="42"/>
  <c r="R98" i="42"/>
  <c r="K98" i="42"/>
  <c r="M98" i="42"/>
  <c r="O98" i="42"/>
  <c r="Q98" i="42"/>
  <c r="S98" i="42"/>
  <c r="J88" i="42"/>
  <c r="J72" i="42"/>
  <c r="J58" i="42"/>
  <c r="L88" i="42"/>
  <c r="L72" i="42"/>
  <c r="L58" i="42"/>
  <c r="N88" i="42"/>
  <c r="N72" i="42"/>
  <c r="N58" i="42"/>
  <c r="P88" i="42"/>
  <c r="P72" i="42"/>
  <c r="P58" i="42"/>
  <c r="P61" i="42" s="1"/>
  <c r="R88" i="42"/>
  <c r="R72" i="42"/>
  <c r="R58" i="42"/>
  <c r="R61" i="42" s="1"/>
  <c r="K58" i="42"/>
  <c r="M58" i="42"/>
  <c r="O58" i="42"/>
  <c r="O61" i="42" s="1"/>
  <c r="Q58" i="42"/>
  <c r="Q61" i="42" s="1"/>
  <c r="S58" i="42"/>
  <c r="S61" i="42" s="1"/>
  <c r="K72" i="42"/>
  <c r="M72" i="42"/>
  <c r="O72" i="42"/>
  <c r="Q72" i="42"/>
  <c r="S72" i="42"/>
  <c r="K88" i="42"/>
  <c r="M88" i="42"/>
  <c r="O88" i="42"/>
  <c r="Q88" i="42"/>
  <c r="S88" i="42"/>
  <c r="S22" i="53"/>
  <c r="Q22" i="53"/>
  <c r="O22" i="53"/>
  <c r="M22" i="53"/>
  <c r="K22" i="53"/>
  <c r="J32" i="53"/>
  <c r="L32" i="53"/>
  <c r="N32" i="53"/>
  <c r="P32" i="53"/>
  <c r="R32" i="53"/>
  <c r="J40" i="53"/>
  <c r="L40" i="53"/>
  <c r="N40" i="53"/>
  <c r="K32" i="53"/>
  <c r="M32" i="53"/>
  <c r="O32" i="53"/>
  <c r="Q32" i="53"/>
  <c r="S32" i="53"/>
  <c r="K45" i="2"/>
  <c r="M45" i="2"/>
  <c r="Q58" i="2"/>
  <c r="M58" i="2"/>
  <c r="O45" i="2"/>
  <c r="K58" i="2"/>
  <c r="O58" i="2"/>
  <c r="S58" i="2"/>
  <c r="L58" i="2"/>
  <c r="L45" i="2"/>
  <c r="L106" i="2"/>
  <c r="N58" i="2"/>
  <c r="N45" i="2"/>
  <c r="N106" i="2"/>
  <c r="N71" i="2"/>
  <c r="P58" i="2"/>
  <c r="P106" i="2"/>
  <c r="P71" i="2"/>
  <c r="R58" i="2"/>
  <c r="R106" i="2"/>
  <c r="R71" i="2"/>
  <c r="T58" i="2"/>
  <c r="T106" i="2"/>
  <c r="T71" i="2"/>
  <c r="J58" i="2"/>
  <c r="J12" i="2"/>
  <c r="J106" i="2"/>
  <c r="J45" i="2"/>
  <c r="R12" i="2"/>
  <c r="N12" i="2"/>
  <c r="T12" i="2"/>
  <c r="P12" i="2"/>
  <c r="L12" i="2"/>
  <c r="S12" i="2"/>
  <c r="Q12" i="2"/>
  <c r="O12" i="2"/>
  <c r="M12" i="2"/>
  <c r="K12" i="2"/>
  <c r="S71" i="2"/>
  <c r="Q71" i="2"/>
  <c r="O71" i="2"/>
  <c r="M71" i="2"/>
  <c r="J68" i="42" l="1" a="1"/>
  <c r="J68" i="42" s="1"/>
  <c r="L68" i="42" a="1"/>
  <c r="L68" i="42" s="1"/>
  <c r="K68" i="42" a="1"/>
  <c r="K68" i="42" s="1"/>
  <c r="K100" i="42"/>
  <c r="K13" i="44" s="1"/>
  <c r="K101" i="42"/>
  <c r="K102" i="42" s="1"/>
  <c r="L101" i="42"/>
  <c r="L102" i="42" s="1"/>
  <c r="L100" i="42"/>
  <c r="L13" i="44" s="1"/>
  <c r="J100" i="42"/>
  <c r="J13" i="44" s="1"/>
  <c r="J101" i="42"/>
  <c r="J102" i="42" s="1"/>
  <c r="W71" i="2"/>
  <c r="W22" i="53"/>
  <c r="W32" i="53"/>
  <c r="W58" i="2"/>
  <c r="W106" i="2"/>
  <c r="P45" i="2" l="1"/>
  <c r="S45" i="2"/>
  <c r="Q45" i="2"/>
  <c r="R45" i="2"/>
  <c r="T45" i="2"/>
  <c r="W45" i="2" l="1"/>
  <c r="C50" i="42" l="1"/>
  <c r="F50" i="42"/>
  <c r="E50" i="42"/>
  <c r="C47" i="42"/>
  <c r="C44" i="42"/>
  <c r="C41" i="42"/>
  <c r="C38" i="42"/>
  <c r="F47" i="42"/>
  <c r="E47" i="42"/>
  <c r="F44" i="42"/>
  <c r="E44" i="42"/>
  <c r="F41" i="42"/>
  <c r="E41" i="42"/>
  <c r="F38" i="42"/>
  <c r="E38" i="42"/>
  <c r="E84" i="42" l="1"/>
  <c r="E102" i="42" l="1"/>
  <c r="F17" i="42" l="1"/>
  <c r="F15" i="42"/>
  <c r="F54" i="42"/>
  <c r="F52" i="42"/>
  <c r="C75" i="42" l="1"/>
  <c r="C76" i="42"/>
  <c r="C77" i="42"/>
  <c r="C78" i="42"/>
  <c r="C79" i="42"/>
  <c r="C80" i="42"/>
  <c r="C81" i="42"/>
  <c r="C82" i="42"/>
  <c r="C90" i="42"/>
  <c r="C91" i="42"/>
  <c r="C92" i="42"/>
  <c r="F13" i="44"/>
  <c r="E54" i="42"/>
  <c r="F33" i="42"/>
  <c r="E52" i="42"/>
  <c r="F13" i="42"/>
  <c r="E13" i="42"/>
  <c r="E15" i="42"/>
  <c r="E13" i="44"/>
  <c r="E101" i="42"/>
  <c r="E17" i="42"/>
  <c r="E74" i="42"/>
  <c r="E75" i="42"/>
  <c r="E76" i="42"/>
  <c r="E77" i="42"/>
  <c r="E78" i="42"/>
  <c r="E79" i="42"/>
  <c r="E80" i="42"/>
  <c r="E81" i="42"/>
  <c r="E82" i="42"/>
  <c r="E90" i="42"/>
  <c r="E91" i="42"/>
  <c r="E92" i="42"/>
  <c r="E94" i="42"/>
  <c r="E33" i="42"/>
  <c r="B2" i="55"/>
  <c r="S11" i="54"/>
  <c r="S14" i="54"/>
  <c r="G15" i="16"/>
  <c r="G16" i="16"/>
  <c r="T1" i="55"/>
  <c r="G11" i="16" s="1"/>
  <c r="B1" i="55"/>
  <c r="E12" i="2"/>
  <c r="O63" i="42"/>
  <c r="O65" i="42"/>
  <c r="J63" i="42"/>
  <c r="J65" i="42"/>
  <c r="K63" i="42"/>
  <c r="K65" i="42"/>
  <c r="L63" i="42"/>
  <c r="L65" i="42"/>
  <c r="M63" i="42"/>
  <c r="M65" i="42"/>
  <c r="N63" i="42"/>
  <c r="N65" i="42"/>
  <c r="P63" i="42"/>
  <c r="Q63" i="42"/>
  <c r="R63" i="42"/>
  <c r="S63" i="42"/>
  <c r="C74" i="42"/>
  <c r="P65" i="42"/>
  <c r="Q65" i="42"/>
  <c r="R65" i="42"/>
  <c r="S65" i="42"/>
  <c r="C76" i="2"/>
  <c r="C77" i="2"/>
  <c r="C78" i="2"/>
  <c r="C79" i="2"/>
  <c r="C80" i="2"/>
  <c r="C75" i="2"/>
  <c r="S7" i="54"/>
  <c r="S10" i="54"/>
  <c r="S12" i="54"/>
  <c r="S13" i="54"/>
  <c r="C12" i="16"/>
  <c r="D12" i="16" s="1"/>
  <c r="C13" i="16"/>
  <c r="D13" i="16" s="1"/>
  <c r="C14" i="16"/>
  <c r="D14" i="16" s="1"/>
  <c r="C15" i="16"/>
  <c r="D15" i="16" s="1"/>
  <c r="C16" i="16"/>
  <c r="D16" i="16" s="1"/>
  <c r="C10" i="16"/>
  <c r="D10" i="16" s="1"/>
  <c r="C50" i="2"/>
  <c r="C51" i="2"/>
  <c r="C52" i="2"/>
  <c r="C53" i="2"/>
  <c r="C54" i="2"/>
  <c r="C55" i="2"/>
  <c r="C56" i="2"/>
  <c r="C49" i="2"/>
  <c r="E56" i="2"/>
  <c r="E55" i="2"/>
  <c r="E54" i="2"/>
  <c r="E53" i="2"/>
  <c r="E52" i="2"/>
  <c r="E51" i="2"/>
  <c r="E50" i="2"/>
  <c r="E49" i="2"/>
  <c r="B2" i="53"/>
  <c r="B1" i="53"/>
  <c r="E104" i="2"/>
  <c r="B2" i="2"/>
  <c r="B1" i="2"/>
  <c r="C64" i="4"/>
  <c r="B2" i="54"/>
  <c r="B1" i="54"/>
  <c r="E42" i="2"/>
  <c r="E43" i="2"/>
  <c r="B2" i="44"/>
  <c r="B2" i="42"/>
  <c r="B1" i="44"/>
  <c r="B1" i="42"/>
  <c r="E41" i="2"/>
  <c r="E40" i="2"/>
  <c r="E39" i="2"/>
  <c r="E38" i="2"/>
  <c r="E37" i="2"/>
  <c r="E36" i="2"/>
  <c r="B2" i="16"/>
  <c r="B1" i="16"/>
  <c r="C9" i="4"/>
  <c r="B2" i="4"/>
  <c r="B1" i="4"/>
  <c r="M67" i="42" l="1"/>
  <c r="K67" i="42"/>
  <c r="L67" i="42"/>
  <c r="R67" i="42"/>
  <c r="T1" i="2"/>
  <c r="G13" i="16" s="1"/>
  <c r="S1" i="54"/>
  <c r="G10" i="16" s="1"/>
  <c r="N67" i="42"/>
  <c r="J67" i="42"/>
  <c r="M68" i="42" s="1" a="1"/>
  <c r="M68" i="42" s="1"/>
  <c r="N68" i="42" l="1" a="1"/>
  <c r="N68" i="42" s="1"/>
  <c r="C25" i="2" a="1"/>
  <c r="C16" i="2" a="1"/>
  <c r="P67" i="42"/>
  <c r="O67" i="42"/>
  <c r="S67" i="42"/>
  <c r="Q67" i="42"/>
  <c r="S68" i="42" l="1" a="1"/>
  <c r="S68" i="42" s="1"/>
  <c r="Q68" i="42" a="1"/>
  <c r="Q68" i="42" s="1"/>
  <c r="R68" i="42" a="1"/>
  <c r="R68" i="42" s="1"/>
  <c r="O68" i="42" a="1"/>
  <c r="O68" i="42" s="1"/>
  <c r="P68" i="42" a="1"/>
  <c r="P68" i="42" s="1"/>
  <c r="C25" i="2"/>
  <c r="C27" i="2"/>
  <c r="C29" i="2"/>
  <c r="C26" i="2"/>
  <c r="C28" i="2"/>
  <c r="C30" i="2"/>
  <c r="C16" i="2"/>
  <c r="C18" i="2"/>
  <c r="C20" i="2"/>
  <c r="C17" i="2"/>
  <c r="C19" i="2"/>
  <c r="C21" i="2"/>
  <c r="O21" i="2" s="1"/>
  <c r="N21" i="2" l="1"/>
  <c r="M19" i="2"/>
  <c r="M28" i="2" s="1"/>
  <c r="N20" i="2"/>
  <c r="O20" i="2" s="1"/>
  <c r="J16" i="2"/>
  <c r="K16" i="2" s="1"/>
  <c r="K25" i="2" s="1"/>
  <c r="K17" i="2"/>
  <c r="K26" i="2" s="1"/>
  <c r="L18" i="2"/>
  <c r="L27" i="2" s="1"/>
  <c r="D21" i="2"/>
  <c r="E21" i="2"/>
  <c r="D17" i="2"/>
  <c r="E17" i="2"/>
  <c r="E18" i="2"/>
  <c r="D18" i="2"/>
  <c r="E30" i="2"/>
  <c r="D30" i="2"/>
  <c r="S30" i="2"/>
  <c r="R13" i="42" s="1"/>
  <c r="R26" i="42" s="1"/>
  <c r="R30" i="2"/>
  <c r="T30" i="2"/>
  <c r="E26" i="2"/>
  <c r="D26" i="2"/>
  <c r="S26" i="2"/>
  <c r="R26" i="2"/>
  <c r="Q26" i="2"/>
  <c r="T26" i="2"/>
  <c r="D19" i="2"/>
  <c r="E19" i="2"/>
  <c r="E20" i="2"/>
  <c r="D20" i="2"/>
  <c r="E16" i="2"/>
  <c r="D16" i="2"/>
  <c r="E28" i="2"/>
  <c r="D28" i="2"/>
  <c r="Q28" i="2"/>
  <c r="T28" i="2"/>
  <c r="S28" i="2"/>
  <c r="R28" i="2"/>
  <c r="E29" i="2"/>
  <c r="D29" i="2"/>
  <c r="S29" i="2"/>
  <c r="R29" i="2"/>
  <c r="P29" i="2"/>
  <c r="Q29" i="2"/>
  <c r="P13" i="42" s="1"/>
  <c r="P26" i="42" s="1"/>
  <c r="T29" i="2"/>
  <c r="D25" i="2"/>
  <c r="E25" i="2"/>
  <c r="Q25" i="2"/>
  <c r="T25" i="2"/>
  <c r="S25" i="2"/>
  <c r="R25" i="2"/>
  <c r="E27" i="2"/>
  <c r="D27" i="2"/>
  <c r="Q27" i="2"/>
  <c r="T27" i="2"/>
  <c r="S27" i="2"/>
  <c r="R27" i="2"/>
  <c r="S13" i="42" l="1"/>
  <c r="S26" i="42" s="1"/>
  <c r="P20" i="42"/>
  <c r="S20" i="42"/>
  <c r="R20" i="42"/>
  <c r="Q20" i="42"/>
  <c r="M21" i="2"/>
  <c r="O29" i="2"/>
  <c r="K18" i="2"/>
  <c r="K27" i="2" s="1"/>
  <c r="O30" i="2"/>
  <c r="J17" i="2"/>
  <c r="J26" i="2" s="1"/>
  <c r="L19" i="2"/>
  <c r="L28" i="2" s="1"/>
  <c r="L16" i="2"/>
  <c r="L25" i="2" s="1"/>
  <c r="M18" i="2"/>
  <c r="L17" i="2"/>
  <c r="L26" i="2" s="1"/>
  <c r="M20" i="2"/>
  <c r="M29" i="2" s="1"/>
  <c r="N30" i="2"/>
  <c r="N19" i="2"/>
  <c r="N28" i="2" s="1"/>
  <c r="Q13" i="42"/>
  <c r="Q26" i="42" s="1"/>
  <c r="J25" i="2"/>
  <c r="N29" i="2"/>
  <c r="M20" i="42" l="1"/>
  <c r="M16" i="2"/>
  <c r="M25" i="2" s="1"/>
  <c r="L21" i="2"/>
  <c r="L20" i="2"/>
  <c r="L29" i="2" s="1"/>
  <c r="M17" i="2"/>
  <c r="K19" i="2"/>
  <c r="K28" i="2" s="1"/>
  <c r="O19" i="2"/>
  <c r="O28" i="2" s="1"/>
  <c r="N20" i="42" s="1"/>
  <c r="N18" i="2"/>
  <c r="N27" i="2" s="1"/>
  <c r="J18" i="2"/>
  <c r="J27" i="2" s="1"/>
  <c r="P28" i="2"/>
  <c r="O20" i="42" s="1"/>
  <c r="P26" i="2"/>
  <c r="P27" i="2"/>
  <c r="M30" i="2"/>
  <c r="M13" i="42"/>
  <c r="M26" i="42" s="1"/>
  <c r="M27" i="2"/>
  <c r="N16" i="2" l="1"/>
  <c r="N25" i="2" s="1"/>
  <c r="N13" i="42"/>
  <c r="N26" i="42" s="1"/>
  <c r="O13" i="42"/>
  <c r="O26" i="42" s="1"/>
  <c r="L20" i="42"/>
  <c r="L13" i="42"/>
  <c r="L26" i="42" s="1"/>
  <c r="K21" i="2"/>
  <c r="O18" i="2"/>
  <c r="J19" i="2"/>
  <c r="J28" i="2" s="1"/>
  <c r="N17" i="2"/>
  <c r="M26" i="2"/>
  <c r="K20" i="2"/>
  <c r="K29" i="2" s="1"/>
  <c r="L30" i="2"/>
  <c r="O16" i="2" l="1"/>
  <c r="L24" i="42" s="1"/>
  <c r="Q24" i="42"/>
  <c r="S15" i="42"/>
  <c r="L22" i="42"/>
  <c r="J24" i="42"/>
  <c r="N24" i="42"/>
  <c r="P22" i="42"/>
  <c r="J22" i="42"/>
  <c r="M24" i="42"/>
  <c r="Q22" i="42"/>
  <c r="S17" i="42"/>
  <c r="O15" i="42"/>
  <c r="O74" i="42"/>
  <c r="M38" i="42"/>
  <c r="O38" i="42"/>
  <c r="S38" i="42"/>
  <c r="Q38" i="42"/>
  <c r="L38" i="42"/>
  <c r="K74" i="42"/>
  <c r="R38" i="42"/>
  <c r="R74" i="42"/>
  <c r="P74" i="42"/>
  <c r="P38" i="42"/>
  <c r="J74" i="42"/>
  <c r="M74" i="42"/>
  <c r="L74" i="42"/>
  <c r="J38" i="42"/>
  <c r="S74" i="42"/>
  <c r="N38" i="42"/>
  <c r="Q74" i="42"/>
  <c r="N74" i="42"/>
  <c r="K38" i="42"/>
  <c r="Q17" i="42"/>
  <c r="R22" i="42"/>
  <c r="J17" i="42"/>
  <c r="L17" i="42"/>
  <c r="N15" i="42"/>
  <c r="R17" i="42"/>
  <c r="S24" i="42"/>
  <c r="R15" i="42"/>
  <c r="N17" i="42"/>
  <c r="J15" i="42"/>
  <c r="L31" i="42" s="1"/>
  <c r="R24" i="42"/>
  <c r="O17" i="42"/>
  <c r="P17" i="42"/>
  <c r="P15" i="42"/>
  <c r="Q15" i="42"/>
  <c r="K24" i="42"/>
  <c r="K13" i="42"/>
  <c r="K26" i="42" s="1"/>
  <c r="K20" i="42"/>
  <c r="K15" i="42"/>
  <c r="M15" i="42"/>
  <c r="P24" i="42"/>
  <c r="O22" i="42"/>
  <c r="K22" i="42"/>
  <c r="M22" i="42"/>
  <c r="O24" i="42"/>
  <c r="J21" i="2"/>
  <c r="J30" i="2" s="1"/>
  <c r="J20" i="2"/>
  <c r="J29" i="2" s="1"/>
  <c r="O17" i="2"/>
  <c r="N29" i="42" s="1"/>
  <c r="N26" i="2"/>
  <c r="O27" i="2"/>
  <c r="P25" i="2"/>
  <c r="O25" i="2"/>
  <c r="K30" i="2"/>
  <c r="K17" i="42" l="1"/>
  <c r="N22" i="42"/>
  <c r="S22" i="42"/>
  <c r="J79" i="42"/>
  <c r="L76" i="42"/>
  <c r="R76" i="42"/>
  <c r="J50" i="42"/>
  <c r="R90" i="42"/>
  <c r="R14" i="44" s="1"/>
  <c r="P76" i="42"/>
  <c r="L44" i="42"/>
  <c r="L47" i="42"/>
  <c r="R75" i="42"/>
  <c r="S41" i="42"/>
  <c r="O79" i="42"/>
  <c r="Q78" i="42"/>
  <c r="N91" i="42"/>
  <c r="N15" i="44" s="1"/>
  <c r="O91" i="42"/>
  <c r="O15" i="44" s="1"/>
  <c r="R44" i="42"/>
  <c r="R91" i="42"/>
  <c r="R15" i="44" s="1"/>
  <c r="R50" i="42"/>
  <c r="K82" i="42"/>
  <c r="O81" i="42"/>
  <c r="S77" i="42"/>
  <c r="O92" i="42"/>
  <c r="O16" i="44" s="1"/>
  <c r="R92" i="42"/>
  <c r="R16" i="44" s="1"/>
  <c r="N77" i="42"/>
  <c r="N81" i="42"/>
  <c r="K78" i="42"/>
  <c r="L79" i="42"/>
  <c r="M41" i="42"/>
  <c r="M78" i="42"/>
  <c r="L91" i="42"/>
  <c r="N90" i="42"/>
  <c r="P47" i="42"/>
  <c r="R81" i="42"/>
  <c r="Q81" i="42"/>
  <c r="M47" i="42"/>
  <c r="S76" i="42"/>
  <c r="P81" i="42"/>
  <c r="R41" i="42"/>
  <c r="S79" i="42"/>
  <c r="L41" i="42"/>
  <c r="J29" i="42"/>
  <c r="P41" i="42"/>
  <c r="O78" i="42"/>
  <c r="J91" i="42"/>
  <c r="P78" i="42"/>
  <c r="Q47" i="42"/>
  <c r="O47" i="42"/>
  <c r="K92" i="42"/>
  <c r="S82" i="42"/>
  <c r="L75" i="42"/>
  <c r="R78" i="42"/>
  <c r="S50" i="42"/>
  <c r="M82" i="42"/>
  <c r="O50" i="42"/>
  <c r="O44" i="42"/>
  <c r="L81" i="42"/>
  <c r="O41" i="42"/>
  <c r="P92" i="42"/>
  <c r="P16" i="44" s="1"/>
  <c r="N80" i="42"/>
  <c r="K75" i="42"/>
  <c r="S81" i="42"/>
  <c r="M80" i="42"/>
  <c r="R82" i="42"/>
  <c r="K76" i="42"/>
  <c r="J44" i="42"/>
  <c r="R77" i="42"/>
  <c r="M77" i="42"/>
  <c r="S80" i="42"/>
  <c r="R80" i="42"/>
  <c r="Q90" i="42"/>
  <c r="Q14" i="44" s="1"/>
  <c r="P79" i="42"/>
  <c r="K77" i="42"/>
  <c r="J75" i="42"/>
  <c r="M79" i="42"/>
  <c r="K29" i="42"/>
  <c r="S44" i="42"/>
  <c r="R79" i="42"/>
  <c r="S29" i="42"/>
  <c r="M75" i="42"/>
  <c r="P80" i="42"/>
  <c r="N92" i="42"/>
  <c r="N16" i="44" s="1"/>
  <c r="K79" i="42"/>
  <c r="M29" i="42"/>
  <c r="Q82" i="42"/>
  <c r="N82" i="42"/>
  <c r="Q29" i="42"/>
  <c r="J78" i="42"/>
  <c r="K80" i="42"/>
  <c r="S90" i="42"/>
  <c r="S78" i="42"/>
  <c r="Q76" i="42"/>
  <c r="P29" i="42"/>
  <c r="P50" i="42"/>
  <c r="K44" i="42"/>
  <c r="M92" i="42"/>
  <c r="M16" i="44" s="1"/>
  <c r="Q80" i="42"/>
  <c r="J76" i="42"/>
  <c r="O80" i="42"/>
  <c r="K41" i="42"/>
  <c r="P75" i="42"/>
  <c r="M76" i="42"/>
  <c r="R29" i="42"/>
  <c r="S92" i="42"/>
  <c r="S16" i="44" s="1"/>
  <c r="K91" i="42"/>
  <c r="S47" i="42"/>
  <c r="M44" i="42"/>
  <c r="J82" i="42"/>
  <c r="L90" i="42"/>
  <c r="M81" i="42"/>
  <c r="Q79" i="42"/>
  <c r="Q92" i="42"/>
  <c r="Q16" i="44" s="1"/>
  <c r="R47" i="42"/>
  <c r="J47" i="42"/>
  <c r="N79" i="42"/>
  <c r="L80" i="42"/>
  <c r="K47" i="42"/>
  <c r="M91" i="42"/>
  <c r="M15" i="44" s="1"/>
  <c r="N76" i="42"/>
  <c r="J80" i="42"/>
  <c r="S75" i="42"/>
  <c r="O29" i="42"/>
  <c r="M50" i="42"/>
  <c r="J90" i="42"/>
  <c r="L92" i="42"/>
  <c r="J41" i="42"/>
  <c r="L78" i="42"/>
  <c r="Q44" i="42"/>
  <c r="O82" i="42"/>
  <c r="K81" i="42"/>
  <c r="L82" i="42"/>
  <c r="Q41" i="42"/>
  <c r="Q75" i="42"/>
  <c r="Q50" i="42"/>
  <c r="J92" i="42"/>
  <c r="O77" i="42"/>
  <c r="O90" i="42"/>
  <c r="O14" i="44" s="1"/>
  <c r="N41" i="42"/>
  <c r="P44" i="42"/>
  <c r="P90" i="42"/>
  <c r="P14" i="44" s="1"/>
  <c r="L29" i="42"/>
  <c r="N78" i="42"/>
  <c r="N75" i="42"/>
  <c r="O76" i="42"/>
  <c r="K90" i="42"/>
  <c r="K94" i="42" s="1"/>
  <c r="M90" i="42"/>
  <c r="N47" i="42"/>
  <c r="P82" i="42"/>
  <c r="L50" i="42"/>
  <c r="N50" i="42"/>
  <c r="J81" i="42"/>
  <c r="L77" i="42"/>
  <c r="S91" i="42"/>
  <c r="S15" i="44" s="1"/>
  <c r="P77" i="42"/>
  <c r="O75" i="42"/>
  <c r="N44" i="42"/>
  <c r="P91" i="42"/>
  <c r="P15" i="44" s="1"/>
  <c r="Q77" i="42"/>
  <c r="Q91" i="42"/>
  <c r="Q15" i="44" s="1"/>
  <c r="J77" i="42"/>
  <c r="K50" i="42"/>
  <c r="N14" i="44"/>
  <c r="M14" i="44"/>
  <c r="J13" i="42"/>
  <c r="J26" i="42" s="1"/>
  <c r="J20" i="42"/>
  <c r="O26" i="2"/>
  <c r="O33" i="42"/>
  <c r="K84" i="42" l="1"/>
  <c r="M94" i="42"/>
  <c r="R84" i="42"/>
  <c r="J94" i="42"/>
  <c r="S84" i="42"/>
  <c r="R94" i="42"/>
  <c r="O84" i="42"/>
  <c r="Q94" i="42"/>
  <c r="P84" i="42"/>
  <c r="S94" i="42"/>
  <c r="N84" i="42"/>
  <c r="P52" i="42"/>
  <c r="P54" i="42" s="1"/>
  <c r="R52" i="42"/>
  <c r="R54" i="42" s="1"/>
  <c r="L94" i="42"/>
  <c r="N94" i="42"/>
  <c r="Q84" i="42"/>
  <c r="J52" i="42"/>
  <c r="J54" i="42" s="1"/>
  <c r="O94" i="42"/>
  <c r="S14" i="44"/>
  <c r="P94" i="42"/>
  <c r="J84" i="42"/>
  <c r="L84" i="42"/>
  <c r="M84" i="42"/>
  <c r="S52" i="42"/>
  <c r="S54" i="42" s="1"/>
  <c r="Q52" i="42"/>
  <c r="Q54" i="42" s="1"/>
  <c r="K52" i="42"/>
  <c r="K54" i="42" s="1"/>
  <c r="L35" i="42"/>
  <c r="M35" i="42"/>
  <c r="L33" i="42"/>
  <c r="L52" i="42" s="1"/>
  <c r="N35" i="42"/>
  <c r="O52" i="42"/>
  <c r="O54" i="42" s="1"/>
  <c r="L54" i="42" l="1"/>
  <c r="M100" i="42" l="1"/>
  <c r="M13" i="44" s="1"/>
  <c r="M101" i="42"/>
  <c r="M102" i="42" s="1"/>
  <c r="M16" i="42" l="1"/>
  <c r="M17" i="42" s="1"/>
  <c r="L14" i="42"/>
  <c r="L15" i="42" s="1"/>
  <c r="N31" i="42" l="1"/>
  <c r="O31" i="42"/>
  <c r="M31" i="42"/>
  <c r="N33" i="42" l="1"/>
  <c r="M33" i="42"/>
  <c r="M52" i="42" l="1"/>
  <c r="N52" i="42"/>
  <c r="N54" i="42" l="1"/>
  <c r="M54" i="42"/>
  <c r="N100" i="42"/>
  <c r="N13" i="44" s="1"/>
  <c r="N101" i="42" l="1"/>
  <c r="N102" i="42" s="1"/>
  <c r="Q100" i="42"/>
  <c r="Q101" i="42"/>
  <c r="S101" i="42"/>
  <c r="R100" i="42"/>
  <c r="P101" i="42"/>
  <c r="R101" i="42"/>
  <c r="O101" i="42"/>
  <c r="O100" i="42"/>
  <c r="P100" i="42"/>
  <c r="S100" i="42"/>
  <c r="S13" i="44" l="1"/>
  <c r="R13" i="44"/>
  <c r="O13" i="44"/>
  <c r="P13" i="44"/>
  <c r="Q13" i="44"/>
  <c r="O40" i="53" l="1"/>
  <c r="O102" i="42"/>
  <c r="P40" i="53" l="1"/>
  <c r="P102" i="42"/>
  <c r="R40" i="53" l="1"/>
  <c r="R102" i="42"/>
  <c r="Q40" i="53"/>
  <c r="Q102" i="42"/>
  <c r="S40" i="53" l="1"/>
  <c r="W40" i="53" s="1"/>
  <c r="S1" i="53" s="1"/>
  <c r="G14" i="16" s="1"/>
  <c r="S1" i="16" s="1"/>
  <c r="S102" i="42"/>
  <c r="V1" i="42" l="1"/>
  <c r="W1" i="2"/>
  <c r="V1" i="53"/>
  <c r="W1" i="55"/>
  <c r="V1" i="44"/>
  <c r="V1" i="4"/>
  <c r="V1" i="54"/>
  <c r="V1" i="58"/>
</calcChain>
</file>

<file path=xl/sharedStrings.xml><?xml version="1.0" encoding="utf-8"?>
<sst xmlns="http://schemas.openxmlformats.org/spreadsheetml/2006/main" count="707" uniqueCount="212">
  <si>
    <t>Sheet Name</t>
  </si>
  <si>
    <t>Sheet Description</t>
  </si>
  <si>
    <t>Back to Index</t>
  </si>
  <si>
    <t>Key:</t>
  </si>
  <si>
    <t>Input</t>
  </si>
  <si>
    <t>External Link</t>
  </si>
  <si>
    <t>Internal Link</t>
  </si>
  <si>
    <t>Source</t>
  </si>
  <si>
    <t>Unit</t>
  </si>
  <si>
    <t>Ref</t>
  </si>
  <si>
    <t>Dollars</t>
  </si>
  <si>
    <t>unit</t>
  </si>
  <si>
    <t>$dollars</t>
  </si>
  <si>
    <t>Thousands</t>
  </si>
  <si>
    <t>Millions</t>
  </si>
  <si>
    <t>$millions</t>
  </si>
  <si>
    <t>Percent</t>
  </si>
  <si>
    <t>Number</t>
  </si>
  <si>
    <t>number</t>
  </si>
  <si>
    <t>Unit Denominations</t>
  </si>
  <si>
    <t>$000</t>
  </si>
  <si>
    <t>End</t>
  </si>
  <si>
    <t>Basis</t>
  </si>
  <si>
    <t>Actual</t>
  </si>
  <si>
    <t>Overall Check:</t>
  </si>
  <si>
    <t>Check | List</t>
  </si>
  <si>
    <t>Check List</t>
  </si>
  <si>
    <t>Sheet</t>
  </si>
  <si>
    <t>Ok/Check</t>
  </si>
  <si>
    <t>Status</t>
  </si>
  <si>
    <t>Calculated</t>
  </si>
  <si>
    <t>Per cent</t>
  </si>
  <si>
    <t>Debt Raising Costs</t>
  </si>
  <si>
    <t>Inflation</t>
  </si>
  <si>
    <t>External</t>
  </si>
  <si>
    <t>Input | Inflation</t>
  </si>
  <si>
    <t>n/a</t>
  </si>
  <si>
    <t>Factor</t>
  </si>
  <si>
    <t>factor</t>
  </si>
  <si>
    <t>Debt raising costs</t>
  </si>
  <si>
    <t>Check</t>
  </si>
  <si>
    <t>Index</t>
  </si>
  <si>
    <t>Rate of change</t>
  </si>
  <si>
    <t>Weights</t>
  </si>
  <si>
    <t>Input | Debt raising costs</t>
  </si>
  <si>
    <t>Input | Opex allowances</t>
  </si>
  <si>
    <t>Operating expenditure</t>
  </si>
  <si>
    <t>CPI indexes (nominal to real)</t>
  </si>
  <si>
    <t>Partial factor productivity</t>
  </si>
  <si>
    <t>Total step changes</t>
  </si>
  <si>
    <t>Input |Step changes</t>
  </si>
  <si>
    <t>Inputs the cost escalation weights, cost escalation forecast, and inflation actuals and forecast</t>
  </si>
  <si>
    <r>
      <t>Inputs the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data, including historical opex by category, one-off costs, step changes, demand forecasts, carbon costs, self insurance, network growth, and partial factor productivity</t>
    </r>
  </si>
  <si>
    <t>Shows checks on the calculations within the model</t>
  </si>
  <si>
    <t>Lookup | Tables</t>
  </si>
  <si>
    <t>Output | Models</t>
  </si>
  <si>
    <t>Calc | Opex Forecast</t>
  </si>
  <si>
    <t>Notes</t>
  </si>
  <si>
    <t>Inputs for Post Tax Revenue Model</t>
  </si>
  <si>
    <t>Note. The dollar base should be consistent with the post tax revenue model</t>
  </si>
  <si>
    <t>Input | Rate of change</t>
  </si>
  <si>
    <t>Input | Reported opex</t>
  </si>
  <si>
    <r>
      <t>Inputs the reported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from the prior regulatory control period.</t>
    </r>
  </si>
  <si>
    <t>Includes the lookup tables used within this opex model.</t>
  </si>
  <si>
    <t>Input | Step changes</t>
  </si>
  <si>
    <t>Input | General</t>
  </si>
  <si>
    <t>Inputs NSP name, regulatory years for the prior and forecast regulatory control period etc.</t>
  </si>
  <si>
    <t>Model index</t>
  </si>
  <si>
    <t>NSP name</t>
  </si>
  <si>
    <t>Forecast regulatory control period, first year</t>
  </si>
  <si>
    <t>Forecast regulatory control period, last year</t>
  </si>
  <si>
    <t>Value</t>
  </si>
  <si>
    <t>NSP</t>
  </si>
  <si>
    <t>AER</t>
  </si>
  <si>
    <t>Years</t>
  </si>
  <si>
    <t>Forecast base year</t>
  </si>
  <si>
    <t>PTRM</t>
  </si>
  <si>
    <t>Total opex</t>
  </si>
  <si>
    <t>Estimate</t>
  </si>
  <si>
    <t>RIN</t>
  </si>
  <si>
    <t>Cost category</t>
  </si>
  <si>
    <t>Input | Forecast price change</t>
  </si>
  <si>
    <t>Input | Forecast productivity</t>
  </si>
  <si>
    <t>Step change</t>
  </si>
  <si>
    <t>Forecast price change</t>
  </si>
  <si>
    <t>CPI</t>
  </si>
  <si>
    <t>Worksheet check:</t>
  </si>
  <si>
    <t>index</t>
  </si>
  <si>
    <t>Input | Forecast output growth</t>
  </si>
  <si>
    <t>Output measure</t>
  </si>
  <si>
    <t>Calc | Estimated final year expenditure</t>
  </si>
  <si>
    <t>Calc | Rate of change</t>
  </si>
  <si>
    <t>Growth rate</t>
  </si>
  <si>
    <t>Efficiency adjustment</t>
  </si>
  <si>
    <t>Calc | Step changes</t>
  </si>
  <si>
    <t>Calc | Total forecast operating expenditure</t>
  </si>
  <si>
    <t>Inputs|Reported opex</t>
  </si>
  <si>
    <t>Input | General inputs</t>
  </si>
  <si>
    <t>Inputs</t>
  </si>
  <si>
    <t>AER opex model</t>
  </si>
  <si>
    <t>ABS</t>
  </si>
  <si>
    <t>Inputs inflation data.</t>
  </si>
  <si>
    <t>Index value, new base</t>
  </si>
  <si>
    <t>calculated</t>
  </si>
  <si>
    <t>CPI indexes (real to real)</t>
  </si>
  <si>
    <t>nominal</t>
  </si>
  <si>
    <t>external</t>
  </si>
  <si>
    <t>Forecast productivity change</t>
  </si>
  <si>
    <t>Step changes</t>
  </si>
  <si>
    <t>Calc | Opex forecast</t>
  </si>
  <si>
    <t>Estimated final year opex</t>
  </si>
  <si>
    <t>Forecast output change</t>
  </si>
  <si>
    <t>Base</t>
  </si>
  <si>
    <t>Total forecast opex, excluding debt raising costs</t>
  </si>
  <si>
    <t>Total forecast opex, including debt raising costs</t>
  </si>
  <si>
    <t>Category specific forecasts</t>
  </si>
  <si>
    <t>Expenditure related to category specific forecasts</t>
  </si>
  <si>
    <t>Input | Adjustments</t>
  </si>
  <si>
    <t>Adjustment</t>
  </si>
  <si>
    <t>Adjustment 4</t>
  </si>
  <si>
    <t>Adjustment 5</t>
  </si>
  <si>
    <t>Input | Category specifc forecasts</t>
  </si>
  <si>
    <t>Network support costs</t>
  </si>
  <si>
    <t>Calc | Category specific forecasts</t>
  </si>
  <si>
    <t>Total category specific forecasts</t>
  </si>
  <si>
    <t>WPI - DAE</t>
  </si>
  <si>
    <t>Year ending</t>
  </si>
  <si>
    <t>Months</t>
  </si>
  <si>
    <t>month 1</t>
  </si>
  <si>
    <t>month 2</t>
  </si>
  <si>
    <t>month 3</t>
  </si>
  <si>
    <t>month 4</t>
  </si>
  <si>
    <t>month 5</t>
  </si>
  <si>
    <t>month 6</t>
  </si>
  <si>
    <t>month 7</t>
  </si>
  <si>
    <t>month 8</t>
  </si>
  <si>
    <t>month 9</t>
  </si>
  <si>
    <t>month 10</t>
  </si>
  <si>
    <t>month 11</t>
  </si>
  <si>
    <t>month 12</t>
  </si>
  <si>
    <t>Percentage Change from Corresponding Quarter of Previous Year</t>
  </si>
  <si>
    <t>Total forecast opex, excluding category specific forecasts</t>
  </si>
  <si>
    <t>Decision stage</t>
  </si>
  <si>
    <t>draft</t>
  </si>
  <si>
    <t>Reported base year opex</t>
  </si>
  <si>
    <t>Forecast rate of change, year-on-year</t>
  </si>
  <si>
    <t>Forecast rate of change, cumulative</t>
  </si>
  <si>
    <t>Previous period year 1</t>
  </si>
  <si>
    <t>Previous period year 2</t>
  </si>
  <si>
    <t>Previous period year 3</t>
  </si>
  <si>
    <t>Previous period year 4</t>
  </si>
  <si>
    <t>Previous period year 5</t>
  </si>
  <si>
    <t>Forecast period year 1</t>
  </si>
  <si>
    <t>Forecast period year 2</t>
  </si>
  <si>
    <t>Forecast period year 3</t>
  </si>
  <si>
    <t>Forecast period year 4</t>
  </si>
  <si>
    <t>Forecast period year 5</t>
  </si>
  <si>
    <t>Previous regulatory control period, first year</t>
  </si>
  <si>
    <t>Previous regulatory control period, last year</t>
  </si>
  <si>
    <t>Regulatory years</t>
  </si>
  <si>
    <t>Year</t>
  </si>
  <si>
    <t>Year Ending</t>
  </si>
  <si>
    <t>Financial Year</t>
  </si>
  <si>
    <t>Calendar Year</t>
  </si>
  <si>
    <t>Add estimated change in opex between the base year and the final year</t>
  </si>
  <si>
    <t>Total opex, categories forecast specifically</t>
  </si>
  <si>
    <t>Add back non-recurrent efficiency gains in the base year</t>
  </si>
  <si>
    <t>Allowances related to category specific forecasts</t>
  </si>
  <si>
    <t>Reported opex, total</t>
  </si>
  <si>
    <t>Base year opex allowance, total</t>
  </si>
  <si>
    <t>Final year opex allowance, total</t>
  </si>
  <si>
    <t>Reported opex, category specific forecasts</t>
  </si>
  <si>
    <t>Base year opex allowance, category specific forecasts</t>
  </si>
  <si>
    <t>Final year opex allowance, category specific forecasts</t>
  </si>
  <si>
    <t>Remove estimated final year opex for categories forecast specifically</t>
  </si>
  <si>
    <t>Adjusted final year opex</t>
  </si>
  <si>
    <t>Calculates the opex forecast</t>
  </si>
  <si>
    <t>Outputs the forecasts needed as a post tax revenue model inputs</t>
  </si>
  <si>
    <t>AER PTRM in the previous regulatory period.</t>
  </si>
  <si>
    <t>Annual RIN for each year and/or reset RIN.</t>
  </si>
  <si>
    <t>Customer numbers (#)</t>
  </si>
  <si>
    <t>Circuit Length (km)</t>
  </si>
  <si>
    <t>Ratcheted Maximum Demand (MW)</t>
  </si>
  <si>
    <t>Energy throughput (GWh)</t>
  </si>
  <si>
    <t>Output weights</t>
  </si>
  <si>
    <t>SFA CD</t>
  </si>
  <si>
    <t>LSE CD</t>
  </si>
  <si>
    <t>LSE TLG</t>
  </si>
  <si>
    <t>MPFP</t>
  </si>
  <si>
    <t>Forecast output growth</t>
  </si>
  <si>
    <t>These inputs should be entered as positive values.</t>
  </si>
  <si>
    <t>Total opex to be trended</t>
  </si>
  <si>
    <t>Non-recurrent efficiency gain in the base year</t>
  </si>
  <si>
    <t>These inputs should be entered as reported.</t>
  </si>
  <si>
    <t>Categories of opex to be excluded from forecast opex (excluding category specific forecasts)</t>
  </si>
  <si>
    <t>Option 1</t>
  </si>
  <si>
    <t>Option 2</t>
  </si>
  <si>
    <t>Final</t>
  </si>
  <si>
    <t>Energex</t>
  </si>
  <si>
    <t>Cost allocation method adjustment</t>
  </si>
  <si>
    <t>Service classification adjustment</t>
  </si>
  <si>
    <t>WPI - BIS</t>
  </si>
  <si>
    <t>WPI - average of DAE and BIS</t>
  </si>
  <si>
    <t xml:space="preserve">Interpolated </t>
  </si>
  <si>
    <t>https://www.abs.gov.au/AUSSTATS/abs@.nsf/DetailsPage/6401.0Jun%202019?OpenDocument</t>
  </si>
  <si>
    <t>RBA Statement on Monetary Policy inflation forecast,  August 2019, Forecast Table - August 2019</t>
  </si>
  <si>
    <t>https://www.rba.gov.au/publications/smp/2019/aug/pdf/forecast-table-2019-08.pdf</t>
  </si>
  <si>
    <t>Adjustment 3</t>
  </si>
  <si>
    <t>Movement in Provisions</t>
  </si>
  <si>
    <t>DIMIA</t>
  </si>
  <si>
    <t>Business Benefits - Property</t>
  </si>
  <si>
    <t>Business Benefits - 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</si>
</sst>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7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  <numFmt numFmtId="165" formatCode="dd\-mmm"/>
    <numFmt numFmtId="166" formatCode="dd/mmm"/>
    <numFmt numFmtId="167" formatCode="_(#,##0_);\(#,##0\);_(&quot;-&quot;_)"/>
    <numFmt numFmtId="168" formatCode="_(#,##0.00%_);\(#,##0.00%\);_(&quot;-&quot;_)"/>
    <numFmt numFmtId="169" formatCode="_(#,##0.000_);\(#,##0.000\);_(&quot;-&quot;_)"/>
    <numFmt numFmtId="170" formatCode="_(#,##0.00_);\(#,##0.00\);_(&quot;-&quot;_)"/>
    <numFmt numFmtId="171" formatCode="[$-C09]dd\-mmm\-yy;@"/>
    <numFmt numFmtId="172" formatCode="_-* #,##0.0000_-;\-* #,##0.0000_-;_-* &quot;-&quot;??_-;_-@_-"/>
    <numFmt numFmtId="173" formatCode="_(#,##0.0000_);\(#,##0.0000\);_(&quot;-&quot;_)"/>
    <numFmt numFmtId="174" formatCode="_-* #,##0.00_-;[Red]\(#,##0.00\)_-;_-* &quot;-&quot;??_-;_-@_-"/>
    <numFmt numFmtId="175" formatCode="_(* #,##0_);_(* \(#,##0\);_(* &quot;-&quot;_);_(@_)"/>
    <numFmt numFmtId="176" formatCode="_(* #,##0.00_);_(* \(#,##0.00\);_(* &quot;-&quot;??_);_(@_)"/>
    <numFmt numFmtId="177" formatCode="mm/dd/yy"/>
    <numFmt numFmtId="178" formatCode="_([$€-2]* #,##0.00_);_([$€-2]* \(#,##0.00\);_([$€-2]* &quot;-&quot;??_)"/>
    <numFmt numFmtId="179" formatCode="0_);[Red]\(0\)"/>
    <numFmt numFmtId="180" formatCode="0.0%"/>
    <numFmt numFmtId="181" formatCode="_(* #,##0_);_(* \(#,##0\);_(* &quot;-&quot;?_);_(@_)"/>
    <numFmt numFmtId="182" formatCode="#,##0.0_);\(#,##0.0\)"/>
    <numFmt numFmtId="183" formatCode="#,##0_ ;\-#,##0\ "/>
    <numFmt numFmtId="184" formatCode="#,##0;[Red]\(#,##0.0\)"/>
    <numFmt numFmtId="185" formatCode="#,##0_ ;[Red]\(#,##0\)\ "/>
    <numFmt numFmtId="186" formatCode="#,##0.00;\(#,##0.00\)"/>
    <numFmt numFmtId="187" formatCode="_)d\-mmm\-yy_)"/>
    <numFmt numFmtId="188" formatCode="_(#,##0.0_);\(#,##0.0\);_(&quot;-&quot;_)"/>
    <numFmt numFmtId="189" formatCode="_(###0_);\(###0\);_(###0_)"/>
    <numFmt numFmtId="190" formatCode="#,##0.0000_);[Red]\(#,##0.0000\)"/>
    <numFmt numFmtId="191" formatCode="0.0"/>
    <numFmt numFmtId="192" formatCode=";;_(&quot;-&quot;_)"/>
    <numFmt numFmtId="193" formatCode="_-* #,##0.0_-;\-* #,##0.0_-;_-* &quot;-&quot;??_-;_-@_-"/>
    <numFmt numFmtId="194" formatCode="0.00;\-0.00;_(&quot;-&quot;_)"/>
    <numFmt numFmtId="195" formatCode="[$-C09]mmm\-yyyy;@"/>
    <numFmt numFmtId="196" formatCode="_-* #\ ##0.00_-;\-* #\ ##0.00_-;_-* &quot;-&quot;??_-;_-@_-"/>
    <numFmt numFmtId="197" formatCode="_(#\ ##0.00_);\(#\ ##0.00\);_(&quot;-&quot;_)"/>
    <numFmt numFmtId="198" formatCode="#\ ##0.00_ ;\-#\ ##0.00\ ;&quot;-&quot;"/>
    <numFmt numFmtId="199" formatCode="#\ ##0.00;\-#\ ##0.00;&quot;-&quot;"/>
    <numFmt numFmtId="200" formatCode="&quot;Warning&quot;;&quot;Warning&quot;;&quot;OK&quot;"/>
    <numFmt numFmtId="201" formatCode="_-* ##\ ##0.00_-;\-* ##\ ##0.00_-;_-* &quot;-&quot;??_-;_-@_-"/>
    <numFmt numFmtId="202" formatCode="mmmm"/>
    <numFmt numFmtId="203" formatCode="mmm\ yyyy"/>
    <numFmt numFmtId="204" formatCode="0.00_ ;\-0.00\ "/>
    <numFmt numFmtId="205" formatCode="0_ ;\-0\ "/>
    <numFmt numFmtId="206" formatCode="_-* #,##0.000_-;\-* #,##0.000_-;_-* &quot;-&quot;??_-;_-@_-"/>
  </numFmts>
  <fonts count="93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Arial"/>
      <family val="2"/>
    </font>
    <font>
      <sz val="8"/>
      <color indexed="8"/>
      <name val="Arial"/>
      <family val="2"/>
    </font>
    <font>
      <i/>
      <sz val="8"/>
      <color indexed="8"/>
      <name val="Arial"/>
      <family val="2"/>
    </font>
    <font>
      <b/>
      <sz val="8"/>
      <color indexed="8"/>
      <name val="Arial"/>
      <family val="2"/>
    </font>
    <font>
      <i/>
      <u/>
      <sz val="10"/>
      <color indexed="12"/>
      <name val="Calibri"/>
      <family val="2"/>
    </font>
    <font>
      <b/>
      <sz val="8"/>
      <color indexed="9"/>
      <name val="Arial"/>
      <family val="2"/>
    </font>
    <font>
      <b/>
      <i/>
      <sz val="8"/>
      <color indexed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8"/>
      <color theme="10"/>
      <name val="Arial"/>
      <family val="2"/>
    </font>
    <font>
      <sz val="8"/>
      <name val="Arial"/>
      <family val="2"/>
    </font>
    <font>
      <sz val="11"/>
      <color indexed="8"/>
      <name val="Arial"/>
      <family val="2"/>
    </font>
    <font>
      <i/>
      <u/>
      <sz val="8"/>
      <color theme="10"/>
      <name val="Arial"/>
      <family val="2"/>
    </font>
    <font>
      <b/>
      <i/>
      <sz val="8"/>
      <color indexed="8"/>
      <name val="Arial"/>
      <family val="2"/>
    </font>
    <font>
      <b/>
      <i/>
      <sz val="8"/>
      <name val="Arial"/>
      <family val="2"/>
    </font>
    <font>
      <sz val="8"/>
      <color rgb="FFFF000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8"/>
      <color theme="1"/>
      <name val="Arial"/>
      <family val="2"/>
    </font>
    <font>
      <b/>
      <sz val="10"/>
      <name val="Arial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sz val="11"/>
      <color theme="1"/>
      <name val="Calibri"/>
      <family val="2"/>
      <scheme val="minor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b/>
      <sz val="12"/>
      <color theme="1"/>
      <name val="Arial"/>
      <family val="2"/>
    </font>
    <font>
      <u/>
      <sz val="8"/>
      <color theme="1"/>
      <name val="Arial"/>
      <family val="2"/>
    </font>
    <font>
      <i/>
      <sz val="10"/>
      <color theme="1"/>
      <name val="Arial"/>
      <family val="2"/>
    </font>
    <font>
      <b/>
      <i/>
      <sz val="8"/>
      <color theme="1"/>
      <name val="Arial"/>
      <family val="2"/>
    </font>
    <font>
      <i/>
      <sz val="8"/>
      <color theme="1"/>
      <name val="Arial"/>
      <family val="2"/>
    </font>
    <font>
      <b/>
      <sz val="13"/>
      <color indexed="9"/>
      <name val="Arial"/>
      <family val="2"/>
    </font>
    <font>
      <sz val="10"/>
      <color indexed="55"/>
      <name val="Arial"/>
      <family val="2"/>
    </font>
    <font>
      <b/>
      <sz val="10"/>
      <color theme="1"/>
      <name val="Arial"/>
      <family val="2"/>
    </font>
    <font>
      <b/>
      <sz val="13"/>
      <color theme="4" tint="-0.24994659260841701"/>
      <name val="Arial"/>
      <family val="2"/>
    </font>
    <font>
      <b/>
      <sz val="12"/>
      <color indexed="8"/>
      <name val="Arial"/>
      <family val="2"/>
    </font>
    <font>
      <u/>
      <sz val="11"/>
      <name val="Arial"/>
      <family val="2"/>
    </font>
    <font>
      <i/>
      <sz val="11"/>
      <name val="Arial"/>
      <family val="2"/>
    </font>
    <font>
      <i/>
      <sz val="10"/>
      <color theme="1" tint="0.24994659260841701"/>
      <name val="Arial"/>
      <family val="2"/>
    </font>
    <font>
      <sz val="10"/>
      <color indexed="16"/>
      <name val="Arial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1"/>
      <color indexed="9"/>
      <name val="Arial"/>
      <family val="2"/>
    </font>
    <font>
      <b/>
      <sz val="11"/>
      <color indexed="9"/>
      <name val="Arial"/>
      <family val="2"/>
    </font>
    <font>
      <sz val="10"/>
      <color theme="1"/>
      <name val="Arial"/>
      <family val="2"/>
    </font>
    <font>
      <sz val="10"/>
      <color theme="5" tint="-0.499984740745262"/>
      <name val="Arial"/>
      <family val="2"/>
    </font>
    <font>
      <b/>
      <i/>
      <sz val="8"/>
      <color theme="0"/>
      <name val="Arial"/>
      <family val="2"/>
    </font>
    <font>
      <sz val="10"/>
      <name val="Arial"/>
      <family val="2"/>
    </font>
    <font>
      <b/>
      <sz val="12"/>
      <color theme="0"/>
      <name val="Calibri"/>
      <family val="2"/>
      <scheme val="minor"/>
    </font>
  </fonts>
  <fills count="5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2"/>
      </patternFill>
    </fill>
    <fill>
      <patternFill patternType="solid">
        <fgColor indexed="27"/>
        <bgColor indexed="64"/>
      </patternFill>
    </fill>
    <fill>
      <patternFill patternType="mediumGray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lightUp">
        <fgColor indexed="23"/>
        <bgColor auto="1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gray0625">
        <fgColor indexed="22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ashed">
        <color rgb="FFFF0000"/>
      </left>
      <right style="dashed">
        <color rgb="FFFF0000"/>
      </right>
      <top style="dashed">
        <color rgb="FFFF0000"/>
      </top>
      <bottom style="dashed">
        <color rgb="FFFF0000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 style="medium">
        <color indexed="9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</borders>
  <cellStyleXfs count="283">
    <xf numFmtId="0" fontId="0" fillId="0" borderId="0"/>
    <xf numFmtId="166" fontId="5" fillId="7" borderId="0" applyProtection="0"/>
    <xf numFmtId="9" fontId="12" fillId="0" borderId="0" applyFont="0" applyFill="0" applyBorder="0" applyAlignment="0" applyProtection="0"/>
    <xf numFmtId="0" fontId="13" fillId="0" borderId="0" applyNumberFormat="0" applyFill="0" applyBorder="0" applyAlignment="0" applyProtection="0"/>
    <xf numFmtId="9" fontId="15" fillId="0" borderId="0" applyFont="0" applyFill="0" applyBorder="0" applyAlignment="0" applyProtection="0"/>
    <xf numFmtId="167" fontId="14" fillId="0" borderId="5">
      <alignment horizontal="right" vertical="center"/>
      <protection locked="0"/>
    </xf>
    <xf numFmtId="43" fontId="12" fillId="0" borderId="0" applyFont="0" applyFill="0" applyBorder="0" applyAlignment="0" applyProtection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74" fontId="14" fillId="0" borderId="0"/>
    <xf numFmtId="174" fontId="14" fillId="0" borderId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4" fillId="18" borderId="0" applyNumberFormat="0" applyBorder="0" applyAlignment="0" applyProtection="0"/>
    <xf numFmtId="0" fontId="24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4" fillId="22" borderId="0" applyNumberFormat="0" applyBorder="0" applyAlignment="0" applyProtection="0"/>
    <xf numFmtId="0" fontId="24" fillId="23" borderId="0" applyNumberFormat="0" applyBorder="0" applyAlignment="0" applyProtection="0"/>
    <xf numFmtId="0" fontId="20" fillId="20" borderId="0" applyNumberFormat="0" applyBorder="0" applyAlignment="0" applyProtection="0"/>
    <xf numFmtId="0" fontId="20" fillId="24" borderId="0" applyNumberFormat="0" applyBorder="0" applyAlignment="0" applyProtection="0"/>
    <xf numFmtId="0" fontId="24" fillId="21" borderId="0" applyNumberFormat="0" applyBorder="0" applyAlignment="0" applyProtection="0"/>
    <xf numFmtId="0" fontId="24" fillId="25" borderId="0" applyNumberFormat="0" applyBorder="0" applyAlignment="0" applyProtection="0"/>
    <xf numFmtId="0" fontId="20" fillId="17" borderId="0" applyNumberFormat="0" applyBorder="0" applyAlignment="0" applyProtection="0"/>
    <xf numFmtId="0" fontId="20" fillId="21" borderId="0" applyNumberFormat="0" applyBorder="0" applyAlignment="0" applyProtection="0"/>
    <xf numFmtId="0" fontId="24" fillId="21" borderId="0" applyNumberFormat="0" applyBorder="0" applyAlignment="0" applyProtection="0"/>
    <xf numFmtId="0" fontId="24" fillId="26" borderId="0" applyNumberFormat="0" applyBorder="0" applyAlignment="0" applyProtection="0"/>
    <xf numFmtId="0" fontId="20" fillId="27" borderId="0" applyNumberFormat="0" applyBorder="0" applyAlignment="0" applyProtection="0"/>
    <xf numFmtId="0" fontId="20" fillId="17" borderId="0" applyNumberFormat="0" applyBorder="0" applyAlignment="0" applyProtection="0"/>
    <xf numFmtId="0" fontId="24" fillId="18" borderId="0" applyNumberFormat="0" applyBorder="0" applyAlignment="0" applyProtection="0"/>
    <xf numFmtId="0" fontId="24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9" borderId="0" applyNumberFormat="0" applyBorder="0" applyAlignment="0" applyProtection="0"/>
    <xf numFmtId="0" fontId="25" fillId="0" borderId="0"/>
    <xf numFmtId="42" fontId="26" fillId="0" borderId="0" applyFont="0" applyFill="0" applyBorder="0" applyAlignment="0" applyProtection="0"/>
    <xf numFmtId="0" fontId="27" fillId="30" borderId="0" applyNumberFormat="0" applyBorder="0" applyAlignment="0" applyProtection="0"/>
    <xf numFmtId="0" fontId="28" fillId="0" borderId="0" applyNumberFormat="0" applyFill="0" applyBorder="0" applyAlignment="0"/>
    <xf numFmtId="175" fontId="21" fillId="4" borderId="0" applyNumberFormat="0" applyFont="0" applyBorder="0" applyAlignment="0">
      <alignment horizontal="right"/>
    </xf>
    <xf numFmtId="175" fontId="21" fillId="4" borderId="0" applyNumberFormat="0" applyFont="0" applyBorder="0" applyAlignment="0">
      <alignment horizontal="right"/>
    </xf>
    <xf numFmtId="0" fontId="29" fillId="0" borderId="0" applyNumberFormat="0" applyFill="0" applyBorder="0" applyAlignment="0">
      <protection locked="0"/>
    </xf>
    <xf numFmtId="0" fontId="30" fillId="14" borderId="11" applyNumberFormat="0" applyAlignment="0" applyProtection="0"/>
    <xf numFmtId="0" fontId="31" fillId="31" borderId="12" applyNumberFormat="0" applyAlignment="0" applyProtection="0"/>
    <xf numFmtId="41" fontId="21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6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176" fontId="33" fillId="0" borderId="0" applyFont="0" applyFill="0" applyBorder="0" applyAlignment="0" applyProtection="0"/>
    <xf numFmtId="176" fontId="21" fillId="0" borderId="0" applyFont="0" applyFill="0" applyBorder="0" applyAlignment="0" applyProtection="0"/>
    <xf numFmtId="176" fontId="21" fillId="0" borderId="0" applyFont="0" applyFill="0" applyBorder="0" applyAlignment="0" applyProtection="0"/>
    <xf numFmtId="176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3" fontId="34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2" fontId="21" fillId="0" borderId="0" applyFont="0" applyFill="0" applyBorder="0" applyAlignment="0" applyProtection="0"/>
    <xf numFmtId="177" fontId="21" fillId="0" borderId="0" applyFont="0" applyFill="0" applyBorder="0" applyAlignment="0" applyProtection="0"/>
    <xf numFmtId="177" fontId="21" fillId="0" borderId="0" applyFont="0" applyFill="0" applyBorder="0" applyAlignment="0" applyProtection="0"/>
    <xf numFmtId="0" fontId="35" fillId="32" borderId="0" applyNumberFormat="0" applyBorder="0" applyAlignment="0" applyProtection="0"/>
    <xf numFmtId="0" fontId="35" fillId="33" borderId="0" applyNumberFormat="0" applyBorder="0" applyAlignment="0" applyProtection="0"/>
    <xf numFmtId="0" fontId="35" fillId="34" borderId="0" applyNumberFormat="0" applyBorder="0" applyAlignment="0" applyProtection="0"/>
    <xf numFmtId="178" fontId="20" fillId="0" borderId="0" applyFont="0" applyFill="0" applyBorder="0" applyAlignment="0" applyProtection="0"/>
    <xf numFmtId="0" fontId="36" fillId="0" borderId="0" applyNumberFormat="0" applyFill="0" applyBorder="0" applyAlignment="0" applyProtection="0"/>
    <xf numFmtId="179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0" fontId="37" fillId="0" borderId="0"/>
    <xf numFmtId="0" fontId="38" fillId="0" borderId="0"/>
    <xf numFmtId="0" fontId="39" fillId="35" borderId="0" applyNumberFormat="0" applyBorder="0" applyAlignment="0" applyProtection="0"/>
    <xf numFmtId="0" fontId="23" fillId="0" borderId="0" applyFill="0" applyBorder="0">
      <alignment vertical="center"/>
    </xf>
    <xf numFmtId="0" fontId="40" fillId="0" borderId="13" applyNumberFormat="0" applyFill="0" applyAlignment="0" applyProtection="0"/>
    <xf numFmtId="0" fontId="23" fillId="0" borderId="0" applyFill="0" applyBorder="0">
      <alignment vertical="center"/>
    </xf>
    <xf numFmtId="0" fontId="41" fillId="0" borderId="0" applyFill="0" applyBorder="0">
      <alignment vertical="center"/>
    </xf>
    <xf numFmtId="0" fontId="42" fillId="0" borderId="14" applyNumberFormat="0" applyFill="0" applyAlignment="0" applyProtection="0"/>
    <xf numFmtId="0" fontId="41" fillId="0" borderId="0" applyFill="0" applyBorder="0">
      <alignment vertical="center"/>
    </xf>
    <xf numFmtId="0" fontId="11" fillId="0" borderId="0" applyFill="0" applyBorder="0">
      <alignment vertical="center"/>
    </xf>
    <xf numFmtId="0" fontId="43" fillId="0" borderId="15" applyNumberFormat="0" applyFill="0" applyAlignment="0" applyProtection="0"/>
    <xf numFmtId="0" fontId="11" fillId="0" borderId="0" applyFill="0" applyBorder="0">
      <alignment vertical="center"/>
    </xf>
    <xf numFmtId="0" fontId="14" fillId="0" borderId="0" applyFill="0" applyBorder="0">
      <alignment vertical="center"/>
    </xf>
    <xf numFmtId="0" fontId="43" fillId="0" borderId="0" applyNumberFormat="0" applyFill="0" applyBorder="0" applyAlignment="0" applyProtection="0"/>
    <xf numFmtId="0" fontId="14" fillId="0" borderId="0" applyFill="0" applyBorder="0">
      <alignment vertical="center"/>
    </xf>
    <xf numFmtId="180" fontId="44" fillId="0" borderId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Fill="0" applyBorder="0">
      <alignment horizontal="center" vertical="center"/>
      <protection locked="0"/>
    </xf>
    <xf numFmtId="0" fontId="47" fillId="0" borderId="0" applyFill="0" applyBorder="0">
      <alignment horizontal="left" vertical="center"/>
      <protection locked="0"/>
    </xf>
    <xf numFmtId="0" fontId="48" fillId="12" borderId="11" applyNumberFormat="0" applyAlignment="0" applyProtection="0"/>
    <xf numFmtId="175" fontId="21" fillId="36" borderId="0" applyFont="0" applyBorder="0" applyAlignment="0">
      <alignment horizontal="right"/>
      <protection locked="0"/>
    </xf>
    <xf numFmtId="175" fontId="21" fillId="36" borderId="0" applyFont="0" applyBorder="0" applyAlignment="0">
      <alignment horizontal="right"/>
      <protection locked="0"/>
    </xf>
    <xf numFmtId="181" fontId="21" fillId="6" borderId="0" applyFont="0" applyBorder="0">
      <alignment horizontal="right"/>
      <protection locked="0"/>
    </xf>
    <xf numFmtId="181" fontId="21" fillId="6" borderId="0" applyFont="0" applyBorder="0">
      <alignment horizontal="right"/>
      <protection locked="0"/>
    </xf>
    <xf numFmtId="175" fontId="21" fillId="10" borderId="0" applyFont="0" applyBorder="0">
      <alignment horizontal="right"/>
      <protection locked="0"/>
    </xf>
    <xf numFmtId="175" fontId="21" fillId="10" borderId="0" applyFont="0" applyBorder="0">
      <alignment horizontal="right"/>
      <protection locked="0"/>
    </xf>
    <xf numFmtId="0" fontId="14" fillId="4" borderId="0"/>
    <xf numFmtId="0" fontId="49" fillId="0" borderId="16" applyNumberFormat="0" applyFill="0" applyAlignment="0" applyProtection="0"/>
    <xf numFmtId="182" fontId="50" fillId="0" borderId="0"/>
    <xf numFmtId="0" fontId="51" fillId="0" borderId="0" applyFill="0" applyBorder="0">
      <alignment horizontal="left" vertical="center"/>
    </xf>
    <xf numFmtId="0" fontId="52" fillId="15" borderId="0" applyNumberFormat="0" applyBorder="0" applyAlignment="0" applyProtection="0"/>
    <xf numFmtId="183" fontId="5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3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5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1" fillId="0" borderId="0"/>
    <xf numFmtId="0" fontId="26" fillId="0" borderId="0"/>
    <xf numFmtId="0" fontId="21" fillId="3" borderId="0"/>
    <xf numFmtId="0" fontId="54" fillId="0" borderId="0"/>
    <xf numFmtId="0" fontId="21" fillId="0" borderId="0"/>
    <xf numFmtId="0" fontId="21" fillId="0" borderId="0"/>
    <xf numFmtId="0" fontId="21" fillId="13" borderId="17" applyNumberFormat="0" applyFont="0" applyAlignment="0" applyProtection="0"/>
    <xf numFmtId="0" fontId="55" fillId="14" borderId="18" applyNumberFormat="0" applyAlignment="0" applyProtection="0"/>
    <xf numFmtId="184" fontId="21" fillId="0" borderId="0" applyFill="0" applyBorder="0"/>
    <xf numFmtId="184" fontId="21" fillId="0" borderId="0" applyFill="0" applyBorder="0"/>
    <xf numFmtId="184" fontId="21" fillId="0" borderId="0" applyFill="0" applyBorder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180" fontId="56" fillId="0" borderId="0"/>
    <xf numFmtId="0" fontId="11" fillId="0" borderId="0" applyFill="0" applyBorder="0">
      <alignment vertical="center"/>
    </xf>
    <xf numFmtId="0" fontId="32" fillId="0" borderId="0" applyNumberFormat="0" applyFont="0" applyFill="0" applyBorder="0" applyAlignment="0" applyProtection="0">
      <alignment horizontal="left"/>
    </xf>
    <xf numFmtId="15" fontId="32" fillId="0" borderId="0" applyFont="0" applyFill="0" applyBorder="0" applyAlignment="0" applyProtection="0"/>
    <xf numFmtId="4" fontId="32" fillId="0" borderId="0" applyFont="0" applyFill="0" applyBorder="0" applyAlignment="0" applyProtection="0"/>
    <xf numFmtId="185" fontId="57" fillId="0" borderId="19"/>
    <xf numFmtId="0" fontId="58" fillId="0" borderId="20">
      <alignment horizontal="center"/>
    </xf>
    <xf numFmtId="3" fontId="32" fillId="0" borderId="0" applyFont="0" applyFill="0" applyBorder="0" applyAlignment="0" applyProtection="0"/>
    <xf numFmtId="0" fontId="32" fillId="37" borderId="0" applyNumberFormat="0" applyFont="0" applyBorder="0" applyAlignment="0" applyProtection="0"/>
    <xf numFmtId="186" fontId="21" fillId="0" borderId="0"/>
    <xf numFmtId="186" fontId="21" fillId="0" borderId="0"/>
    <xf numFmtId="186" fontId="21" fillId="0" borderId="0"/>
    <xf numFmtId="187" fontId="14" fillId="0" borderId="0" applyFill="0" applyBorder="0">
      <alignment horizontal="right" vertical="center"/>
    </xf>
    <xf numFmtId="188" fontId="14" fillId="0" borderId="0" applyFill="0" applyBorder="0">
      <alignment horizontal="right" vertical="center"/>
    </xf>
    <xf numFmtId="189" fontId="14" fillId="0" borderId="0" applyFill="0" applyBorder="0">
      <alignment horizontal="right" vertical="center"/>
    </xf>
    <xf numFmtId="0" fontId="21" fillId="13" borderId="0" applyNumberFormat="0" applyFont="0" applyBorder="0" applyAlignment="0" applyProtection="0"/>
    <xf numFmtId="0" fontId="21" fillId="13" borderId="0" applyNumberFormat="0" applyFont="0" applyBorder="0" applyAlignment="0" applyProtection="0"/>
    <xf numFmtId="0" fontId="21" fillId="14" borderId="0" applyNumberFormat="0" applyFont="0" applyBorder="0" applyAlignment="0" applyProtection="0"/>
    <xf numFmtId="0" fontId="21" fillId="14" borderId="0" applyNumberFormat="0" applyFont="0" applyBorder="0" applyAlignment="0" applyProtection="0"/>
    <xf numFmtId="0" fontId="21" fillId="16" borderId="0" applyNumberFormat="0" applyFont="0" applyBorder="0" applyAlignment="0" applyProtection="0"/>
    <xf numFmtId="0" fontId="21" fillId="16" borderId="0" applyNumberFormat="0" applyFon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16" borderId="0" applyNumberFormat="0" applyFont="0" applyBorder="0" applyAlignment="0" applyProtection="0"/>
    <xf numFmtId="0" fontId="21" fillId="16" borderId="0" applyNumberFormat="0" applyFont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Border="0" applyAlignment="0" applyProtection="0"/>
    <xf numFmtId="0" fontId="21" fillId="0" borderId="0" applyNumberFormat="0" applyFont="0" applyBorder="0" applyAlignment="0" applyProtection="0"/>
    <xf numFmtId="0" fontId="59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51" fillId="0" borderId="0"/>
    <xf numFmtId="0" fontId="60" fillId="0" borderId="0"/>
    <xf numFmtId="15" fontId="21" fillId="0" borderId="0"/>
    <xf numFmtId="15" fontId="21" fillId="0" borderId="0"/>
    <xf numFmtId="15" fontId="21" fillId="0" borderId="0"/>
    <xf numFmtId="10" fontId="21" fillId="0" borderId="0"/>
    <xf numFmtId="10" fontId="21" fillId="0" borderId="0"/>
    <xf numFmtId="10" fontId="21" fillId="0" borderId="0"/>
    <xf numFmtId="0" fontId="61" fillId="9" borderId="7" applyBorder="0" applyProtection="0">
      <alignment horizontal="centerContinuous" vertical="center"/>
    </xf>
    <xf numFmtId="0" fontId="62" fillId="0" borderId="0" applyBorder="0" applyProtection="0">
      <alignment vertical="center"/>
    </xf>
    <xf numFmtId="0" fontId="63" fillId="0" borderId="0">
      <alignment horizontal="left"/>
    </xf>
    <xf numFmtId="0" fontId="63" fillId="0" borderId="10" applyFill="0" applyBorder="0" applyProtection="0">
      <alignment horizontal="left" vertical="top"/>
    </xf>
    <xf numFmtId="49" fontId="21" fillId="0" borderId="0" applyFont="0" applyFill="0" applyBorder="0" applyAlignment="0" applyProtection="0"/>
    <xf numFmtId="0" fontId="64" fillId="0" borderId="0"/>
    <xf numFmtId="49" fontId="21" fillId="0" borderId="0" applyFont="0" applyFill="0" applyBorder="0" applyAlignment="0" applyProtection="0"/>
    <xf numFmtId="0" fontId="65" fillId="0" borderId="0"/>
    <xf numFmtId="0" fontId="65" fillId="0" borderId="0"/>
    <xf numFmtId="0" fontId="64" fillId="0" borderId="0"/>
    <xf numFmtId="182" fontId="66" fillId="0" borderId="0"/>
    <xf numFmtId="0" fontId="59" fillId="0" borderId="0" applyNumberFormat="0" applyFill="0" applyBorder="0" applyAlignment="0" applyProtection="0"/>
    <xf numFmtId="0" fontId="67" fillId="0" borderId="0" applyFill="0" applyBorder="0">
      <alignment horizontal="left" vertical="center"/>
      <protection locked="0"/>
    </xf>
    <xf numFmtId="0" fontId="64" fillId="0" borderId="0"/>
    <xf numFmtId="0" fontId="68" fillId="0" borderId="0" applyFill="0" applyBorder="0">
      <alignment horizontal="left" vertical="center"/>
      <protection locked="0"/>
    </xf>
    <xf numFmtId="0" fontId="35" fillId="0" borderId="21" applyNumberFormat="0" applyFill="0" applyAlignment="0" applyProtection="0"/>
    <xf numFmtId="0" fontId="69" fillId="0" borderId="0" applyNumberFormat="0" applyFill="0" applyBorder="0" applyAlignment="0" applyProtection="0"/>
    <xf numFmtId="190" fontId="21" fillId="0" borderId="7" applyBorder="0" applyProtection="0">
      <alignment horizontal="right"/>
    </xf>
    <xf numFmtId="190" fontId="21" fillId="0" borderId="7" applyBorder="0" applyProtection="0">
      <alignment horizontal="right"/>
    </xf>
    <xf numFmtId="190" fontId="21" fillId="0" borderId="7" applyBorder="0" applyProtection="0">
      <alignment horizontal="right"/>
    </xf>
    <xf numFmtId="0" fontId="3" fillId="0" borderId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75" fillId="42" borderId="0"/>
    <xf numFmtId="200" fontId="76" fillId="0" borderId="23">
      <alignment horizontal="center"/>
    </xf>
    <xf numFmtId="0" fontId="77" fillId="43" borderId="6">
      <alignment horizontal="center" vertical="center"/>
    </xf>
    <xf numFmtId="0" fontId="21" fillId="44" borderId="11"/>
    <xf numFmtId="0" fontId="78" fillId="0" borderId="0" applyFill="0" applyBorder="0"/>
    <xf numFmtId="0" fontId="79" fillId="0" borderId="0" applyNumberFormat="0" applyFill="0"/>
    <xf numFmtId="0" fontId="80" fillId="0" borderId="0" applyFill="0"/>
    <xf numFmtId="0" fontId="81" fillId="0" borderId="0" applyFill="0"/>
    <xf numFmtId="0" fontId="82" fillId="0" borderId="0" applyFill="0"/>
    <xf numFmtId="0" fontId="75" fillId="45" borderId="0"/>
    <xf numFmtId="0" fontId="21" fillId="38" borderId="24" applyNumberFormat="0" applyFont="0" applyAlignment="0"/>
    <xf numFmtId="0" fontId="83" fillId="7" borderId="25" applyNumberFormat="0"/>
    <xf numFmtId="0" fontId="84" fillId="46" borderId="0"/>
    <xf numFmtId="0" fontId="85" fillId="46" borderId="0" applyNumberFormat="0"/>
    <xf numFmtId="0" fontId="86" fillId="46" borderId="0"/>
    <xf numFmtId="0" fontId="87" fillId="47" borderId="6" applyNumberFormat="0">
      <alignment horizontal="center" vertical="center"/>
    </xf>
    <xf numFmtId="0" fontId="88" fillId="48" borderId="11" applyNumberFormat="0" applyAlignment="0">
      <alignment horizontal="right"/>
    </xf>
    <xf numFmtId="0" fontId="23" fillId="38" borderId="24" applyNumberFormat="0" applyAlignment="0"/>
    <xf numFmtId="0" fontId="76" fillId="0" borderId="0" applyNumberFormat="0" applyFill="0" applyBorder="0"/>
    <xf numFmtId="0" fontId="89" fillId="49" borderId="24" applyNumberFormat="0">
      <protection locked="0"/>
    </xf>
    <xf numFmtId="0" fontId="9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1" fontId="21" fillId="50" borderId="0" applyFont="0" applyBorder="0" applyAlignment="0">
      <alignment horizontal="right"/>
      <protection locked="0"/>
    </xf>
    <xf numFmtId="41" fontId="21" fillId="10" borderId="0" applyFont="0" applyBorder="0">
      <alignment horizontal="right"/>
      <protection locked="0"/>
    </xf>
    <xf numFmtId="9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" fillId="0" borderId="0"/>
    <xf numFmtId="0" fontId="84" fillId="52" borderId="0">
      <alignment horizontal="left" vertical="center"/>
      <protection locked="0"/>
    </xf>
    <xf numFmtId="0" fontId="92" fillId="51" borderId="0">
      <alignment vertical="center"/>
      <protection locked="0"/>
    </xf>
    <xf numFmtId="0" fontId="21" fillId="0" borderId="0" applyFill="0"/>
    <xf numFmtId="0" fontId="9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1" fillId="0" borderId="0"/>
  </cellStyleXfs>
  <cellXfs count="234">
    <xf numFmtId="0" fontId="0" fillId="0" borderId="0" xfId="0"/>
    <xf numFmtId="0" fontId="4" fillId="2" borderId="0" xfId="0" applyFont="1" applyFill="1" applyBorder="1"/>
    <xf numFmtId="0" fontId="4" fillId="2" borderId="0" xfId="0" applyFont="1" applyFill="1" applyBorder="1" applyAlignment="1">
      <alignment horizontal="right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/>
    <xf numFmtId="0" fontId="4" fillId="2" borderId="1" xfId="0" applyFont="1" applyFill="1" applyBorder="1"/>
    <xf numFmtId="164" fontId="5" fillId="3" borderId="0" xfId="0" applyNumberFormat="1" applyFont="1" applyFill="1"/>
    <xf numFmtId="164" fontId="6" fillId="0" borderId="0" xfId="0" applyNumberFormat="1" applyFont="1"/>
    <xf numFmtId="164" fontId="5" fillId="0" borderId="0" xfId="0" applyNumberFormat="1" applyFont="1"/>
    <xf numFmtId="164" fontId="7" fillId="0" borderId="0" xfId="0" applyNumberFormat="1" applyFont="1"/>
    <xf numFmtId="164" fontId="8" fillId="0" borderId="0" xfId="0" applyNumberFormat="1" applyFont="1" applyAlignment="1" applyProtection="1"/>
    <xf numFmtId="0" fontId="5" fillId="5" borderId="0" xfId="0" applyFont="1" applyFill="1" applyBorder="1"/>
    <xf numFmtId="0" fontId="5" fillId="6" borderId="0" xfId="0" applyFont="1" applyFill="1" applyBorder="1"/>
    <xf numFmtId="164" fontId="11" fillId="0" borderId="0" xfId="0" applyNumberFormat="1" applyFont="1"/>
    <xf numFmtId="164" fontId="7" fillId="0" borderId="0" xfId="0" applyNumberFormat="1" applyFont="1" applyAlignment="1">
      <alignment horizontal="center"/>
    </xf>
    <xf numFmtId="164" fontId="5" fillId="0" borderId="0" xfId="0" applyNumberFormat="1" applyFont="1" applyAlignment="1">
      <alignment horizontal="left" indent="1"/>
    </xf>
    <xf numFmtId="164" fontId="6" fillId="0" borderId="0" xfId="0" applyNumberFormat="1" applyFont="1" applyAlignment="1">
      <alignment horizontal="center"/>
    </xf>
    <xf numFmtId="164" fontId="0" fillId="0" borderId="0" xfId="0" applyNumberFormat="1"/>
    <xf numFmtId="43" fontId="11" fillId="0" borderId="6" xfId="0" applyNumberFormat="1" applyFont="1" applyBorder="1" applyAlignment="1">
      <alignment horizontal="center"/>
    </xf>
    <xf numFmtId="164" fontId="16" fillId="0" borderId="0" xfId="3" applyNumberFormat="1" applyFont="1" applyAlignment="1" applyProtection="1"/>
    <xf numFmtId="164" fontId="6" fillId="3" borderId="0" xfId="0" applyNumberFormat="1" applyFont="1" applyFill="1"/>
    <xf numFmtId="164" fontId="17" fillId="0" borderId="0" xfId="0" applyNumberFormat="1" applyFont="1" applyAlignment="1">
      <alignment horizontal="center"/>
    </xf>
    <xf numFmtId="169" fontId="14" fillId="0" borderId="0" xfId="5" applyNumberFormat="1" applyFont="1" applyFill="1" applyBorder="1" applyAlignment="1" applyProtection="1">
      <alignment horizontal="center" vertical="center"/>
    </xf>
    <xf numFmtId="170" fontId="11" fillId="0" borderId="0" xfId="5" applyNumberFormat="1" applyFont="1" applyFill="1" applyBorder="1" applyAlignment="1" applyProtection="1">
      <alignment horizontal="center" vertical="center"/>
    </xf>
    <xf numFmtId="170" fontId="19" fillId="0" borderId="0" xfId="5" applyNumberFormat="1" applyFont="1" applyFill="1" applyBorder="1" applyAlignment="1" applyProtection="1">
      <alignment horizontal="center" vertical="center"/>
    </xf>
    <xf numFmtId="171" fontId="5" fillId="0" borderId="0" xfId="0" applyNumberFormat="1" applyFont="1"/>
    <xf numFmtId="173" fontId="14" fillId="0" borderId="0" xfId="5" applyNumberFormat="1" applyFont="1" applyFill="1" applyBorder="1" applyAlignment="1" applyProtection="1">
      <alignment horizontal="center" vertical="center"/>
    </xf>
    <xf numFmtId="164" fontId="5" fillId="3" borderId="0" xfId="0" applyNumberFormat="1" applyFont="1" applyFill="1" applyProtection="1"/>
    <xf numFmtId="164" fontId="6" fillId="3" borderId="0" xfId="0" applyNumberFormat="1" applyFont="1" applyFill="1" applyAlignment="1" applyProtection="1">
      <alignment horizontal="center"/>
    </xf>
    <xf numFmtId="164" fontId="5" fillId="0" borderId="0" xfId="0" applyNumberFormat="1" applyFont="1" applyProtection="1"/>
    <xf numFmtId="164" fontId="6" fillId="0" borderId="0" xfId="0" applyNumberFormat="1" applyFont="1" applyAlignment="1" applyProtection="1">
      <alignment horizontal="center"/>
    </xf>
    <xf numFmtId="164" fontId="11" fillId="0" borderId="0" xfId="0" applyNumberFormat="1" applyFont="1" applyProtection="1"/>
    <xf numFmtId="164" fontId="17" fillId="0" borderId="0" xfId="0" applyNumberFormat="1" applyFont="1" applyAlignment="1" applyProtection="1">
      <alignment horizontal="center"/>
    </xf>
    <xf numFmtId="164" fontId="7" fillId="0" borderId="0" xfId="0" applyNumberFormat="1" applyFont="1" applyAlignment="1" applyProtection="1">
      <alignment horizontal="center"/>
    </xf>
    <xf numFmtId="164" fontId="16" fillId="0" borderId="0" xfId="3" applyNumberFormat="1" applyFont="1" applyAlignment="1" applyProtection="1">
      <alignment horizontal="center"/>
    </xf>
    <xf numFmtId="0" fontId="70" fillId="38" borderId="0" xfId="0" applyFont="1" applyFill="1" applyBorder="1" applyAlignment="1">
      <alignment horizontal="left" vertical="center"/>
    </xf>
    <xf numFmtId="0" fontId="70" fillId="38" borderId="0" xfId="0" applyFont="1" applyFill="1" applyBorder="1" applyAlignment="1">
      <alignment horizontal="left" indent="9"/>
    </xf>
    <xf numFmtId="0" fontId="71" fillId="38" borderId="0" xfId="0" applyFont="1" applyFill="1" applyBorder="1" applyAlignment="1" applyProtection="1"/>
    <xf numFmtId="0" fontId="0" fillId="38" borderId="0" xfId="0" applyFont="1" applyFill="1" applyBorder="1"/>
    <xf numFmtId="0" fontId="0" fillId="38" borderId="0" xfId="0" applyFont="1" applyFill="1" applyBorder="1" applyAlignment="1">
      <alignment horizontal="right"/>
    </xf>
    <xf numFmtId="43" fontId="22" fillId="38" borderId="0" xfId="0" applyNumberFormat="1" applyFont="1" applyFill="1" applyBorder="1" applyAlignment="1">
      <alignment horizontal="center"/>
    </xf>
    <xf numFmtId="0" fontId="72" fillId="38" borderId="1" xfId="0" applyFont="1" applyFill="1" applyBorder="1" applyAlignment="1">
      <alignment horizontal="left"/>
    </xf>
    <xf numFmtId="0" fontId="0" fillId="38" borderId="1" xfId="0" applyFont="1" applyFill="1" applyBorder="1"/>
    <xf numFmtId="0" fontId="0" fillId="39" borderId="4" xfId="0" applyFill="1" applyBorder="1"/>
    <xf numFmtId="0" fontId="23" fillId="39" borderId="4" xfId="0" applyFont="1" applyFill="1" applyBorder="1" applyAlignment="1">
      <alignment vertical="center"/>
    </xf>
    <xf numFmtId="0" fontId="0" fillId="39" borderId="4" xfId="0" applyFill="1" applyBorder="1" applyAlignment="1">
      <alignment wrapText="1"/>
    </xf>
    <xf numFmtId="44" fontId="23" fillId="39" borderId="4" xfId="0" applyNumberFormat="1" applyFont="1" applyFill="1" applyBorder="1" applyAlignment="1">
      <alignment horizontal="center" wrapText="1"/>
    </xf>
    <xf numFmtId="0" fontId="0" fillId="3" borderId="0" xfId="0" applyFill="1" applyBorder="1" applyAlignment="1">
      <alignment wrapText="1"/>
    </xf>
    <xf numFmtId="0" fontId="0" fillId="3" borderId="0" xfId="0" applyFill="1" applyAlignment="1">
      <alignment wrapText="1"/>
    </xf>
    <xf numFmtId="0" fontId="0" fillId="3" borderId="0" xfId="0" applyFill="1"/>
    <xf numFmtId="0" fontId="0" fillId="0" borderId="0" xfId="0" applyFill="1"/>
    <xf numFmtId="0" fontId="22" fillId="39" borderId="4" xfId="0" applyFont="1" applyFill="1" applyBorder="1"/>
    <xf numFmtId="165" fontId="5" fillId="41" borderId="3" xfId="0" applyNumberFormat="1" applyFont="1" applyFill="1" applyBorder="1" applyAlignment="1" applyProtection="1">
      <alignment horizontal="center"/>
      <protection locked="0"/>
    </xf>
    <xf numFmtId="0" fontId="72" fillId="38" borderId="0" xfId="0" applyFont="1" applyFill="1" applyBorder="1" applyAlignment="1">
      <alignment horizontal="left"/>
    </xf>
    <xf numFmtId="0" fontId="72" fillId="38" borderId="0" xfId="0" applyFont="1" applyFill="1" applyBorder="1" applyAlignment="1">
      <alignment horizontal="left" indent="9"/>
    </xf>
    <xf numFmtId="0" fontId="0" fillId="3" borderId="8" xfId="0" applyFill="1" applyBorder="1" applyAlignment="1">
      <alignment wrapText="1"/>
    </xf>
    <xf numFmtId="0" fontId="0" fillId="3" borderId="8" xfId="0" applyFill="1" applyBorder="1"/>
    <xf numFmtId="0" fontId="0" fillId="0" borderId="8" xfId="0" applyFill="1" applyBorder="1"/>
    <xf numFmtId="0" fontId="0" fillId="0" borderId="8" xfId="0" applyBorder="1"/>
    <xf numFmtId="0" fontId="5" fillId="40" borderId="0" xfId="0" applyFont="1" applyFill="1" applyBorder="1" applyAlignment="1">
      <alignment horizontal="center"/>
    </xf>
    <xf numFmtId="10" fontId="5" fillId="41" borderId="3" xfId="2" applyNumberFormat="1" applyFont="1" applyFill="1" applyBorder="1" applyAlignment="1" applyProtection="1">
      <alignment horizontal="center"/>
      <protection locked="0"/>
    </xf>
    <xf numFmtId="49" fontId="5" fillId="41" borderId="3" xfId="0" applyNumberFormat="1" applyFont="1" applyFill="1" applyBorder="1" applyAlignment="1" applyProtection="1">
      <alignment horizontal="left" indent="1"/>
      <protection locked="0"/>
    </xf>
    <xf numFmtId="164" fontId="17" fillId="0" borderId="0" xfId="0" applyNumberFormat="1" applyFont="1" applyAlignment="1" applyProtection="1">
      <alignment horizontal="center" wrapText="1"/>
    </xf>
    <xf numFmtId="191" fontId="5" fillId="41" borderId="3" xfId="0" applyNumberFormat="1" applyFont="1" applyFill="1" applyBorder="1" applyAlignment="1" applyProtection="1">
      <alignment horizontal="center"/>
      <protection locked="0"/>
    </xf>
    <xf numFmtId="195" fontId="5" fillId="0" borderId="0" xfId="0" applyNumberFormat="1" applyFont="1" applyAlignment="1" applyProtection="1">
      <alignment horizontal="left"/>
    </xf>
    <xf numFmtId="193" fontId="5" fillId="0" borderId="0" xfId="0" applyNumberFormat="1" applyFont="1" applyProtection="1"/>
    <xf numFmtId="164" fontId="6" fillId="0" borderId="0" xfId="0" applyNumberFormat="1" applyFont="1" applyAlignment="1" applyProtection="1">
      <alignment horizontal="center" wrapText="1"/>
    </xf>
    <xf numFmtId="164" fontId="7" fillId="0" borderId="0" xfId="0" applyNumberFormat="1" applyFont="1" applyProtection="1"/>
    <xf numFmtId="164" fontId="18" fillId="40" borderId="9" xfId="0" applyNumberFormat="1" applyFont="1" applyFill="1" applyBorder="1" applyAlignment="1" applyProtection="1">
      <alignment horizontal="center"/>
      <protection locked="0"/>
    </xf>
    <xf numFmtId="0" fontId="0" fillId="38" borderId="0" xfId="0" applyFont="1" applyFill="1" applyBorder="1" applyProtection="1"/>
    <xf numFmtId="0" fontId="70" fillId="38" borderId="0" xfId="0" applyFont="1" applyFill="1" applyBorder="1" applyAlignment="1" applyProtection="1">
      <alignment horizontal="left" vertical="center"/>
    </xf>
    <xf numFmtId="0" fontId="70" fillId="38" borderId="0" xfId="0" applyFont="1" applyFill="1" applyBorder="1" applyAlignment="1" applyProtection="1">
      <alignment horizontal="left" indent="9"/>
    </xf>
    <xf numFmtId="0" fontId="0" fillId="38" borderId="0" xfId="0" applyFont="1" applyFill="1" applyBorder="1" applyAlignment="1" applyProtection="1">
      <alignment horizontal="right"/>
    </xf>
    <xf numFmtId="0" fontId="5" fillId="40" borderId="0" xfId="0" applyFont="1" applyFill="1" applyBorder="1" applyAlignment="1" applyProtection="1">
      <alignment horizontal="center"/>
    </xf>
    <xf numFmtId="0" fontId="5" fillId="5" borderId="0" xfId="0" applyFont="1" applyFill="1" applyBorder="1" applyProtection="1"/>
    <xf numFmtId="0" fontId="5" fillId="6" borderId="0" xfId="0" applyFont="1" applyFill="1" applyBorder="1" applyProtection="1"/>
    <xf numFmtId="43" fontId="22" fillId="38" borderId="0" xfId="0" applyNumberFormat="1" applyFont="1" applyFill="1" applyBorder="1" applyAlignment="1" applyProtection="1">
      <alignment horizontal="center"/>
    </xf>
    <xf numFmtId="0" fontId="0" fillId="38" borderId="1" xfId="0" applyFont="1" applyFill="1" applyBorder="1" applyProtection="1"/>
    <xf numFmtId="0" fontId="72" fillId="38" borderId="1" xfId="0" applyFont="1" applyFill="1" applyBorder="1" applyAlignment="1" applyProtection="1">
      <alignment horizontal="left"/>
    </xf>
    <xf numFmtId="0" fontId="72" fillId="38" borderId="1" xfId="0" applyFont="1" applyFill="1" applyBorder="1" applyAlignment="1" applyProtection="1">
      <alignment horizontal="left" indent="9"/>
    </xf>
    <xf numFmtId="0" fontId="22" fillId="38" borderId="2" xfId="0" applyNumberFormat="1" applyFont="1" applyFill="1" applyBorder="1" applyProtection="1"/>
    <xf numFmtId="0" fontId="22" fillId="38" borderId="2" xfId="0" applyFont="1" applyFill="1" applyBorder="1" applyProtection="1"/>
    <xf numFmtId="0" fontId="73" fillId="38" borderId="2" xfId="0" applyNumberFormat="1" applyFont="1" applyFill="1" applyBorder="1" applyProtection="1"/>
    <xf numFmtId="0" fontId="73" fillId="39" borderId="4" xfId="0" applyFont="1" applyFill="1" applyBorder="1" applyProtection="1"/>
    <xf numFmtId="0" fontId="73" fillId="39" borderId="4" xfId="0" applyFont="1" applyFill="1" applyBorder="1" applyAlignment="1" applyProtection="1">
      <alignment horizontal="center"/>
    </xf>
    <xf numFmtId="0" fontId="18" fillId="39" borderId="4" xfId="0" applyFont="1" applyFill="1" applyBorder="1" applyAlignment="1" applyProtection="1">
      <alignment horizontal="center" vertical="center"/>
    </xf>
    <xf numFmtId="0" fontId="18" fillId="39" borderId="4" xfId="0" applyFont="1" applyFill="1" applyBorder="1" applyAlignment="1" applyProtection="1">
      <alignment vertical="center"/>
    </xf>
    <xf numFmtId="0" fontId="73" fillId="39" borderId="4" xfId="0" applyFont="1" applyFill="1" applyBorder="1" applyAlignment="1" applyProtection="1">
      <alignment wrapText="1"/>
    </xf>
    <xf numFmtId="44" fontId="18" fillId="39" borderId="4" xfId="0" applyNumberFormat="1" applyFont="1" applyFill="1" applyBorder="1" applyAlignment="1" applyProtection="1">
      <alignment horizontal="center" wrapText="1"/>
    </xf>
    <xf numFmtId="0" fontId="73" fillId="3" borderId="0" xfId="0" applyFont="1" applyFill="1" applyBorder="1" applyAlignment="1" applyProtection="1">
      <alignment wrapText="1"/>
    </xf>
    <xf numFmtId="0" fontId="73" fillId="3" borderId="0" xfId="0" applyFont="1" applyFill="1" applyAlignment="1" applyProtection="1">
      <alignment wrapText="1"/>
    </xf>
    <xf numFmtId="0" fontId="73" fillId="3" borderId="0" xfId="0" applyFont="1" applyFill="1" applyProtection="1"/>
    <xf numFmtId="0" fontId="73" fillId="0" borderId="0" xfId="0" applyFont="1" applyFill="1" applyProtection="1"/>
    <xf numFmtId="0" fontId="73" fillId="0" borderId="0" xfId="0" applyFont="1" applyProtection="1"/>
    <xf numFmtId="0" fontId="0" fillId="39" borderId="4" xfId="0" applyFill="1" applyBorder="1" applyProtection="1"/>
    <xf numFmtId="0" fontId="22" fillId="39" borderId="4" xfId="0" applyFont="1" applyFill="1" applyBorder="1" applyProtection="1"/>
    <xf numFmtId="0" fontId="23" fillId="39" borderId="4" xfId="0" applyFont="1" applyFill="1" applyBorder="1" applyAlignment="1" applyProtection="1">
      <alignment vertical="center"/>
    </xf>
    <xf numFmtId="0" fontId="0" fillId="39" borderId="4" xfId="0" applyFill="1" applyBorder="1" applyAlignment="1" applyProtection="1">
      <alignment wrapText="1"/>
    </xf>
    <xf numFmtId="44" fontId="23" fillId="39" borderId="4" xfId="0" applyNumberFormat="1" applyFont="1" applyFill="1" applyBorder="1" applyAlignment="1" applyProtection="1">
      <alignment horizontal="center" wrapText="1"/>
    </xf>
    <xf numFmtId="0" fontId="0" fillId="3" borderId="0" xfId="0" applyFill="1" applyBorder="1" applyAlignment="1" applyProtection="1">
      <alignment wrapText="1"/>
    </xf>
    <xf numFmtId="0" fontId="0" fillId="3" borderId="0" xfId="0" applyFill="1" applyAlignment="1" applyProtection="1">
      <alignment wrapText="1"/>
    </xf>
    <xf numFmtId="0" fontId="0" fillId="3" borderId="0" xfId="0" applyFill="1" applyProtection="1"/>
    <xf numFmtId="0" fontId="0" fillId="0" borderId="0" xfId="0" applyFill="1" applyProtection="1"/>
    <xf numFmtId="0" fontId="0" fillId="0" borderId="0" xfId="0" applyProtection="1"/>
    <xf numFmtId="164" fontId="7" fillId="0" borderId="0" xfId="0" applyNumberFormat="1" applyFont="1" applyFill="1" applyBorder="1" applyProtection="1"/>
    <xf numFmtId="164" fontId="6" fillId="0" borderId="0" xfId="0" applyNumberFormat="1" applyFont="1" applyFill="1" applyAlignment="1" applyProtection="1">
      <alignment horizontal="center"/>
    </xf>
    <xf numFmtId="164" fontId="5" fillId="0" borderId="0" xfId="0" applyNumberFormat="1" applyFont="1" applyBorder="1" applyAlignment="1" applyProtection="1">
      <alignment horizontal="left" indent="1"/>
    </xf>
    <xf numFmtId="164" fontId="5" fillId="0" borderId="0" xfId="0" applyNumberFormat="1" applyFont="1" applyAlignment="1" applyProtection="1">
      <alignment horizontal="center"/>
    </xf>
    <xf numFmtId="164" fontId="16" fillId="0" borderId="0" xfId="3" applyNumberFormat="1" applyFont="1" applyFill="1" applyAlignment="1" applyProtection="1">
      <alignment horizontal="center"/>
    </xf>
    <xf numFmtId="196" fontId="5" fillId="0" borderId="0" xfId="0" applyNumberFormat="1" applyFont="1" applyAlignment="1" applyProtection="1">
      <alignment horizontal="center"/>
    </xf>
    <xf numFmtId="164" fontId="6" fillId="0" borderId="0" xfId="0" applyNumberFormat="1" applyFont="1" applyBorder="1" applyAlignment="1" applyProtection="1">
      <alignment horizontal="center"/>
    </xf>
    <xf numFmtId="164" fontId="5" fillId="0" borderId="0" xfId="0" applyNumberFormat="1" applyFont="1" applyAlignment="1" applyProtection="1">
      <alignment horizontal="left" indent="1"/>
    </xf>
    <xf numFmtId="164" fontId="6" fillId="0" borderId="7" xfId="0" applyNumberFormat="1" applyFont="1" applyBorder="1" applyAlignment="1" applyProtection="1">
      <alignment horizontal="center"/>
    </xf>
    <xf numFmtId="164" fontId="7" fillId="0" borderId="8" xfId="0" applyNumberFormat="1" applyFont="1" applyBorder="1" applyAlignment="1" applyProtection="1">
      <alignment horizontal="left" indent="1"/>
    </xf>
    <xf numFmtId="164" fontId="6" fillId="0" borderId="8" xfId="0" applyNumberFormat="1" applyFont="1" applyBorder="1" applyAlignment="1" applyProtection="1">
      <alignment horizontal="center"/>
    </xf>
    <xf numFmtId="196" fontId="7" fillId="0" borderId="0" xfId="0" applyNumberFormat="1" applyFont="1" applyAlignment="1" applyProtection="1">
      <alignment horizontal="center"/>
    </xf>
    <xf numFmtId="164" fontId="6" fillId="0" borderId="0" xfId="0" applyNumberFormat="1" applyFont="1" applyAlignment="1" applyProtection="1">
      <alignment horizontal="left"/>
    </xf>
    <xf numFmtId="10" fontId="5" fillId="0" borderId="0" xfId="2" applyNumberFormat="1" applyFont="1" applyAlignment="1" applyProtection="1">
      <alignment horizontal="center"/>
    </xf>
    <xf numFmtId="164" fontId="7" fillId="0" borderId="8" xfId="0" applyNumberFormat="1" applyFont="1" applyBorder="1" applyProtection="1"/>
    <xf numFmtId="172" fontId="5" fillId="0" borderId="0" xfId="0" applyNumberFormat="1" applyFont="1" applyAlignment="1" applyProtection="1">
      <alignment horizontal="center"/>
    </xf>
    <xf numFmtId="164" fontId="7" fillId="0" borderId="0" xfId="0" applyNumberFormat="1" applyFont="1" applyBorder="1" applyAlignment="1" applyProtection="1">
      <alignment horizontal="center"/>
    </xf>
    <xf numFmtId="164" fontId="5" fillId="0" borderId="0" xfId="0" applyNumberFormat="1" applyFont="1" applyFill="1" applyAlignment="1" applyProtection="1">
      <alignment horizontal="left" indent="2"/>
    </xf>
    <xf numFmtId="164" fontId="17" fillId="0" borderId="8" xfId="0" applyNumberFormat="1" applyFont="1" applyBorder="1" applyAlignment="1" applyProtection="1">
      <alignment horizontal="center"/>
    </xf>
    <xf numFmtId="164" fontId="7" fillId="0" borderId="0" xfId="0" applyNumberFormat="1" applyFont="1" applyBorder="1" applyAlignment="1" applyProtection="1">
      <alignment horizontal="left" indent="1"/>
    </xf>
    <xf numFmtId="164" fontId="7" fillId="0" borderId="0" xfId="0" applyNumberFormat="1" applyFont="1" applyBorder="1" applyProtection="1"/>
    <xf numFmtId="193" fontId="7" fillId="0" borderId="0" xfId="0" applyNumberFormat="1" applyFont="1" applyBorder="1" applyAlignment="1" applyProtection="1">
      <alignment horizontal="center"/>
    </xf>
    <xf numFmtId="164" fontId="17" fillId="0" borderId="0" xfId="0" applyNumberFormat="1" applyFont="1" applyBorder="1" applyAlignment="1" applyProtection="1">
      <alignment horizontal="center"/>
    </xf>
    <xf numFmtId="199" fontId="5" fillId="0" borderId="0" xfId="0" applyNumberFormat="1" applyFont="1" applyAlignment="1" applyProtection="1">
      <alignment horizontal="center"/>
    </xf>
    <xf numFmtId="199" fontId="7" fillId="0" borderId="0" xfId="0" applyNumberFormat="1" applyFont="1" applyAlignment="1" applyProtection="1">
      <alignment horizontal="center"/>
    </xf>
    <xf numFmtId="197" fontId="11" fillId="0" borderId="4" xfId="5" applyNumberFormat="1" applyFont="1" applyFill="1" applyBorder="1" applyAlignment="1" applyProtection="1">
      <alignment horizontal="center" vertical="center"/>
    </xf>
    <xf numFmtId="49" fontId="6" fillId="41" borderId="22" xfId="0" applyNumberFormat="1" applyFont="1" applyFill="1" applyBorder="1" applyAlignment="1" applyProtection="1">
      <alignment horizontal="center"/>
      <protection locked="0"/>
    </xf>
    <xf numFmtId="43" fontId="11" fillId="0" borderId="3" xfId="0" applyNumberFormat="1" applyFont="1" applyBorder="1" applyAlignment="1" applyProtection="1">
      <alignment horizontal="center"/>
    </xf>
    <xf numFmtId="43" fontId="11" fillId="0" borderId="0" xfId="0" applyNumberFormat="1" applyFont="1" applyBorder="1" applyAlignment="1" applyProtection="1">
      <alignment horizontal="center"/>
    </xf>
    <xf numFmtId="0" fontId="9" fillId="38" borderId="2" xfId="0" applyNumberFormat="1" applyFont="1" applyFill="1" applyBorder="1" applyProtection="1"/>
    <xf numFmtId="0" fontId="9" fillId="38" borderId="2" xfId="0" applyFont="1" applyFill="1" applyBorder="1" applyProtection="1"/>
    <xf numFmtId="0" fontId="10" fillId="38" borderId="2" xfId="0" applyNumberFormat="1" applyFont="1" applyFill="1" applyBorder="1" applyAlignment="1" applyProtection="1">
      <alignment horizontal="center"/>
    </xf>
    <xf numFmtId="0" fontId="10" fillId="38" borderId="2" xfId="0" applyNumberFormat="1" applyFont="1" applyFill="1" applyBorder="1" applyProtection="1"/>
    <xf numFmtId="164" fontId="7" fillId="0" borderId="7" xfId="0" applyNumberFormat="1" applyFont="1" applyBorder="1" applyProtection="1"/>
    <xf numFmtId="164" fontId="5" fillId="0" borderId="7" xfId="0" applyNumberFormat="1" applyFont="1" applyBorder="1" applyProtection="1"/>
    <xf numFmtId="164" fontId="7" fillId="0" borderId="4" xfId="0" applyNumberFormat="1" applyFont="1" applyBorder="1" applyAlignment="1" applyProtection="1">
      <alignment horizontal="left"/>
    </xf>
    <xf numFmtId="164" fontId="6" fillId="0" borderId="4" xfId="0" applyNumberFormat="1" applyFont="1" applyBorder="1" applyAlignment="1" applyProtection="1">
      <alignment horizontal="center"/>
    </xf>
    <xf numFmtId="43" fontId="5" fillId="0" borderId="0" xfId="0" applyNumberFormat="1" applyFont="1" applyProtection="1"/>
    <xf numFmtId="164" fontId="5" fillId="0" borderId="0" xfId="0" applyNumberFormat="1" applyFont="1" applyBorder="1" applyProtection="1"/>
    <xf numFmtId="10" fontId="5" fillId="0" borderId="0" xfId="2" applyNumberFormat="1" applyFont="1" applyBorder="1" applyAlignment="1" applyProtection="1">
      <alignment horizontal="center"/>
    </xf>
    <xf numFmtId="164" fontId="6" fillId="0" borderId="0" xfId="6" applyNumberFormat="1" applyFont="1" applyAlignment="1" applyProtection="1">
      <alignment horizontal="center"/>
    </xf>
    <xf numFmtId="168" fontId="14" fillId="0" borderId="0" xfId="2" applyNumberFormat="1" applyFont="1" applyFill="1" applyBorder="1" applyAlignment="1" applyProtection="1">
      <alignment horizontal="center" vertical="center"/>
    </xf>
    <xf numFmtId="172" fontId="5" fillId="0" borderId="0" xfId="0" applyNumberFormat="1" applyFont="1" applyProtection="1"/>
    <xf numFmtId="164" fontId="5" fillId="0" borderId="0" xfId="0" applyNumberFormat="1" applyFont="1" applyAlignment="1" applyProtection="1">
      <alignment horizontal="left"/>
    </xf>
    <xf numFmtId="192" fontId="5" fillId="8" borderId="3" xfId="0" applyNumberFormat="1" applyFont="1" applyFill="1" applyBorder="1" applyAlignment="1" applyProtection="1">
      <alignment horizontal="left" indent="1"/>
    </xf>
    <xf numFmtId="0" fontId="74" fillId="39" borderId="4" xfId="0" applyFont="1" applyFill="1" applyBorder="1" applyAlignment="1" applyProtection="1"/>
    <xf numFmtId="194" fontId="6" fillId="41" borderId="3" xfId="2" applyNumberFormat="1" applyFont="1" applyFill="1" applyBorder="1" applyAlignment="1" applyProtection="1">
      <alignment horizontal="center"/>
      <protection locked="0"/>
    </xf>
    <xf numFmtId="198" fontId="7" fillId="0" borderId="0" xfId="0" applyNumberFormat="1" applyFont="1" applyBorder="1" applyAlignment="1" applyProtection="1">
      <alignment horizontal="center"/>
    </xf>
    <xf numFmtId="164" fontId="5" fillId="0" borderId="0" xfId="0" applyNumberFormat="1" applyFont="1" applyProtection="1">
      <protection locked="0"/>
    </xf>
    <xf numFmtId="201" fontId="7" fillId="0" borderId="0" xfId="0" applyNumberFormat="1" applyFont="1" applyAlignment="1" applyProtection="1">
      <alignment horizontal="center"/>
    </xf>
    <xf numFmtId="202" fontId="5" fillId="41" borderId="3" xfId="0" applyNumberFormat="1" applyFont="1" applyFill="1" applyBorder="1" applyAlignment="1" applyProtection="1">
      <alignment horizontal="center"/>
      <protection locked="0"/>
    </xf>
    <xf numFmtId="1" fontId="5" fillId="41" borderId="3" xfId="0" applyNumberFormat="1" applyFont="1" applyFill="1" applyBorder="1" applyAlignment="1" applyProtection="1">
      <alignment horizontal="center"/>
      <protection locked="0"/>
    </xf>
    <xf numFmtId="203" fontId="73" fillId="39" borderId="4" xfId="0" applyNumberFormat="1" applyFont="1" applyFill="1" applyBorder="1" applyAlignment="1" applyProtection="1">
      <alignment horizontal="center" wrapText="1"/>
    </xf>
    <xf numFmtId="203" fontId="90" fillId="38" borderId="2" xfId="0" applyNumberFormat="1" applyFont="1" applyFill="1" applyBorder="1" applyAlignment="1" applyProtection="1">
      <alignment horizontal="center"/>
    </xf>
    <xf numFmtId="203" fontId="73" fillId="38" borderId="2" xfId="0" applyNumberFormat="1" applyFont="1" applyFill="1" applyBorder="1" applyAlignment="1" applyProtection="1">
      <alignment horizontal="left"/>
    </xf>
    <xf numFmtId="203" fontId="7" fillId="0" borderId="7" xfId="0" applyNumberFormat="1" applyFont="1" applyBorder="1" applyAlignment="1" applyProtection="1">
      <alignment horizontal="center"/>
    </xf>
    <xf numFmtId="203" fontId="5" fillId="0" borderId="0" xfId="0" applyNumberFormat="1" applyFont="1" applyAlignment="1">
      <alignment horizontal="left" indent="1"/>
    </xf>
    <xf numFmtId="203" fontId="6" fillId="0" borderId="0" xfId="0" applyNumberFormat="1" applyFont="1" applyAlignment="1" applyProtection="1">
      <alignment horizontal="center"/>
    </xf>
    <xf numFmtId="203" fontId="6" fillId="41" borderId="22" xfId="0" applyNumberFormat="1" applyFont="1" applyFill="1" applyBorder="1" applyAlignment="1" applyProtection="1">
      <alignment horizontal="center"/>
      <protection locked="0"/>
    </xf>
    <xf numFmtId="203" fontId="7" fillId="0" borderId="0" xfId="0" applyNumberFormat="1" applyFont="1" applyBorder="1" applyAlignment="1" applyProtection="1">
      <alignment horizontal="center"/>
    </xf>
    <xf numFmtId="2" fontId="5" fillId="0" borderId="0" xfId="0" applyNumberFormat="1" applyFont="1" applyFill="1" applyBorder="1" applyAlignment="1" applyProtection="1">
      <alignment horizontal="center"/>
      <protection locked="0"/>
    </xf>
    <xf numFmtId="164" fontId="5" fillId="0" borderId="0" xfId="0" applyNumberFormat="1" applyFont="1" applyFill="1" applyBorder="1" applyProtection="1"/>
    <xf numFmtId="203" fontId="5" fillId="0" borderId="0" xfId="0" applyNumberFormat="1" applyFont="1" applyAlignment="1" applyProtection="1">
      <alignment horizontal="left" indent="1"/>
    </xf>
    <xf numFmtId="164" fontId="13" fillId="0" borderId="0" xfId="3" applyNumberFormat="1" applyAlignment="1" applyProtection="1">
      <alignment horizontal="center"/>
    </xf>
    <xf numFmtId="10" fontId="5" fillId="41" borderId="26" xfId="2" applyNumberFormat="1" applyFont="1" applyFill="1" applyBorder="1" applyAlignment="1" applyProtection="1">
      <alignment horizontal="center"/>
      <protection locked="0"/>
    </xf>
    <xf numFmtId="164" fontId="6" fillId="0" borderId="0" xfId="0" applyNumberFormat="1" applyFont="1" applyFill="1" applyBorder="1" applyAlignment="1" applyProtection="1">
      <alignment horizontal="center"/>
    </xf>
    <xf numFmtId="10" fontId="5" fillId="0" borderId="0" xfId="2" applyNumberFormat="1" applyFont="1" applyFill="1" applyBorder="1" applyAlignment="1" applyProtection="1">
      <alignment horizontal="center"/>
      <protection locked="0"/>
    </xf>
    <xf numFmtId="194" fontId="5" fillId="0" borderId="0" xfId="2" applyNumberFormat="1" applyFont="1" applyFill="1" applyBorder="1" applyAlignment="1" applyProtection="1">
      <alignment horizontal="center"/>
      <protection locked="0"/>
    </xf>
    <xf numFmtId="203" fontId="5" fillId="41" borderId="3" xfId="2" applyNumberFormat="1" applyFont="1" applyFill="1" applyBorder="1" applyAlignment="1" applyProtection="1">
      <alignment horizontal="center"/>
      <protection locked="0"/>
    </xf>
    <xf numFmtId="0" fontId="73" fillId="38" borderId="27" xfId="0" applyNumberFormat="1" applyFont="1" applyFill="1" applyBorder="1" applyAlignment="1" applyProtection="1"/>
    <xf numFmtId="164" fontId="5" fillId="0" borderId="0" xfId="0" applyNumberFormat="1" applyFont="1" applyBorder="1" applyAlignment="1" applyProtection="1">
      <alignment horizontal="center"/>
    </xf>
    <xf numFmtId="203" fontId="17" fillId="0" borderId="0" xfId="0" applyNumberFormat="1" applyFont="1" applyAlignment="1" applyProtection="1">
      <alignment horizontal="center"/>
    </xf>
    <xf numFmtId="199" fontId="5" fillId="0" borderId="0" xfId="0" applyNumberFormat="1" applyFont="1" applyBorder="1" applyAlignment="1" applyProtection="1">
      <alignment horizontal="center"/>
    </xf>
    <xf numFmtId="199" fontId="7" fillId="0" borderId="0" xfId="0" applyNumberFormat="1" applyFont="1" applyBorder="1" applyAlignment="1" applyProtection="1">
      <alignment horizontal="center"/>
    </xf>
    <xf numFmtId="196" fontId="7" fillId="0" borderId="0" xfId="0" applyNumberFormat="1" applyFont="1" applyBorder="1" applyAlignment="1" applyProtection="1">
      <alignment horizontal="center"/>
    </xf>
    <xf numFmtId="164" fontId="7" fillId="0" borderId="7" xfId="0" applyNumberFormat="1" applyFont="1" applyBorder="1" applyAlignment="1" applyProtection="1">
      <alignment horizontal="left" indent="1"/>
    </xf>
    <xf numFmtId="203" fontId="6" fillId="0" borderId="7" xfId="0" applyNumberFormat="1" applyFont="1" applyBorder="1" applyAlignment="1" applyProtection="1">
      <alignment horizontal="center"/>
    </xf>
    <xf numFmtId="204" fontId="5" fillId="0" borderId="0" xfId="2" applyNumberFormat="1" applyFont="1" applyFill="1" applyBorder="1" applyAlignment="1" applyProtection="1">
      <alignment horizontal="center"/>
    </xf>
    <xf numFmtId="0" fontId="13" fillId="38" borderId="0" xfId="3" applyFill="1" applyBorder="1" applyAlignment="1">
      <alignment horizontal="right"/>
    </xf>
    <xf numFmtId="0" fontId="73" fillId="38" borderId="2" xfId="0" applyNumberFormat="1" applyFont="1" applyFill="1" applyBorder="1" applyAlignment="1" applyProtection="1">
      <alignment horizontal="center"/>
    </xf>
    <xf numFmtId="0" fontId="5" fillId="0" borderId="3" xfId="0" applyNumberFormat="1" applyFont="1" applyFill="1" applyBorder="1" applyAlignment="1" applyProtection="1">
      <alignment horizontal="center"/>
      <protection locked="0"/>
    </xf>
    <xf numFmtId="1" fontId="5" fillId="0" borderId="3" xfId="0" applyNumberFormat="1" applyFont="1" applyFill="1" applyBorder="1" applyAlignment="1" applyProtection="1">
      <alignment horizontal="center"/>
      <protection locked="0"/>
    </xf>
    <xf numFmtId="203" fontId="5" fillId="0" borderId="3" xfId="0" applyNumberFormat="1" applyFont="1" applyFill="1" applyBorder="1" applyAlignment="1" applyProtection="1">
      <alignment horizontal="center"/>
      <protection locked="0"/>
    </xf>
    <xf numFmtId="2" fontId="11" fillId="0" borderId="4" xfId="5" applyNumberFormat="1" applyFont="1" applyFill="1" applyBorder="1" applyAlignment="1" applyProtection="1">
      <alignment horizontal="center" vertical="center"/>
    </xf>
    <xf numFmtId="0" fontId="13" fillId="38" borderId="0" xfId="3" applyFill="1" applyBorder="1" applyAlignment="1" applyProtection="1">
      <alignment horizontal="right"/>
    </xf>
    <xf numFmtId="193" fontId="5" fillId="0" borderId="0" xfId="0" applyNumberFormat="1" applyFont="1" applyProtection="1">
      <protection locked="0"/>
    </xf>
    <xf numFmtId="193" fontId="7" fillId="0" borderId="0" xfId="0" applyNumberFormat="1" applyFont="1" applyProtection="1">
      <protection locked="0"/>
    </xf>
    <xf numFmtId="49" fontId="6" fillId="0" borderId="22" xfId="0" applyNumberFormat="1" applyFont="1" applyFill="1" applyBorder="1" applyAlignment="1" applyProtection="1">
      <alignment horizontal="center"/>
    </xf>
    <xf numFmtId="203" fontId="6" fillId="0" borderId="22" xfId="0" applyNumberFormat="1" applyFont="1" applyFill="1" applyBorder="1" applyAlignment="1" applyProtection="1">
      <alignment horizontal="center"/>
    </xf>
    <xf numFmtId="10" fontId="5" fillId="0" borderId="0" xfId="2" applyNumberFormat="1" applyFont="1" applyFill="1" applyBorder="1" applyAlignment="1" applyProtection="1">
      <alignment horizontal="center"/>
    </xf>
    <xf numFmtId="180" fontId="5" fillId="0" borderId="0" xfId="2" applyNumberFormat="1" applyFont="1" applyAlignment="1" applyProtection="1">
      <alignment horizontal="center"/>
      <protection locked="0"/>
    </xf>
    <xf numFmtId="170" fontId="11" fillId="0" borderId="0" xfId="5" applyNumberFormat="1" applyFont="1" applyFill="1" applyBorder="1" applyAlignment="1" applyProtection="1">
      <alignment horizontal="center" vertical="center"/>
      <protection locked="0"/>
    </xf>
    <xf numFmtId="164" fontId="14" fillId="0" borderId="0" xfId="5" applyNumberFormat="1" applyFont="1" applyFill="1" applyBorder="1" applyAlignment="1" applyProtection="1">
      <alignment horizontal="center" vertical="center"/>
      <protection locked="0"/>
    </xf>
    <xf numFmtId="164" fontId="5" fillId="0" borderId="0" xfId="0" applyNumberFormat="1" applyFont="1" applyAlignment="1" applyProtection="1">
      <alignment horizontal="center"/>
      <protection locked="0"/>
    </xf>
    <xf numFmtId="164" fontId="5" fillId="0" borderId="0" xfId="0" applyNumberFormat="1" applyFont="1" applyFill="1" applyProtection="1"/>
    <xf numFmtId="49" fontId="5" fillId="0" borderId="3" xfId="0" applyNumberFormat="1" applyFont="1" applyFill="1" applyBorder="1" applyAlignment="1" applyProtection="1">
      <alignment horizontal="left" indent="1"/>
      <protection locked="0"/>
    </xf>
    <xf numFmtId="203" fontId="5" fillId="0" borderId="0" xfId="2" applyNumberFormat="1" applyFont="1" applyFill="1" applyBorder="1" applyAlignment="1" applyProtection="1">
      <alignment horizontal="center"/>
      <protection locked="0"/>
    </xf>
    <xf numFmtId="164" fontId="17" fillId="0" borderId="0" xfId="0" applyNumberFormat="1" applyFont="1" applyFill="1" applyAlignment="1" applyProtection="1">
      <alignment horizontal="center"/>
    </xf>
    <xf numFmtId="164" fontId="5" fillId="0" borderId="0" xfId="0" applyNumberFormat="1" applyFont="1" applyFill="1" applyBorder="1" applyAlignment="1" applyProtection="1">
      <alignment horizontal="center"/>
      <protection locked="0"/>
    </xf>
    <xf numFmtId="180" fontId="5" fillId="0" borderId="0" xfId="2" applyNumberFormat="1" applyFont="1" applyFill="1" applyBorder="1" applyAlignment="1" applyProtection="1">
      <alignment horizontal="center"/>
      <protection locked="0"/>
    </xf>
    <xf numFmtId="203" fontId="6" fillId="0" borderId="22" xfId="0" applyNumberFormat="1" applyFont="1" applyFill="1" applyBorder="1" applyAlignment="1" applyProtection="1">
      <alignment horizontal="center"/>
      <protection locked="0"/>
    </xf>
    <xf numFmtId="164" fontId="6" fillId="0" borderId="0" xfId="0" applyNumberFormat="1" applyFont="1" applyAlignment="1" applyProtection="1">
      <alignment horizontal="center"/>
      <protection locked="0"/>
    </xf>
    <xf numFmtId="164" fontId="6" fillId="0" borderId="0" xfId="0" applyNumberFormat="1" applyFont="1" applyFill="1" applyBorder="1" applyAlignment="1" applyProtection="1">
      <alignment horizontal="center"/>
      <protection locked="0"/>
    </xf>
    <xf numFmtId="203" fontId="18" fillId="8" borderId="9" xfId="0" applyNumberFormat="1" applyFont="1" applyFill="1" applyBorder="1" applyAlignment="1" applyProtection="1">
      <alignment horizontal="center"/>
      <protection locked="0"/>
    </xf>
    <xf numFmtId="205" fontId="5" fillId="0" borderId="0" xfId="0" applyNumberFormat="1" applyFont="1" applyProtection="1">
      <protection locked="0"/>
    </xf>
    <xf numFmtId="10" fontId="14" fillId="0" borderId="0" xfId="2" applyNumberFormat="1" applyFont="1" applyFill="1" applyBorder="1" applyAlignment="1" applyProtection="1">
      <alignment horizontal="center" vertical="center"/>
    </xf>
    <xf numFmtId="203" fontId="14" fillId="8" borderId="9" xfId="0" applyNumberFormat="1" applyFont="1" applyFill="1" applyBorder="1" applyAlignment="1" applyProtection="1">
      <alignment horizontal="center"/>
      <protection locked="0"/>
    </xf>
    <xf numFmtId="192" fontId="7" fillId="8" borderId="28" xfId="0" applyNumberFormat="1" applyFont="1" applyFill="1" applyBorder="1" applyAlignment="1" applyProtection="1">
      <alignment horizontal="center"/>
      <protection locked="0"/>
    </xf>
    <xf numFmtId="1" fontId="5" fillId="0" borderId="0" xfId="0" applyNumberFormat="1" applyFont="1" applyFill="1" applyBorder="1" applyAlignment="1" applyProtection="1">
      <alignment horizontal="center"/>
      <protection locked="0"/>
    </xf>
    <xf numFmtId="203" fontId="5" fillId="0" borderId="0" xfId="0" applyNumberFormat="1" applyFont="1" applyFill="1" applyBorder="1" applyAlignment="1" applyProtection="1">
      <alignment horizontal="center"/>
      <protection locked="0"/>
    </xf>
    <xf numFmtId="164" fontId="7" fillId="0" borderId="0" xfId="0" applyNumberFormat="1" applyFont="1" applyBorder="1" applyAlignment="1">
      <alignment horizontal="center"/>
    </xf>
    <xf numFmtId="164" fontId="6" fillId="41" borderId="3" xfId="0" applyNumberFormat="1" applyFont="1" applyFill="1" applyBorder="1" applyAlignment="1" applyProtection="1">
      <alignment horizontal="center"/>
    </xf>
    <xf numFmtId="203" fontId="6" fillId="41" borderId="3" xfId="0" applyNumberFormat="1" applyFont="1" applyFill="1" applyBorder="1" applyAlignment="1" applyProtection="1">
      <alignment horizontal="center"/>
    </xf>
    <xf numFmtId="10" fontId="5" fillId="0" borderId="0" xfId="2" applyNumberFormat="1" applyFont="1" applyProtection="1"/>
    <xf numFmtId="43" fontId="5" fillId="0" borderId="0" xfId="0" applyNumberFormat="1" applyFont="1" applyAlignment="1" applyProtection="1">
      <alignment horizontal="left" indent="1"/>
    </xf>
    <xf numFmtId="206" fontId="6" fillId="0" borderId="0" xfId="0" applyNumberFormat="1" applyFont="1" applyAlignment="1" applyProtection="1">
      <alignment horizontal="center"/>
    </xf>
    <xf numFmtId="0" fontId="13" fillId="0" borderId="0" xfId="3"/>
    <xf numFmtId="10" fontId="5" fillId="0" borderId="0" xfId="2" applyNumberFormat="1" applyFont="1" applyAlignment="1" applyProtection="1">
      <alignment horizontal="center"/>
      <protection locked="0"/>
    </xf>
    <xf numFmtId="203" fontId="7" fillId="0" borderId="0" xfId="0" applyNumberFormat="1" applyFont="1" applyFill="1" applyBorder="1" applyAlignment="1" applyProtection="1">
      <alignment horizontal="center"/>
    </xf>
    <xf numFmtId="43" fontId="5" fillId="0" borderId="0" xfId="6" applyFont="1" applyFill="1" applyBorder="1" applyProtection="1"/>
    <xf numFmtId="43" fontId="5" fillId="0" borderId="0" xfId="6" applyNumberFormat="1" applyFont="1" applyFill="1" applyBorder="1" applyProtection="1"/>
    <xf numFmtId="203" fontId="6" fillId="0" borderId="0" xfId="0" applyNumberFormat="1" applyFont="1" applyFill="1" applyAlignment="1" applyProtection="1">
      <alignment horizontal="center"/>
    </xf>
    <xf numFmtId="10" fontId="17" fillId="0" borderId="0" xfId="2" applyNumberFormat="1" applyFont="1" applyAlignment="1" applyProtection="1">
      <alignment horizontal="center"/>
    </xf>
    <xf numFmtId="10" fontId="6" fillId="0" borderId="0" xfId="2" applyNumberFormat="1" applyFont="1" applyAlignment="1" applyProtection="1">
      <alignment horizontal="center"/>
    </xf>
    <xf numFmtId="43" fontId="5" fillId="0" borderId="0" xfId="6" applyFont="1" applyFill="1" applyBorder="1" applyAlignment="1" applyProtection="1">
      <alignment horizontal="center"/>
      <protection locked="0"/>
    </xf>
    <xf numFmtId="10" fontId="5" fillId="0" borderId="0" xfId="2" applyNumberFormat="1" applyFont="1" applyFill="1" applyProtection="1"/>
    <xf numFmtId="43" fontId="5" fillId="0" borderId="0" xfId="6" applyFont="1" applyFill="1" applyProtection="1"/>
    <xf numFmtId="43" fontId="5" fillId="0" borderId="0" xfId="0" applyNumberFormat="1" applyFont="1" applyFill="1" applyProtection="1"/>
    <xf numFmtId="193" fontId="5" fillId="0" borderId="0" xfId="0" applyNumberFormat="1" applyFont="1" applyFill="1" applyProtection="1"/>
    <xf numFmtId="0" fontId="73" fillId="38" borderId="2" xfId="0" applyNumberFormat="1" applyFont="1" applyFill="1" applyBorder="1" applyAlignment="1" applyProtection="1">
      <alignment horizontal="center"/>
    </xf>
  </cellXfs>
  <cellStyles count="283">
    <cellStyle name=" 1" xfId="10" xr:uid="{00000000-0005-0000-0000-000000000000}"/>
    <cellStyle name=" 1 2" xfId="11" xr:uid="{00000000-0005-0000-0000-000001000000}"/>
    <cellStyle name=" 1_29(d) - Gas extensions -tariffs" xfId="12" xr:uid="{00000000-0005-0000-0000-000002000000}"/>
    <cellStyle name="_Capex" xfId="13" xr:uid="{00000000-0005-0000-0000-000003000000}"/>
    <cellStyle name="_Capex 2" xfId="14" xr:uid="{00000000-0005-0000-0000-000004000000}"/>
    <cellStyle name="_Capex_29(d) - Gas extensions -tariffs" xfId="15" xr:uid="{00000000-0005-0000-0000-000005000000}"/>
    <cellStyle name="_UED AMP 2009-14 Final 250309 Less PU" xfId="16" xr:uid="{00000000-0005-0000-0000-000006000000}"/>
    <cellStyle name="_UED AMP 2009-14 Final 250309 Less PU_1011 monthly" xfId="17" xr:uid="{00000000-0005-0000-0000-000007000000}"/>
    <cellStyle name="20% - Accent1 2" xfId="18" xr:uid="{00000000-0005-0000-0000-000008000000}"/>
    <cellStyle name="20% - Accent2 2" xfId="19" xr:uid="{00000000-0005-0000-0000-000009000000}"/>
    <cellStyle name="20% - Accent3 2" xfId="20" xr:uid="{00000000-0005-0000-0000-00000A000000}"/>
    <cellStyle name="20% - Accent4 2" xfId="21" xr:uid="{00000000-0005-0000-0000-00000B000000}"/>
    <cellStyle name="20% - Accent5 2" xfId="22" xr:uid="{00000000-0005-0000-0000-00000C000000}"/>
    <cellStyle name="20% - Accent6 2" xfId="23" xr:uid="{00000000-0005-0000-0000-00000D000000}"/>
    <cellStyle name="40% - Accent1 2" xfId="24" xr:uid="{00000000-0005-0000-0000-00000E000000}"/>
    <cellStyle name="40% - Accent2 2" xfId="25" xr:uid="{00000000-0005-0000-0000-00000F000000}"/>
    <cellStyle name="40% - Accent3 2" xfId="26" xr:uid="{00000000-0005-0000-0000-000010000000}"/>
    <cellStyle name="40% - Accent4 2" xfId="27" xr:uid="{00000000-0005-0000-0000-000011000000}"/>
    <cellStyle name="40% - Accent5 2" xfId="28" xr:uid="{00000000-0005-0000-0000-000012000000}"/>
    <cellStyle name="40% - Accent6 2" xfId="29" xr:uid="{00000000-0005-0000-0000-000013000000}"/>
    <cellStyle name="60% - Accent1 2" xfId="30" xr:uid="{00000000-0005-0000-0000-000014000000}"/>
    <cellStyle name="60% - Accent2 2" xfId="31" xr:uid="{00000000-0005-0000-0000-000015000000}"/>
    <cellStyle name="60% - Accent3 2" xfId="32" xr:uid="{00000000-0005-0000-0000-000016000000}"/>
    <cellStyle name="60% - Accent4 2" xfId="33" xr:uid="{00000000-0005-0000-0000-000017000000}"/>
    <cellStyle name="60% - Accent5 2" xfId="34" xr:uid="{00000000-0005-0000-0000-000018000000}"/>
    <cellStyle name="60% - Accent6 2" xfId="35" xr:uid="{00000000-0005-0000-0000-000019000000}"/>
    <cellStyle name="Accent1 - 20%" xfId="36" xr:uid="{00000000-0005-0000-0000-00001A000000}"/>
    <cellStyle name="Accent1 - 40%" xfId="37" xr:uid="{00000000-0005-0000-0000-00001B000000}"/>
    <cellStyle name="Accent1 - 60%" xfId="38" xr:uid="{00000000-0005-0000-0000-00001C000000}"/>
    <cellStyle name="Accent1 2" xfId="39" xr:uid="{00000000-0005-0000-0000-00001D000000}"/>
    <cellStyle name="Accent2 - 20%" xfId="40" xr:uid="{00000000-0005-0000-0000-00001E000000}"/>
    <cellStyle name="Accent2 - 40%" xfId="41" xr:uid="{00000000-0005-0000-0000-00001F000000}"/>
    <cellStyle name="Accent2 - 60%" xfId="42" xr:uid="{00000000-0005-0000-0000-000020000000}"/>
    <cellStyle name="Accent2 2" xfId="43" xr:uid="{00000000-0005-0000-0000-000021000000}"/>
    <cellStyle name="Accent3 - 20%" xfId="44" xr:uid="{00000000-0005-0000-0000-000022000000}"/>
    <cellStyle name="Accent3 - 40%" xfId="45" xr:uid="{00000000-0005-0000-0000-000023000000}"/>
    <cellStyle name="Accent3 - 60%" xfId="46" xr:uid="{00000000-0005-0000-0000-000024000000}"/>
    <cellStyle name="Accent3 2" xfId="47" xr:uid="{00000000-0005-0000-0000-000025000000}"/>
    <cellStyle name="Accent4 - 20%" xfId="48" xr:uid="{00000000-0005-0000-0000-000026000000}"/>
    <cellStyle name="Accent4 - 40%" xfId="49" xr:uid="{00000000-0005-0000-0000-000027000000}"/>
    <cellStyle name="Accent4 - 60%" xfId="50" xr:uid="{00000000-0005-0000-0000-000028000000}"/>
    <cellStyle name="Accent4 2" xfId="51" xr:uid="{00000000-0005-0000-0000-000029000000}"/>
    <cellStyle name="Accent5 - 20%" xfId="52" xr:uid="{00000000-0005-0000-0000-00002A000000}"/>
    <cellStyle name="Accent5 - 40%" xfId="53" xr:uid="{00000000-0005-0000-0000-00002B000000}"/>
    <cellStyle name="Accent5 - 60%" xfId="54" xr:uid="{00000000-0005-0000-0000-00002C000000}"/>
    <cellStyle name="Accent5 2" xfId="55" xr:uid="{00000000-0005-0000-0000-00002D000000}"/>
    <cellStyle name="Accent6 - 20%" xfId="56" xr:uid="{00000000-0005-0000-0000-00002E000000}"/>
    <cellStyle name="Accent6 - 40%" xfId="57" xr:uid="{00000000-0005-0000-0000-00002F000000}"/>
    <cellStyle name="Accent6 - 60%" xfId="58" xr:uid="{00000000-0005-0000-0000-000030000000}"/>
    <cellStyle name="Accent6 2" xfId="59" xr:uid="{00000000-0005-0000-0000-000031000000}"/>
    <cellStyle name="Agara" xfId="60" xr:uid="{00000000-0005-0000-0000-000032000000}"/>
    <cellStyle name="Assumptions Right Number" xfId="5" xr:uid="{00000000-0005-0000-0000-000033000000}"/>
    <cellStyle name="B79812_.wvu.PrintTitlest" xfId="61" xr:uid="{00000000-0005-0000-0000-000034000000}"/>
    <cellStyle name="Bad 2" xfId="62" xr:uid="{00000000-0005-0000-0000-000035000000}"/>
    <cellStyle name="Black" xfId="63" xr:uid="{00000000-0005-0000-0000-000036000000}"/>
    <cellStyle name="Blockout" xfId="64" xr:uid="{00000000-0005-0000-0000-000037000000}"/>
    <cellStyle name="Blockout 2" xfId="65" xr:uid="{00000000-0005-0000-0000-000038000000}"/>
    <cellStyle name="Blue" xfId="66" xr:uid="{00000000-0005-0000-0000-000039000000}"/>
    <cellStyle name="Calcs_Divider" xfId="244" xr:uid="{00000000-0005-0000-0000-00003A000000}"/>
    <cellStyle name="Calculation 2" xfId="67" xr:uid="{00000000-0005-0000-0000-00003B000000}"/>
    <cellStyle name="Check" xfId="245" xr:uid="{00000000-0005-0000-0000-00003C000000}"/>
    <cellStyle name="Check Cell 2" xfId="68" xr:uid="{00000000-0005-0000-0000-00003D000000}"/>
    <cellStyle name="Column_Heading_1" xfId="246" xr:uid="{00000000-0005-0000-0000-00003E000000}"/>
    <cellStyle name="Comma" xfId="6" builtinId="3"/>
    <cellStyle name="Comma [0]7Z_87C" xfId="69" xr:uid="{00000000-0005-0000-0000-000040000000}"/>
    <cellStyle name="Comma 0" xfId="70" xr:uid="{00000000-0005-0000-0000-000041000000}"/>
    <cellStyle name="Comma 1" xfId="71" xr:uid="{00000000-0005-0000-0000-000042000000}"/>
    <cellStyle name="Comma 1 2" xfId="72" xr:uid="{00000000-0005-0000-0000-000043000000}"/>
    <cellStyle name="Comma 10" xfId="277" xr:uid="{00000000-0005-0000-0000-000044000000}"/>
    <cellStyle name="Comma 2" xfId="8" xr:uid="{00000000-0005-0000-0000-000045000000}"/>
    <cellStyle name="Comma 2 2" xfId="73" xr:uid="{00000000-0005-0000-0000-000046000000}"/>
    <cellStyle name="Comma 2 3" xfId="74" xr:uid="{00000000-0005-0000-0000-000047000000}"/>
    <cellStyle name="Comma 2 3 2" xfId="75" xr:uid="{00000000-0005-0000-0000-000048000000}"/>
    <cellStyle name="Comma 2 4" xfId="76" xr:uid="{00000000-0005-0000-0000-000049000000}"/>
    <cellStyle name="Comma 2 5" xfId="77" xr:uid="{00000000-0005-0000-0000-00004A000000}"/>
    <cellStyle name="Comma 3" xfId="78" xr:uid="{00000000-0005-0000-0000-00004B000000}"/>
    <cellStyle name="Comma 3 2" xfId="79" xr:uid="{00000000-0005-0000-0000-00004C000000}"/>
    <cellStyle name="Comma 3 3" xfId="80" xr:uid="{00000000-0005-0000-0000-00004D000000}"/>
    <cellStyle name="Comma 4" xfId="81" xr:uid="{00000000-0005-0000-0000-00004E000000}"/>
    <cellStyle name="Comma 5" xfId="82" xr:uid="{00000000-0005-0000-0000-00004F000000}"/>
    <cellStyle name="Comma 6" xfId="83" xr:uid="{00000000-0005-0000-0000-000050000000}"/>
    <cellStyle name="Comma 7" xfId="84" xr:uid="{00000000-0005-0000-0000-000051000000}"/>
    <cellStyle name="Comma 8" xfId="85" xr:uid="{00000000-0005-0000-0000-000052000000}"/>
    <cellStyle name="Comma 9" xfId="265" xr:uid="{00000000-0005-0000-0000-000053000000}"/>
    <cellStyle name="Comma0" xfId="86" xr:uid="{00000000-0005-0000-0000-000054000000}"/>
    <cellStyle name="Currency 11" xfId="87" xr:uid="{00000000-0005-0000-0000-000055000000}"/>
    <cellStyle name="Currency 11 2" xfId="88" xr:uid="{00000000-0005-0000-0000-000056000000}"/>
    <cellStyle name="Currency 2" xfId="89" xr:uid="{00000000-0005-0000-0000-000057000000}"/>
    <cellStyle name="Currency 2 2" xfId="90" xr:uid="{00000000-0005-0000-0000-000058000000}"/>
    <cellStyle name="Currency 2 2 2" xfId="270" xr:uid="{00000000-0005-0000-0000-000059000000}"/>
    <cellStyle name="Currency 2 2 3" xfId="280" xr:uid="{00000000-0005-0000-0000-00005A000000}"/>
    <cellStyle name="Currency 2 3" xfId="271" xr:uid="{00000000-0005-0000-0000-00005B000000}"/>
    <cellStyle name="Currency 2 3 2" xfId="281" xr:uid="{00000000-0005-0000-0000-00005C000000}"/>
    <cellStyle name="Currency 3" xfId="91" xr:uid="{00000000-0005-0000-0000-00005D000000}"/>
    <cellStyle name="Currency 3 2" xfId="92" xr:uid="{00000000-0005-0000-0000-00005E000000}"/>
    <cellStyle name="Currency 4" xfId="93" xr:uid="{00000000-0005-0000-0000-00005F000000}"/>
    <cellStyle name="Currency 4 2" xfId="94" xr:uid="{00000000-0005-0000-0000-000060000000}"/>
    <cellStyle name="Currency 5" xfId="243" xr:uid="{00000000-0005-0000-0000-000061000000}"/>
    <cellStyle name="Currency 6" xfId="266" xr:uid="{00000000-0005-0000-0000-000062000000}"/>
    <cellStyle name="Currency 7" xfId="278" xr:uid="{00000000-0005-0000-0000-000063000000}"/>
    <cellStyle name="D4_B8B1_005004B79812_.wvu.PrintTitlest" xfId="95" xr:uid="{00000000-0005-0000-0000-000064000000}"/>
    <cellStyle name="Date" xfId="96" xr:uid="{00000000-0005-0000-0000-000065000000}"/>
    <cellStyle name="Date 2" xfId="97" xr:uid="{00000000-0005-0000-0000-000066000000}"/>
    <cellStyle name="Emphasis 1" xfId="98" xr:uid="{00000000-0005-0000-0000-000067000000}"/>
    <cellStyle name="Emphasis 2" xfId="99" xr:uid="{00000000-0005-0000-0000-000068000000}"/>
    <cellStyle name="Emphasis 3" xfId="100" xr:uid="{00000000-0005-0000-0000-000069000000}"/>
    <cellStyle name="Empty_Cell" xfId="247" xr:uid="{00000000-0005-0000-0000-00006A000000}"/>
    <cellStyle name="Euro" xfId="101" xr:uid="{00000000-0005-0000-0000-00006B000000}"/>
    <cellStyle name="Explanatory Text 2" xfId="102" xr:uid="{00000000-0005-0000-0000-00006C000000}"/>
    <cellStyle name="Fixed" xfId="103" xr:uid="{00000000-0005-0000-0000-00006D000000}"/>
    <cellStyle name="Fixed 2" xfId="104" xr:uid="{00000000-0005-0000-0000-00006E000000}"/>
    <cellStyle name="Gilsans" xfId="105" xr:uid="{00000000-0005-0000-0000-00006F000000}"/>
    <cellStyle name="Gilsansl" xfId="106" xr:uid="{00000000-0005-0000-0000-000070000000}"/>
    <cellStyle name="Good 2" xfId="107" xr:uid="{00000000-0005-0000-0000-000071000000}"/>
    <cellStyle name="Header1" xfId="248" xr:uid="{00000000-0005-0000-0000-000072000000}"/>
    <cellStyle name="Header2" xfId="249" xr:uid="{00000000-0005-0000-0000-000073000000}"/>
    <cellStyle name="Header3" xfId="250" xr:uid="{00000000-0005-0000-0000-000074000000}"/>
    <cellStyle name="Header4" xfId="251" xr:uid="{00000000-0005-0000-0000-000075000000}"/>
    <cellStyle name="Header5" xfId="252" xr:uid="{00000000-0005-0000-0000-000076000000}"/>
    <cellStyle name="Heading 1 2" xfId="108" xr:uid="{00000000-0005-0000-0000-000077000000}"/>
    <cellStyle name="Heading 1 2 2" xfId="109" xr:uid="{00000000-0005-0000-0000-000078000000}"/>
    <cellStyle name="Heading 1 3" xfId="110" xr:uid="{00000000-0005-0000-0000-000079000000}"/>
    <cellStyle name="Heading 2 2" xfId="111" xr:uid="{00000000-0005-0000-0000-00007A000000}"/>
    <cellStyle name="Heading 2 2 2" xfId="112" xr:uid="{00000000-0005-0000-0000-00007B000000}"/>
    <cellStyle name="Heading 2 3" xfId="113" xr:uid="{00000000-0005-0000-0000-00007C000000}"/>
    <cellStyle name="Heading 3 2" xfId="114" xr:uid="{00000000-0005-0000-0000-00007D000000}"/>
    <cellStyle name="Heading 3 2 2" xfId="115" xr:uid="{00000000-0005-0000-0000-00007E000000}"/>
    <cellStyle name="Heading 3 3" xfId="116" xr:uid="{00000000-0005-0000-0000-00007F000000}"/>
    <cellStyle name="Heading 4 2" xfId="117" xr:uid="{00000000-0005-0000-0000-000080000000}"/>
    <cellStyle name="Heading 4 2 2" xfId="118" xr:uid="{00000000-0005-0000-0000-000081000000}"/>
    <cellStyle name="Heading 4 3" xfId="119" xr:uid="{00000000-0005-0000-0000-000082000000}"/>
    <cellStyle name="Heading(4)" xfId="120" xr:uid="{00000000-0005-0000-0000-000083000000}"/>
    <cellStyle name="Hyperlink" xfId="3" builtinId="8"/>
    <cellStyle name="Hyperlink 2" xfId="121" xr:uid="{00000000-0005-0000-0000-000085000000}"/>
    <cellStyle name="Hyperlink Arrow" xfId="122" xr:uid="{00000000-0005-0000-0000-000086000000}"/>
    <cellStyle name="Hyperlink Text" xfId="123" xr:uid="{00000000-0005-0000-0000-000087000000}"/>
    <cellStyle name="Input 2" xfId="124" xr:uid="{00000000-0005-0000-0000-000088000000}"/>
    <cellStyle name="Input|Date" xfId="1" xr:uid="{00000000-0005-0000-0000-000089000000}"/>
    <cellStyle name="Input1" xfId="125" xr:uid="{00000000-0005-0000-0000-00008A000000}"/>
    <cellStyle name="Input1 2" xfId="126" xr:uid="{00000000-0005-0000-0000-00008B000000}"/>
    <cellStyle name="Input1 3" xfId="267" xr:uid="{00000000-0005-0000-0000-00008C000000}"/>
    <cellStyle name="Input2" xfId="127" xr:uid="{00000000-0005-0000-0000-00008D000000}"/>
    <cellStyle name="Input2 2" xfId="128" xr:uid="{00000000-0005-0000-0000-00008E000000}"/>
    <cellStyle name="Input3" xfId="129" xr:uid="{00000000-0005-0000-0000-00008F000000}"/>
    <cellStyle name="Input3 2" xfId="130" xr:uid="{00000000-0005-0000-0000-000090000000}"/>
    <cellStyle name="Input3 3" xfId="268" xr:uid="{00000000-0005-0000-0000-000091000000}"/>
    <cellStyle name="Inputs_Divider" xfId="253" xr:uid="{00000000-0005-0000-0000-000092000000}"/>
    <cellStyle name="InSheet" xfId="254" xr:uid="{00000000-0005-0000-0000-000093000000}"/>
    <cellStyle name="Lines" xfId="131" xr:uid="{00000000-0005-0000-0000-000094000000}"/>
    <cellStyle name="Linked Cell 2" xfId="132" xr:uid="{00000000-0005-0000-0000-000095000000}"/>
    <cellStyle name="Mine" xfId="133" xr:uid="{00000000-0005-0000-0000-000096000000}"/>
    <cellStyle name="Model Name" xfId="134" xr:uid="{00000000-0005-0000-0000-000097000000}"/>
    <cellStyle name="Neutral 2" xfId="135" xr:uid="{00000000-0005-0000-0000-000098000000}"/>
    <cellStyle name="Normal" xfId="0" builtinId="0"/>
    <cellStyle name="Normal - Style1" xfId="136" xr:uid="{00000000-0005-0000-0000-00009A000000}"/>
    <cellStyle name="Normal 10" xfId="241" xr:uid="{00000000-0005-0000-0000-00009B000000}"/>
    <cellStyle name="Normal 11" xfId="264" xr:uid="{00000000-0005-0000-0000-00009C000000}"/>
    <cellStyle name="Normal 114" xfId="275" xr:uid="{00000000-0005-0000-0000-00009D000000}"/>
    <cellStyle name="Normal 12" xfId="276" xr:uid="{00000000-0005-0000-0000-00009E000000}"/>
    <cellStyle name="Normal 13" xfId="137" xr:uid="{00000000-0005-0000-0000-00009F000000}"/>
    <cellStyle name="Normal 13 2" xfId="7" xr:uid="{00000000-0005-0000-0000-0000A0000000}"/>
    <cellStyle name="Normal 13_29(d) - Gas extensions -tariffs" xfId="138" xr:uid="{00000000-0005-0000-0000-0000A1000000}"/>
    <cellStyle name="Normal 15" xfId="139" xr:uid="{00000000-0005-0000-0000-0000A2000000}"/>
    <cellStyle name="Normal 16" xfId="140" xr:uid="{00000000-0005-0000-0000-0000A3000000}"/>
    <cellStyle name="Normal 2" xfId="141" xr:uid="{00000000-0005-0000-0000-0000A4000000}"/>
    <cellStyle name="Normal 2 2" xfId="142" xr:uid="{00000000-0005-0000-0000-0000A5000000}"/>
    <cellStyle name="Normal 2 2 2" xfId="143" xr:uid="{00000000-0005-0000-0000-0000A6000000}"/>
    <cellStyle name="Normal 2 3" xfId="144" xr:uid="{00000000-0005-0000-0000-0000A7000000}"/>
    <cellStyle name="Normal 2 3 2" xfId="145" xr:uid="{00000000-0005-0000-0000-0000A8000000}"/>
    <cellStyle name="Normal 2 3_29(d) - Gas extensions -tariffs" xfId="146" xr:uid="{00000000-0005-0000-0000-0000A9000000}"/>
    <cellStyle name="Normal 2 4" xfId="147" xr:uid="{00000000-0005-0000-0000-0000AA000000}"/>
    <cellStyle name="Normal 2 5" xfId="148" xr:uid="{00000000-0005-0000-0000-0000AB000000}"/>
    <cellStyle name="Normal 2_29(d) - Gas extensions -tariffs" xfId="149" xr:uid="{00000000-0005-0000-0000-0000AC000000}"/>
    <cellStyle name="Normal 3" xfId="150" xr:uid="{00000000-0005-0000-0000-0000AD000000}"/>
    <cellStyle name="Normal 3 2" xfId="151" xr:uid="{00000000-0005-0000-0000-0000AE000000}"/>
    <cellStyle name="Normal 3_29(d) - Gas extensions -tariffs" xfId="152" xr:uid="{00000000-0005-0000-0000-0000AF000000}"/>
    <cellStyle name="Normal 38" xfId="153" xr:uid="{00000000-0005-0000-0000-0000B0000000}"/>
    <cellStyle name="Normal 38 2" xfId="154" xr:uid="{00000000-0005-0000-0000-0000B1000000}"/>
    <cellStyle name="Normal 38_29(d) - Gas extensions -tariffs" xfId="155" xr:uid="{00000000-0005-0000-0000-0000B2000000}"/>
    <cellStyle name="Normal 4" xfId="156" xr:uid="{00000000-0005-0000-0000-0000B3000000}"/>
    <cellStyle name="Normal 4 2" xfId="157" xr:uid="{00000000-0005-0000-0000-0000B4000000}"/>
    <cellStyle name="Normal 4 3" xfId="158" xr:uid="{00000000-0005-0000-0000-0000B5000000}"/>
    <cellStyle name="Normal 4 4" xfId="272" xr:uid="{00000000-0005-0000-0000-0000B6000000}"/>
    <cellStyle name="Normal 4 5" xfId="282" xr:uid="{00000000-0005-0000-0000-0000B7000000}"/>
    <cellStyle name="Normal 4_29(d) - Gas extensions -tariffs" xfId="159" xr:uid="{00000000-0005-0000-0000-0000B8000000}"/>
    <cellStyle name="Normal 40" xfId="160" xr:uid="{00000000-0005-0000-0000-0000B9000000}"/>
    <cellStyle name="Normal 40 2" xfId="161" xr:uid="{00000000-0005-0000-0000-0000BA000000}"/>
    <cellStyle name="Normal 40_29(d) - Gas extensions -tariffs" xfId="162" xr:uid="{00000000-0005-0000-0000-0000BB000000}"/>
    <cellStyle name="Normal 5" xfId="163" xr:uid="{00000000-0005-0000-0000-0000BC000000}"/>
    <cellStyle name="Normal 5 2" xfId="164" xr:uid="{00000000-0005-0000-0000-0000BD000000}"/>
    <cellStyle name="Normal 6" xfId="165" xr:uid="{00000000-0005-0000-0000-0000BE000000}"/>
    <cellStyle name="Normal 6 2" xfId="166" xr:uid="{00000000-0005-0000-0000-0000BF000000}"/>
    <cellStyle name="Normal 7" xfId="9" xr:uid="{00000000-0005-0000-0000-0000C0000000}"/>
    <cellStyle name="Normal 7 2" xfId="167" xr:uid="{00000000-0005-0000-0000-0000C1000000}"/>
    <cellStyle name="Normal 8" xfId="168" xr:uid="{00000000-0005-0000-0000-0000C2000000}"/>
    <cellStyle name="Normal 9" xfId="169" xr:uid="{00000000-0005-0000-0000-0000C3000000}"/>
    <cellStyle name="Note 2" xfId="170" xr:uid="{00000000-0005-0000-0000-0000C4000000}"/>
    <cellStyle name="OffSheet" xfId="255" xr:uid="{00000000-0005-0000-0000-0000C5000000}"/>
    <cellStyle name="Output 2" xfId="171" xr:uid="{00000000-0005-0000-0000-0000C6000000}"/>
    <cellStyle name="Percent" xfId="2" builtinId="5"/>
    <cellStyle name="Percent [2]" xfId="172" xr:uid="{00000000-0005-0000-0000-0000C8000000}"/>
    <cellStyle name="Percent [2] 2" xfId="173" xr:uid="{00000000-0005-0000-0000-0000C9000000}"/>
    <cellStyle name="Percent [2]_29(d) - Gas extensions -tariffs" xfId="174" xr:uid="{00000000-0005-0000-0000-0000CA000000}"/>
    <cellStyle name="Percent 2" xfId="4" xr:uid="{00000000-0005-0000-0000-0000CB000000}"/>
    <cellStyle name="Percent 2 2" xfId="175" xr:uid="{00000000-0005-0000-0000-0000CC000000}"/>
    <cellStyle name="Percent 3" xfId="176" xr:uid="{00000000-0005-0000-0000-0000CD000000}"/>
    <cellStyle name="Percent 3 2" xfId="177" xr:uid="{00000000-0005-0000-0000-0000CE000000}"/>
    <cellStyle name="Percent 4" xfId="178" xr:uid="{00000000-0005-0000-0000-0000CF000000}"/>
    <cellStyle name="Percent 5" xfId="242" xr:uid="{00000000-0005-0000-0000-0000D0000000}"/>
    <cellStyle name="Percent 6" xfId="269" xr:uid="{00000000-0005-0000-0000-0000D1000000}"/>
    <cellStyle name="Percent 7" xfId="179" xr:uid="{00000000-0005-0000-0000-0000D2000000}"/>
    <cellStyle name="Percent 8" xfId="279" xr:uid="{00000000-0005-0000-0000-0000D3000000}"/>
    <cellStyle name="Percentage" xfId="180" xr:uid="{00000000-0005-0000-0000-0000D4000000}"/>
    <cellStyle name="Period Title" xfId="181" xr:uid="{00000000-0005-0000-0000-0000D5000000}"/>
    <cellStyle name="PSChar" xfId="182" xr:uid="{00000000-0005-0000-0000-0000D6000000}"/>
    <cellStyle name="PSDate" xfId="183" xr:uid="{00000000-0005-0000-0000-0000D7000000}"/>
    <cellStyle name="PSDec" xfId="184" xr:uid="{00000000-0005-0000-0000-0000D8000000}"/>
    <cellStyle name="PSDetail" xfId="185" xr:uid="{00000000-0005-0000-0000-0000D9000000}"/>
    <cellStyle name="PSHeading" xfId="186" xr:uid="{00000000-0005-0000-0000-0000DA000000}"/>
    <cellStyle name="PSInt" xfId="187" xr:uid="{00000000-0005-0000-0000-0000DB000000}"/>
    <cellStyle name="PSSpacer" xfId="188" xr:uid="{00000000-0005-0000-0000-0000DC000000}"/>
    <cellStyle name="Ratio" xfId="189" xr:uid="{00000000-0005-0000-0000-0000DD000000}"/>
    <cellStyle name="Ratio 2" xfId="190" xr:uid="{00000000-0005-0000-0000-0000DE000000}"/>
    <cellStyle name="Ratio_29(d) - Gas extensions -tariffs" xfId="191" xr:uid="{00000000-0005-0000-0000-0000DF000000}"/>
    <cellStyle name="Right Date" xfId="192" xr:uid="{00000000-0005-0000-0000-0000E0000000}"/>
    <cellStyle name="Right Number" xfId="193" xr:uid="{00000000-0005-0000-0000-0000E1000000}"/>
    <cellStyle name="Right Year" xfId="194" xr:uid="{00000000-0005-0000-0000-0000E2000000}"/>
    <cellStyle name="SAPError" xfId="195" xr:uid="{00000000-0005-0000-0000-0000E3000000}"/>
    <cellStyle name="SAPError 2" xfId="196" xr:uid="{00000000-0005-0000-0000-0000E4000000}"/>
    <cellStyle name="SAPKey" xfId="197" xr:uid="{00000000-0005-0000-0000-0000E5000000}"/>
    <cellStyle name="SAPKey 2" xfId="198" xr:uid="{00000000-0005-0000-0000-0000E6000000}"/>
    <cellStyle name="SAPLocked" xfId="199" xr:uid="{00000000-0005-0000-0000-0000E7000000}"/>
    <cellStyle name="SAPLocked 2" xfId="200" xr:uid="{00000000-0005-0000-0000-0000E8000000}"/>
    <cellStyle name="SAPOutput" xfId="201" xr:uid="{00000000-0005-0000-0000-0000E9000000}"/>
    <cellStyle name="SAPOutput 2" xfId="202" xr:uid="{00000000-0005-0000-0000-0000EA000000}"/>
    <cellStyle name="SAPSpace" xfId="203" xr:uid="{00000000-0005-0000-0000-0000EB000000}"/>
    <cellStyle name="SAPSpace 2" xfId="204" xr:uid="{00000000-0005-0000-0000-0000EC000000}"/>
    <cellStyle name="SAPText" xfId="205" xr:uid="{00000000-0005-0000-0000-0000ED000000}"/>
    <cellStyle name="SAPText 2" xfId="206" xr:uid="{00000000-0005-0000-0000-0000EE000000}"/>
    <cellStyle name="SAPUnLocked" xfId="207" xr:uid="{00000000-0005-0000-0000-0000EF000000}"/>
    <cellStyle name="SAPUnLocked 2" xfId="208" xr:uid="{00000000-0005-0000-0000-0000F0000000}"/>
    <cellStyle name="Sheet Title" xfId="209" xr:uid="{00000000-0005-0000-0000-0000F1000000}"/>
    <cellStyle name="SheetHeader1" xfId="256" xr:uid="{00000000-0005-0000-0000-0000F2000000}"/>
    <cellStyle name="SheetHeader2" xfId="257" xr:uid="{00000000-0005-0000-0000-0000F3000000}"/>
    <cellStyle name="SheetHeader3" xfId="258" xr:uid="{00000000-0005-0000-0000-0000F4000000}"/>
    <cellStyle name="Style 1" xfId="210" xr:uid="{00000000-0005-0000-0000-0000F5000000}"/>
    <cellStyle name="Style 1 2" xfId="211" xr:uid="{00000000-0005-0000-0000-0000F6000000}"/>
    <cellStyle name="Style 1_29(d) - Gas extensions -tariffs" xfId="212" xr:uid="{00000000-0005-0000-0000-0000F7000000}"/>
    <cellStyle name="Style2" xfId="213" xr:uid="{00000000-0005-0000-0000-0000F8000000}"/>
    <cellStyle name="Style3" xfId="214" xr:uid="{00000000-0005-0000-0000-0000F9000000}"/>
    <cellStyle name="Style4" xfId="215" xr:uid="{00000000-0005-0000-0000-0000FA000000}"/>
    <cellStyle name="Style4 2" xfId="216" xr:uid="{00000000-0005-0000-0000-0000FB000000}"/>
    <cellStyle name="Style4_29(d) - Gas extensions -tariffs" xfId="217" xr:uid="{00000000-0005-0000-0000-0000FC000000}"/>
    <cellStyle name="Style5" xfId="218" xr:uid="{00000000-0005-0000-0000-0000FD000000}"/>
    <cellStyle name="Style5 2" xfId="219" xr:uid="{00000000-0005-0000-0000-0000FE000000}"/>
    <cellStyle name="Style5_29(d) - Gas extensions -tariffs" xfId="220" xr:uid="{00000000-0005-0000-0000-0000FF000000}"/>
    <cellStyle name="Table Head Green" xfId="221" xr:uid="{00000000-0005-0000-0000-000000010000}"/>
    <cellStyle name="Table Head_pldt" xfId="222" xr:uid="{00000000-0005-0000-0000-000001010000}"/>
    <cellStyle name="Table Source" xfId="223" xr:uid="{00000000-0005-0000-0000-000002010000}"/>
    <cellStyle name="Table Units" xfId="224" xr:uid="{00000000-0005-0000-0000-000003010000}"/>
    <cellStyle name="Table_Heading" xfId="259" xr:uid="{00000000-0005-0000-0000-000004010000}"/>
    <cellStyle name="TableLvl2" xfId="273" xr:uid="{00000000-0005-0000-0000-000005010000}"/>
    <cellStyle name="TableLvl3" xfId="274" xr:uid="{00000000-0005-0000-0000-000006010000}"/>
    <cellStyle name="Technical_Input" xfId="260" xr:uid="{00000000-0005-0000-0000-000007010000}"/>
    <cellStyle name="Text" xfId="225" xr:uid="{00000000-0005-0000-0000-000008010000}"/>
    <cellStyle name="Text 2" xfId="226" xr:uid="{00000000-0005-0000-0000-000009010000}"/>
    <cellStyle name="Text 3" xfId="227" xr:uid="{00000000-0005-0000-0000-00000A010000}"/>
    <cellStyle name="Text Head 1" xfId="228" xr:uid="{00000000-0005-0000-0000-00000B010000}"/>
    <cellStyle name="Text Head 2" xfId="229" xr:uid="{00000000-0005-0000-0000-00000C010000}"/>
    <cellStyle name="Text Indent 2" xfId="230" xr:uid="{00000000-0005-0000-0000-00000D010000}"/>
    <cellStyle name="Theirs" xfId="231" xr:uid="{00000000-0005-0000-0000-00000E010000}"/>
    <cellStyle name="Title 2" xfId="232" xr:uid="{00000000-0005-0000-0000-00000F010000}"/>
    <cellStyle name="TOC 1" xfId="233" xr:uid="{00000000-0005-0000-0000-000010010000}"/>
    <cellStyle name="TOC 2" xfId="234" xr:uid="{00000000-0005-0000-0000-000011010000}"/>
    <cellStyle name="TOC 3" xfId="235" xr:uid="{00000000-0005-0000-0000-000012010000}"/>
    <cellStyle name="Total 2" xfId="236" xr:uid="{00000000-0005-0000-0000-000013010000}"/>
    <cellStyle name="Totals" xfId="261" xr:uid="{00000000-0005-0000-0000-000014010000}"/>
    <cellStyle name="unit" xfId="262" xr:uid="{00000000-0005-0000-0000-000015010000}"/>
    <cellStyle name="User_Input" xfId="263" xr:uid="{00000000-0005-0000-0000-000016010000}"/>
    <cellStyle name="Warning Text 2" xfId="237" xr:uid="{00000000-0005-0000-0000-000017010000}"/>
    <cellStyle name="year" xfId="238" xr:uid="{00000000-0005-0000-0000-000018010000}"/>
    <cellStyle name="year 2" xfId="239" xr:uid="{00000000-0005-0000-0000-000019010000}"/>
    <cellStyle name="year_29(d) - Gas extensions -tariffs" xfId="240" xr:uid="{00000000-0005-0000-0000-00001A010000}"/>
  </cellStyles>
  <dxfs count="197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bottom style="thin">
          <color auto="1"/>
        </bottom>
        <vertical/>
        <horizontal/>
      </border>
    </dxf>
    <dxf>
      <fill>
        <patternFill>
          <bgColor rgb="FFCCFFCC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rgb="FFCCFFCC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fill>
        <patternFill>
          <bgColor rgb="FFFFFF99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</dxf>
    <dxf>
      <font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numFmt numFmtId="1" formatCode="0"/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DBE5F1"/>
      <color rgb="FFDAEEF3"/>
      <color rgb="FF006100"/>
      <color rgb="FFC6EFCE"/>
      <color rgb="FF9C0006"/>
      <color rgb="FFFFFF99"/>
      <color rgb="FFFFFFCC"/>
      <color rgb="FFCCFFCC"/>
      <color rgb="FFC0C0C0"/>
      <color rgb="FF8DB4E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rba.gov.au/publications/smp/2019/aug/pdf/forecast-table-2019-08.pdf" TargetMode="External"/><Relationship Id="rId1" Type="http://schemas.openxmlformats.org/officeDocument/2006/relationships/hyperlink" Target="https://www.abs.gov.au/AUSSTATS/abs@.nsf/DetailsPage/6401.0Jun%202019?OpenDocument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1"/>
  </sheetPr>
  <dimension ref="A1:AU34"/>
  <sheetViews>
    <sheetView showGridLines="0" workbookViewId="0"/>
  </sheetViews>
  <sheetFormatPr defaultColWidth="0" defaultRowHeight="11.25" zeroHeight="1"/>
  <cols>
    <col min="1" max="2" width="1.5" style="8" customWidth="1"/>
    <col min="3" max="3" width="30.83203125" style="8" customWidth="1"/>
    <col min="4" max="4" width="189.6640625" style="8" bestFit="1" customWidth="1"/>
    <col min="5" max="5" width="6.5" style="8" customWidth="1"/>
    <col min="6" max="6" width="9.33203125" style="8" hidden="1" customWidth="1"/>
    <col min="7" max="14" width="9.83203125" style="8" hidden="1" customWidth="1"/>
    <col min="15" max="15" width="1.5" style="8" hidden="1" customWidth="1"/>
    <col min="16" max="16" width="10.5" style="8" hidden="1" customWidth="1"/>
    <col min="17" max="17" width="1.5" style="8" hidden="1" customWidth="1"/>
    <col min="18" max="16384" width="10.5" style="8" hidden="1"/>
  </cols>
  <sheetData>
    <row r="1" spans="1:47" s="1" customFormat="1" ht="15.75" customHeight="1">
      <c r="A1" s="38"/>
      <c r="B1" s="35" t="s">
        <v>99</v>
      </c>
      <c r="C1" s="35"/>
      <c r="D1" s="38"/>
      <c r="E1" s="38"/>
      <c r="G1" s="2"/>
      <c r="H1" s="3"/>
      <c r="I1" s="4"/>
    </row>
    <row r="2" spans="1:47" s="5" customFormat="1" ht="13.5" customHeight="1" thickBot="1">
      <c r="A2" s="42"/>
      <c r="B2" s="41" t="s">
        <v>41</v>
      </c>
      <c r="C2" s="41"/>
      <c r="D2" s="42"/>
      <c r="E2" s="42"/>
    </row>
    <row r="3" spans="1:47" s="6" customFormat="1" ht="3" customHeight="1"/>
    <row r="4" spans="1:47" customFormat="1" ht="12.75">
      <c r="A4" s="43"/>
      <c r="B4" s="51" t="s">
        <v>67</v>
      </c>
      <c r="C4" s="43"/>
      <c r="D4" s="43"/>
      <c r="E4" s="43"/>
      <c r="F4" s="44"/>
      <c r="G4" s="44"/>
      <c r="H4" s="44"/>
      <c r="I4" s="44"/>
      <c r="J4" s="45"/>
      <c r="K4" s="46"/>
      <c r="L4" s="45"/>
      <c r="M4" s="46"/>
      <c r="N4" s="45"/>
      <c r="O4" s="45"/>
      <c r="P4" s="45"/>
      <c r="Q4" s="45"/>
      <c r="R4" s="45"/>
      <c r="S4" s="45"/>
      <c r="T4" s="45"/>
      <c r="U4" s="45"/>
      <c r="V4" s="46"/>
      <c r="W4" s="46"/>
      <c r="X4" s="47"/>
      <c r="Y4" s="47"/>
      <c r="Z4" s="47"/>
      <c r="AA4" s="47"/>
      <c r="AB4" s="48"/>
      <c r="AC4" s="49"/>
      <c r="AD4" s="49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  <c r="AT4" s="50"/>
      <c r="AU4" s="50"/>
    </row>
    <row r="5" spans="1:47"/>
    <row r="6" spans="1:47">
      <c r="C6" s="9" t="s">
        <v>0</v>
      </c>
      <c r="D6" s="9" t="s">
        <v>1</v>
      </c>
    </row>
    <row r="7" spans="1:47">
      <c r="C7" s="19" t="s">
        <v>65</v>
      </c>
      <c r="D7" s="7" t="s">
        <v>66</v>
      </c>
    </row>
    <row r="8" spans="1:47">
      <c r="C8" s="19" t="s">
        <v>35</v>
      </c>
      <c r="D8" s="7" t="s">
        <v>101</v>
      </c>
    </row>
    <row r="9" spans="1:47">
      <c r="C9" s="19" t="s">
        <v>61</v>
      </c>
      <c r="D9" s="7" t="s">
        <v>62</v>
      </c>
    </row>
    <row r="10" spans="1:47">
      <c r="C10" s="19" t="s">
        <v>60</v>
      </c>
      <c r="D10" s="7" t="s">
        <v>51</v>
      </c>
    </row>
    <row r="11" spans="1:47">
      <c r="C11" s="19" t="s">
        <v>64</v>
      </c>
      <c r="D11" s="7" t="s">
        <v>52</v>
      </c>
    </row>
    <row r="12" spans="1:47">
      <c r="C12" s="19" t="s">
        <v>56</v>
      </c>
      <c r="D12" s="7" t="s">
        <v>176</v>
      </c>
    </row>
    <row r="13" spans="1:47">
      <c r="C13" s="19" t="s">
        <v>55</v>
      </c>
      <c r="D13" s="7" t="s">
        <v>177</v>
      </c>
    </row>
    <row r="14" spans="1:47">
      <c r="C14" s="19" t="s">
        <v>54</v>
      </c>
      <c r="D14" s="7" t="s">
        <v>63</v>
      </c>
    </row>
    <row r="15" spans="1:47">
      <c r="C15" s="19" t="s">
        <v>25</v>
      </c>
      <c r="D15" s="7" t="s">
        <v>53</v>
      </c>
    </row>
    <row r="16" spans="1:47" ht="12.75">
      <c r="C16" s="10"/>
      <c r="D16" s="7"/>
    </row>
    <row r="17" spans="1:47" customFormat="1" ht="12.75">
      <c r="A17" s="43"/>
      <c r="B17" s="51" t="s">
        <v>21</v>
      </c>
      <c r="C17" s="43"/>
      <c r="D17" s="43"/>
      <c r="E17" s="43"/>
      <c r="F17" s="44"/>
      <c r="G17" s="44"/>
      <c r="H17" s="44"/>
      <c r="I17" s="44"/>
      <c r="J17" s="45"/>
      <c r="K17" s="46"/>
      <c r="L17" s="45"/>
      <c r="M17" s="46"/>
      <c r="N17" s="45"/>
      <c r="O17" s="45"/>
      <c r="P17" s="45"/>
      <c r="Q17" s="45"/>
      <c r="R17" s="45"/>
      <c r="S17" s="45"/>
      <c r="T17" s="45"/>
      <c r="U17" s="45"/>
      <c r="V17" s="46"/>
      <c r="W17" s="46"/>
      <c r="X17" s="47"/>
      <c r="Y17" s="47"/>
      <c r="Z17" s="47"/>
      <c r="AA17" s="47"/>
      <c r="AB17" s="48"/>
      <c r="AC17" s="49"/>
      <c r="AD17" s="49"/>
      <c r="AE17" s="50"/>
      <c r="AF17" s="50"/>
      <c r="AG17" s="50"/>
      <c r="AH17" s="50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50"/>
      <c r="AT17" s="50"/>
      <c r="AU17" s="50"/>
    </row>
    <row r="18" spans="1:47" hidden="1">
      <c r="D18" s="7"/>
      <c r="F18" s="25"/>
    </row>
    <row r="19" spans="1:47" hidden="1">
      <c r="D19" s="7"/>
      <c r="F19" s="25"/>
    </row>
    <row r="20" spans="1:47" hidden="1">
      <c r="D20" s="7"/>
      <c r="F20" s="25"/>
    </row>
    <row r="21" spans="1:47" hidden="1">
      <c r="D21" s="7"/>
      <c r="F21" s="25"/>
    </row>
    <row r="22" spans="1:47" hidden="1">
      <c r="D22" s="7"/>
      <c r="F22" s="25"/>
    </row>
    <row r="23" spans="1:47" hidden="1">
      <c r="C23" s="7"/>
      <c r="D23" s="7"/>
      <c r="F23" s="25"/>
    </row>
    <row r="24" spans="1:47" hidden="1">
      <c r="C24" s="7"/>
      <c r="D24" s="7"/>
      <c r="F24" s="25"/>
    </row>
    <row r="25" spans="1:47" hidden="1">
      <c r="C25" s="7"/>
      <c r="D25" s="7"/>
    </row>
    <row r="26" spans="1:47" hidden="1">
      <c r="D26" s="7"/>
    </row>
    <row r="27" spans="1:47" hidden="1">
      <c r="D27" s="7"/>
    </row>
    <row r="28" spans="1:47" hidden="1">
      <c r="D28" s="7"/>
    </row>
    <row r="29" spans="1:47" hidden="1">
      <c r="D29" s="7"/>
    </row>
    <row r="30" spans="1:47" hidden="1">
      <c r="D30" s="7"/>
    </row>
    <row r="31" spans="1:47" ht="12.75" hidden="1">
      <c r="C31" s="10"/>
      <c r="D31" s="7"/>
    </row>
    <row r="32" spans="1:47" hidden="1"/>
    <row r="33" hidden="1"/>
    <row r="34" hidden="1"/>
  </sheetData>
  <hyperlinks>
    <hyperlink ref="C12" location="'Calc|Opex Forecast'!A1" display="Calc | Opex Forecast" xr:uid="{00000000-0004-0000-0000-000000000000}"/>
    <hyperlink ref="C13" location="'Output|Models'!A1" display="Output | Models" xr:uid="{00000000-0004-0000-0000-000001000000}"/>
    <hyperlink ref="C14" location="'Lookup|Tables'!A1" display="Lookup | Tables" xr:uid="{00000000-0004-0000-0000-000002000000}"/>
    <hyperlink ref="C15" location="'Check|List'!A1" display="Check | List" xr:uid="{00000000-0004-0000-0000-000003000000}"/>
    <hyperlink ref="C7" location="'Input|General'!A1" display="Input | General" xr:uid="{00000000-0004-0000-0000-000004000000}"/>
    <hyperlink ref="C9" location="'Input|Reported opex'!A1" display="Input | Reported opex" xr:uid="{00000000-0004-0000-0000-000005000000}"/>
    <hyperlink ref="C11" location="'Input|Step changes'!A1" display="Input | Step changes" xr:uid="{00000000-0004-0000-0000-000006000000}"/>
    <hyperlink ref="C8" location="'Input|Inflation'!A1" display="Input | Inflation" xr:uid="{00000000-0004-0000-0000-000007000000}"/>
    <hyperlink ref="C10" location="'Input|Rate of change'!A1" display="Input | Rate of change" xr:uid="{00000000-0004-0000-0000-000008000000}"/>
  </hyperlinks>
  <pageMargins left="0.7" right="0.7" top="0.75" bottom="0.75" header="0.3" footer="0.3"/>
  <pageSetup paperSize="9" orientation="portrait" verticalDpi="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FFFF99"/>
  </sheetPr>
  <dimension ref="A1:AU27"/>
  <sheetViews>
    <sheetView showGridLines="0" zoomScale="115" zoomScaleNormal="115" workbookViewId="0"/>
  </sheetViews>
  <sheetFormatPr defaultColWidth="0" defaultRowHeight="11.25" zeroHeight="1"/>
  <cols>
    <col min="1" max="2" width="1.5" style="29" customWidth="1"/>
    <col min="3" max="3" width="42" style="29" customWidth="1"/>
    <col min="4" max="4" width="27.6640625" style="30" customWidth="1"/>
    <col min="5" max="5" width="15.83203125" style="30" customWidth="1"/>
    <col min="6" max="6" width="10.6640625" style="30" customWidth="1"/>
    <col min="7" max="7" width="16.1640625" style="30" bestFit="1" customWidth="1"/>
    <col min="8" max="9" width="3.33203125" style="30" customWidth="1"/>
    <col min="10" max="23" width="10.83203125" style="29" customWidth="1"/>
    <col min="24" max="38" width="10.5" style="29" hidden="1" customWidth="1"/>
    <col min="39" max="16384" width="10.5" style="29" hidden="1"/>
  </cols>
  <sheetData>
    <row r="1" spans="1:47" s="69" customFormat="1" ht="15.75">
      <c r="B1" s="70" t="str">
        <f>Index!$B$1</f>
        <v>AER opex model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R1" s="72" t="s">
        <v>86</v>
      </c>
      <c r="S1" s="76" t="str">
        <f>IF(COUNTA($S$5:$S$15)=COUNTIF($S5:$S16,"OK"),"OK","Check")</f>
        <v>OK</v>
      </c>
      <c r="U1" s="188" t="s">
        <v>24</v>
      </c>
      <c r="V1" s="76" t="str">
        <f>'Check|List'!$S$1</f>
        <v>Ok</v>
      </c>
    </row>
    <row r="2" spans="1:47" s="77" customFormat="1" ht="13.5" thickBot="1">
      <c r="B2" s="78" t="str">
        <f>Index!$C$7</f>
        <v>Input | General</v>
      </c>
      <c r="C2" s="78"/>
      <c r="D2" s="78"/>
      <c r="E2" s="78"/>
      <c r="F2" s="79"/>
      <c r="G2" s="79"/>
      <c r="H2" s="79"/>
      <c r="I2" s="79"/>
    </row>
    <row r="3" spans="1:47" s="27" customFormat="1" ht="3" customHeight="1">
      <c r="D3" s="28"/>
      <c r="E3" s="28"/>
      <c r="F3" s="28"/>
      <c r="G3" s="28"/>
      <c r="H3" s="28"/>
      <c r="I3" s="28"/>
    </row>
    <row r="4" spans="1:47" s="103" customFormat="1" ht="12.75">
      <c r="A4" s="94"/>
      <c r="B4" s="95" t="s">
        <v>97</v>
      </c>
      <c r="C4" s="94"/>
      <c r="D4" s="94"/>
      <c r="E4" s="94"/>
      <c r="F4" s="96"/>
      <c r="G4" s="96"/>
      <c r="H4" s="96"/>
      <c r="I4" s="96"/>
      <c r="J4" s="97"/>
      <c r="K4" s="98"/>
      <c r="L4" s="97"/>
      <c r="M4" s="98"/>
      <c r="N4" s="97"/>
      <c r="O4" s="97"/>
      <c r="P4" s="97"/>
      <c r="Q4" s="97"/>
      <c r="R4" s="97"/>
      <c r="S4" s="97"/>
      <c r="T4" s="97"/>
      <c r="U4" s="97"/>
      <c r="V4" s="98"/>
      <c r="W4" s="98"/>
      <c r="X4" s="99"/>
      <c r="Y4" s="99"/>
      <c r="Z4" s="99"/>
      <c r="AA4" s="99"/>
      <c r="AB4" s="100"/>
      <c r="AC4" s="101"/>
      <c r="AD4" s="101"/>
      <c r="AE4" s="102"/>
      <c r="AF4" s="102"/>
      <c r="AG4" s="102"/>
      <c r="AH4" s="102"/>
      <c r="AI4" s="102"/>
      <c r="AJ4" s="102"/>
      <c r="AK4" s="102"/>
      <c r="AL4" s="102"/>
      <c r="AM4" s="102"/>
      <c r="AN4" s="102"/>
      <c r="AO4" s="102"/>
      <c r="AP4" s="102"/>
      <c r="AQ4" s="102"/>
      <c r="AR4" s="102"/>
      <c r="AS4" s="102"/>
      <c r="AT4" s="102"/>
      <c r="AU4" s="102"/>
    </row>
    <row r="5" spans="1:47"/>
    <row r="6" spans="1:47">
      <c r="C6" s="31" t="s">
        <v>98</v>
      </c>
      <c r="D6" s="32" t="s">
        <v>7</v>
      </c>
      <c r="E6" s="32"/>
      <c r="F6" s="33"/>
      <c r="G6" s="33" t="s">
        <v>71</v>
      </c>
      <c r="H6" s="33"/>
      <c r="I6" s="29"/>
    </row>
    <row r="7" spans="1:47">
      <c r="C7" s="29" t="s">
        <v>68</v>
      </c>
      <c r="D7" s="30" t="s">
        <v>72</v>
      </c>
      <c r="E7" s="29"/>
      <c r="F7" s="29"/>
      <c r="G7" s="52" t="s">
        <v>198</v>
      </c>
      <c r="H7" s="29"/>
      <c r="I7" s="29"/>
      <c r="S7" s="131" t="str">
        <f>IF(COUNTBLANK($G7),"Check","Ok")</f>
        <v>Ok</v>
      </c>
    </row>
    <row r="8" spans="1:47">
      <c r="C8" s="29" t="s">
        <v>142</v>
      </c>
      <c r="D8" s="30" t="s">
        <v>73</v>
      </c>
      <c r="E8" s="29"/>
      <c r="F8" s="29"/>
      <c r="G8" s="52" t="s">
        <v>143</v>
      </c>
      <c r="H8" s="29"/>
      <c r="I8" s="29"/>
      <c r="S8" s="131" t="str">
        <f>IF(COUNTBLANK($G8),"Check","Ok")</f>
        <v>Ok</v>
      </c>
    </row>
    <row r="9" spans="1:47">
      <c r="C9" s="29" t="s">
        <v>126</v>
      </c>
      <c r="D9" s="30" t="s">
        <v>72</v>
      </c>
      <c r="E9" s="29"/>
      <c r="F9" s="29"/>
      <c r="G9" s="154">
        <v>36678</v>
      </c>
      <c r="H9" s="29"/>
      <c r="I9" s="29"/>
      <c r="S9" s="131" t="str">
        <f>IF(COUNTBLANK($G9),"Check","Ok")</f>
        <v>Ok</v>
      </c>
    </row>
    <row r="10" spans="1:47">
      <c r="C10" s="29" t="s">
        <v>157</v>
      </c>
      <c r="D10" s="30" t="s">
        <v>72</v>
      </c>
      <c r="E10" s="29"/>
      <c r="F10" s="29"/>
      <c r="G10" s="155">
        <v>2016</v>
      </c>
      <c r="H10" s="29"/>
      <c r="I10" s="29"/>
      <c r="S10" s="131" t="str">
        <f t="shared" ref="S10:S14" si="0">IF(COUNTBLANK($G10),"Check","Ok")</f>
        <v>Ok</v>
      </c>
    </row>
    <row r="11" spans="1:47">
      <c r="C11" s="29" t="s">
        <v>75</v>
      </c>
      <c r="D11" s="30" t="s">
        <v>72</v>
      </c>
      <c r="E11" s="29"/>
      <c r="F11" s="29"/>
      <c r="G11" s="155">
        <v>2019</v>
      </c>
      <c r="H11" s="29"/>
      <c r="I11" s="29"/>
      <c r="S11" s="131" t="str">
        <f t="shared" si="0"/>
        <v>Ok</v>
      </c>
    </row>
    <row r="12" spans="1:47">
      <c r="C12" s="29" t="s">
        <v>158</v>
      </c>
      <c r="D12" s="30" t="s">
        <v>72</v>
      </c>
      <c r="E12" s="29"/>
      <c r="F12" s="29"/>
      <c r="G12" s="155">
        <v>2020</v>
      </c>
      <c r="H12" s="29"/>
      <c r="I12" s="29"/>
      <c r="S12" s="131" t="str">
        <f t="shared" si="0"/>
        <v>Ok</v>
      </c>
    </row>
    <row r="13" spans="1:47">
      <c r="C13" s="29" t="s">
        <v>69</v>
      </c>
      <c r="D13" s="30" t="s">
        <v>72</v>
      </c>
      <c r="E13" s="29"/>
      <c r="F13" s="29"/>
      <c r="G13" s="155">
        <v>2021</v>
      </c>
      <c r="H13" s="29"/>
      <c r="I13" s="29"/>
      <c r="S13" s="131" t="str">
        <f t="shared" si="0"/>
        <v>Ok</v>
      </c>
    </row>
    <row r="14" spans="1:47">
      <c r="C14" s="29" t="s">
        <v>70</v>
      </c>
      <c r="D14" s="30" t="s">
        <v>72</v>
      </c>
      <c r="E14" s="29"/>
      <c r="F14" s="29"/>
      <c r="G14" s="155">
        <v>2025</v>
      </c>
      <c r="H14" s="29"/>
      <c r="I14" s="29"/>
      <c r="S14" s="131" t="str">
        <f t="shared" si="0"/>
        <v>Ok</v>
      </c>
    </row>
    <row r="15" spans="1:47">
      <c r="D15" s="29"/>
      <c r="E15" s="29"/>
      <c r="F15" s="29"/>
      <c r="G15" s="29"/>
      <c r="H15" s="29"/>
      <c r="I15" s="29"/>
    </row>
    <row r="16" spans="1:47" s="103" customFormat="1" ht="12.75">
      <c r="A16" s="94"/>
      <c r="B16" s="95" t="s">
        <v>21</v>
      </c>
      <c r="C16" s="94"/>
      <c r="D16" s="94"/>
      <c r="E16" s="94"/>
      <c r="F16" s="96"/>
      <c r="G16" s="96"/>
      <c r="H16" s="96"/>
      <c r="I16" s="96"/>
      <c r="J16" s="97"/>
      <c r="K16" s="98"/>
      <c r="L16" s="97"/>
      <c r="M16" s="98"/>
      <c r="N16" s="97"/>
      <c r="O16" s="97"/>
      <c r="P16" s="97"/>
      <c r="Q16" s="97"/>
      <c r="R16" s="97"/>
      <c r="S16" s="97"/>
      <c r="T16" s="97"/>
      <c r="U16" s="97"/>
      <c r="V16" s="98"/>
      <c r="W16" s="98"/>
      <c r="X16" s="99"/>
      <c r="Y16" s="99"/>
      <c r="Z16" s="99"/>
      <c r="AA16" s="99"/>
      <c r="AB16" s="100"/>
      <c r="AC16" s="101"/>
      <c r="AD16" s="101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</row>
    <row r="17" spans="7:8" hidden="1">
      <c r="G17" s="32"/>
      <c r="H17" s="32"/>
    </row>
    <row r="18" spans="7:8" hidden="1">
      <c r="G18" s="32"/>
      <c r="H18" s="32"/>
    </row>
    <row r="19" spans="7:8" hidden="1">
      <c r="G19" s="32"/>
      <c r="H19" s="32"/>
    </row>
    <row r="20" spans="7:8" hidden="1">
      <c r="G20" s="32"/>
      <c r="H20" s="32"/>
    </row>
    <row r="21" spans="7:8" hidden="1">
      <c r="G21" s="32"/>
      <c r="H21" s="32"/>
    </row>
    <row r="22" spans="7:8" hidden="1">
      <c r="G22" s="32"/>
      <c r="H22" s="32"/>
    </row>
    <row r="23" spans="7:8" hidden="1">
      <c r="G23" s="32"/>
      <c r="H23" s="32"/>
    </row>
    <row r="24" spans="7:8" hidden="1">
      <c r="G24" s="32"/>
      <c r="H24" s="32"/>
    </row>
    <row r="25" spans="7:8" hidden="1">
      <c r="G25" s="32"/>
      <c r="H25" s="32"/>
    </row>
    <row r="26" spans="7:8" hidden="1">
      <c r="G26" s="32"/>
      <c r="H26" s="32"/>
    </row>
    <row r="27" spans="7:8" hidden="1"/>
  </sheetData>
  <dataConsolidate/>
  <conditionalFormatting sqref="W14:W15">
    <cfRule type="cellIs" dxfId="196" priority="13" operator="equal">
      <formula>"Check"</formula>
    </cfRule>
    <cfRule type="cellIs" dxfId="195" priority="14" operator="equal">
      <formula>"Ok"</formula>
    </cfRule>
  </conditionalFormatting>
  <conditionalFormatting sqref="V1">
    <cfRule type="cellIs" dxfId="194" priority="3" operator="equal">
      <formula>"Check"</formula>
    </cfRule>
    <cfRule type="cellIs" dxfId="193" priority="4" operator="equal">
      <formula>"Ok"</formula>
    </cfRule>
  </conditionalFormatting>
  <conditionalFormatting sqref="S7:S14">
    <cfRule type="cellIs" dxfId="192" priority="5" operator="equal">
      <formula>"Check"</formula>
    </cfRule>
    <cfRule type="cellIs" dxfId="191" priority="6" operator="equal">
      <formula>"Ok"</formula>
    </cfRule>
  </conditionalFormatting>
  <conditionalFormatting sqref="S1">
    <cfRule type="cellIs" dxfId="190" priority="1" operator="equal">
      <formula>"Check"</formula>
    </cfRule>
    <cfRule type="cellIs" dxfId="189" priority="2" operator="equal">
      <formula>"Ok"</formula>
    </cfRule>
  </conditionalFormatting>
  <dataValidations count="3">
    <dataValidation type="list" allowBlank="1" showInputMessage="1" showErrorMessage="1" sqref="F12:F13 I12:I15" xr:uid="{00000000-0002-0000-0100-000000000000}">
      <formula1>#REF!</formula1>
    </dataValidation>
    <dataValidation type="list" allowBlank="1" showInputMessage="1" showErrorMessage="1" sqref="G8" xr:uid="{00000000-0002-0000-0100-000001000000}">
      <formula1>"draft,final"</formula1>
    </dataValidation>
    <dataValidation type="list" allowBlank="1" showInputMessage="1" showErrorMessage="1" sqref="F14:F15" xr:uid="{00000000-0002-0000-0100-000002000000}">
      <formula1>"Real 2010,Real 2011,Real 2012,Real 2013,Real 2014,Real 2015,Nominal"</formula1>
    </dataValidation>
  </dataValidations>
  <hyperlinks>
    <hyperlink ref="J1" location="Index!A1" display="Back to Index" xr:uid="{00000000-0004-0000-0100-000000000000}"/>
    <hyperlink ref="U1" location="'Check|List'!A1" display="Overall Check:" xr:uid="{00000000-0004-0000-0100-000001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3000000}">
          <x14:formula1>
            <xm:f>'Lookup|Tables'!$G$25:$G$36</xm:f>
          </x14:formula1>
          <xm:sqref>G9</xm:sqref>
        </x14:dataValidation>
        <x14:dataValidation type="list" allowBlank="1" showInputMessage="1" showErrorMessage="1" xr:uid="{00000000-0002-0000-0100-000004000000}">
          <x14:formula1>
            <xm:f>'Lookup|Tables'!$G$41:$G$60</xm:f>
          </x14:formula1>
          <xm:sqref>G10:G14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>
    <tabColor rgb="FFFFFF99"/>
  </sheetPr>
  <dimension ref="A1:AV76"/>
  <sheetViews>
    <sheetView showGridLines="0" topLeftCell="A4" workbookViewId="0">
      <selection activeCell="F60" sqref="F60"/>
    </sheetView>
  </sheetViews>
  <sheetFormatPr defaultColWidth="0" defaultRowHeight="11.25" customHeight="1" zeroHeight="1"/>
  <cols>
    <col min="1" max="2" width="1.5" style="29" customWidth="1"/>
    <col min="3" max="3" width="11.6640625" style="29" bestFit="1" customWidth="1"/>
    <col min="4" max="4" width="21.5" style="30" bestFit="1" customWidth="1"/>
    <col min="5" max="5" width="21.5" style="30" customWidth="1"/>
    <col min="6" max="9" width="15" style="30" customWidth="1"/>
    <col min="10" max="10" width="3.33203125" style="30" customWidth="1"/>
    <col min="11" max="24" width="10.83203125" style="29" customWidth="1"/>
    <col min="25" max="39" width="10.5" style="29" hidden="1" customWidth="1"/>
    <col min="40" max="16384" width="10.5" style="29" hidden="1"/>
  </cols>
  <sheetData>
    <row r="1" spans="1:48" s="69" customFormat="1" ht="15.75">
      <c r="B1" s="70" t="str">
        <f>Index!$B$1</f>
        <v>AER opex model</v>
      </c>
      <c r="C1" s="70"/>
      <c r="D1" s="70"/>
      <c r="E1" s="70"/>
      <c r="F1" s="70"/>
      <c r="G1" s="71"/>
      <c r="H1" s="71"/>
      <c r="I1" s="71"/>
      <c r="J1" s="71"/>
      <c r="K1" s="37" t="s">
        <v>2</v>
      </c>
      <c r="M1" s="72" t="s">
        <v>3</v>
      </c>
      <c r="N1" s="73" t="s">
        <v>4</v>
      </c>
      <c r="O1" s="74" t="s">
        <v>5</v>
      </c>
      <c r="P1" s="75" t="s">
        <v>6</v>
      </c>
      <c r="S1" s="72" t="s">
        <v>86</v>
      </c>
      <c r="T1" s="76" t="str">
        <f>IF(COUNTA($T$5:$T$65)=COUNTIF($T5:$T66,"OK"),"OK","Check")</f>
        <v>OK</v>
      </c>
      <c r="V1" s="188" t="s">
        <v>24</v>
      </c>
      <c r="W1" s="76" t="str">
        <f>'Check|List'!$S$1</f>
        <v>Ok</v>
      </c>
    </row>
    <row r="2" spans="1:48" s="77" customFormat="1" ht="13.5" thickBot="1">
      <c r="B2" s="78" t="str">
        <f>Index!$C$7</f>
        <v>Input | General</v>
      </c>
      <c r="C2" s="78"/>
      <c r="D2" s="78"/>
      <c r="E2" s="78"/>
      <c r="F2" s="78"/>
      <c r="G2" s="79"/>
      <c r="H2" s="79"/>
      <c r="I2" s="79"/>
      <c r="J2" s="79"/>
    </row>
    <row r="3" spans="1:48" s="27" customFormat="1" ht="3" customHeight="1">
      <c r="D3" s="28"/>
      <c r="E3" s="28"/>
      <c r="F3" s="28"/>
      <c r="G3" s="28"/>
      <c r="H3" s="28"/>
      <c r="I3" s="28"/>
      <c r="J3" s="28"/>
    </row>
    <row r="4" spans="1:48" s="103" customFormat="1" ht="12.75">
      <c r="A4" s="94"/>
      <c r="B4" s="95" t="s">
        <v>97</v>
      </c>
      <c r="C4" s="94"/>
      <c r="D4" s="94"/>
      <c r="E4" s="94"/>
      <c r="F4" s="94"/>
      <c r="G4" s="96"/>
      <c r="H4" s="96"/>
      <c r="I4" s="96"/>
      <c r="J4" s="96"/>
      <c r="K4" s="97"/>
      <c r="L4" s="98"/>
      <c r="M4" s="97"/>
      <c r="N4" s="98"/>
      <c r="O4" s="97"/>
      <c r="P4" s="97"/>
      <c r="Q4" s="97"/>
      <c r="R4" s="97"/>
      <c r="S4" s="97"/>
      <c r="T4" s="97"/>
      <c r="U4" s="97"/>
      <c r="V4" s="97"/>
      <c r="W4" s="98"/>
      <c r="X4" s="98"/>
      <c r="Y4" s="99"/>
      <c r="Z4" s="99"/>
      <c r="AA4" s="99"/>
      <c r="AB4" s="99"/>
      <c r="AC4" s="100"/>
      <c r="AD4" s="101"/>
      <c r="AE4" s="101"/>
      <c r="AF4" s="102"/>
      <c r="AG4" s="102"/>
      <c r="AH4" s="102"/>
      <c r="AI4" s="102"/>
      <c r="AJ4" s="102"/>
      <c r="AK4" s="102"/>
      <c r="AL4" s="102"/>
      <c r="AM4" s="102"/>
      <c r="AN4" s="102"/>
      <c r="AO4" s="102"/>
      <c r="AP4" s="102"/>
      <c r="AQ4" s="102"/>
      <c r="AR4" s="102"/>
      <c r="AS4" s="102"/>
      <c r="AT4" s="102"/>
      <c r="AU4" s="102"/>
      <c r="AV4" s="102"/>
    </row>
    <row r="5" spans="1:48" ht="11.25" customHeight="1"/>
    <row r="6" spans="1:48" ht="53.25">
      <c r="D6" s="62" t="s">
        <v>102</v>
      </c>
      <c r="E6" s="62" t="s">
        <v>140</v>
      </c>
      <c r="F6" s="62" t="s">
        <v>102</v>
      </c>
      <c r="G6" s="62" t="s">
        <v>140</v>
      </c>
      <c r="H6" s="62"/>
      <c r="I6" s="29"/>
      <c r="J6" s="29"/>
    </row>
    <row r="7" spans="1:48">
      <c r="C7" s="67" t="s">
        <v>7</v>
      </c>
      <c r="D7" s="66" t="s">
        <v>100</v>
      </c>
      <c r="E7" s="66" t="s">
        <v>30</v>
      </c>
      <c r="F7" s="66" t="s">
        <v>100</v>
      </c>
      <c r="G7" s="66" t="s">
        <v>30</v>
      </c>
      <c r="H7" s="66"/>
      <c r="I7" s="29"/>
      <c r="J7" s="29"/>
    </row>
    <row r="8" spans="1:48">
      <c r="C8" s="67" t="s">
        <v>8</v>
      </c>
      <c r="D8" s="66" t="s">
        <v>87</v>
      </c>
      <c r="E8" s="66" t="s">
        <v>16</v>
      </c>
      <c r="F8" s="66" t="s">
        <v>87</v>
      </c>
      <c r="G8" s="66" t="s">
        <v>16</v>
      </c>
      <c r="H8" s="66"/>
      <c r="I8" s="29"/>
      <c r="J8" s="29"/>
    </row>
    <row r="9" spans="1:48">
      <c r="C9" s="64">
        <v>39172</v>
      </c>
      <c r="D9" s="63">
        <v>155.6</v>
      </c>
      <c r="E9" s="29"/>
      <c r="F9" s="29"/>
      <c r="G9" s="29"/>
      <c r="H9" s="29"/>
      <c r="I9" s="29"/>
      <c r="J9" s="29"/>
      <c r="T9" s="131" t="str">
        <f>IF(C9&gt;EOMONTH(DATE('Input|General'!$G$12,MONTH('Input|General'!$G$9),1),0),"Ok",IF(ISBLANK($D9),"Check","Ok"))</f>
        <v>Ok</v>
      </c>
    </row>
    <row r="10" spans="1:48">
      <c r="C10" s="64">
        <v>39263</v>
      </c>
      <c r="D10" s="63">
        <v>157.5</v>
      </c>
      <c r="E10" s="29"/>
      <c r="F10" s="29"/>
      <c r="G10" s="29"/>
      <c r="H10" s="29"/>
      <c r="I10" s="29"/>
      <c r="J10" s="29"/>
      <c r="T10" s="131" t="str">
        <f>IF(C10&gt;EOMONTH(DATE('Input|General'!$G$12,MONTH('Input|General'!$G$9),1),0),"Ok",IF(ISBLANK($D10),"Check","Ok"))</f>
        <v>Ok</v>
      </c>
    </row>
    <row r="11" spans="1:48">
      <c r="C11" s="64">
        <v>39355</v>
      </c>
      <c r="D11" s="63">
        <v>158.6</v>
      </c>
      <c r="E11" s="29"/>
      <c r="F11" s="29"/>
      <c r="G11" s="29"/>
      <c r="H11" s="29"/>
      <c r="I11" s="29"/>
      <c r="J11" s="29"/>
      <c r="T11" s="131" t="str">
        <f>IF(C11&gt;EOMONTH(DATE('Input|General'!$G$12,MONTH('Input|General'!$G$9),1),0),"Ok",IF(ISBLANK($D11),"Check","Ok"))</f>
        <v>Ok</v>
      </c>
    </row>
    <row r="12" spans="1:48">
      <c r="C12" s="64">
        <v>39447</v>
      </c>
      <c r="D12" s="63">
        <v>160.1</v>
      </c>
      <c r="E12" s="29"/>
      <c r="F12" s="29"/>
      <c r="G12" s="65"/>
      <c r="H12" s="29"/>
      <c r="I12" s="29"/>
      <c r="J12" s="29"/>
      <c r="T12" s="131" t="str">
        <f>IF(C12&gt;EOMONTH(DATE('Input|General'!$G$12,MONTH('Input|General'!$G$9),1),0),"Ok",IF(ISBLANK($D12),"Check","Ok"))</f>
        <v>Ok</v>
      </c>
    </row>
    <row r="13" spans="1:48">
      <c r="C13" s="64">
        <v>39538</v>
      </c>
      <c r="D13" s="63">
        <v>162.19999999999999</v>
      </c>
      <c r="E13" s="117">
        <f>D13/D9-1</f>
        <v>4.2416452442159303E-2</v>
      </c>
      <c r="F13" s="29"/>
      <c r="G13" s="65"/>
      <c r="H13" s="29"/>
      <c r="I13" s="29"/>
      <c r="J13" s="29"/>
      <c r="T13" s="131" t="str">
        <f>IF(C13&gt;EOMONTH(DATE('Input|General'!$G$12,MONTH('Input|General'!$G$9),1),0),"Ok",IF(ISBLANK($D13),"Check","Ok"))</f>
        <v>Ok</v>
      </c>
    </row>
    <row r="14" spans="1:48">
      <c r="C14" s="64">
        <v>39629</v>
      </c>
      <c r="D14" s="63">
        <v>164.6</v>
      </c>
      <c r="E14" s="117">
        <f t="shared" ref="E14:E29" si="0">D14/D10-1</f>
        <v>4.5079365079365052E-2</v>
      </c>
      <c r="F14" s="29"/>
      <c r="G14" s="65"/>
      <c r="H14" s="29"/>
      <c r="I14" s="29"/>
      <c r="J14" s="29"/>
      <c r="T14" s="131" t="str">
        <f>IF(C14&gt;EOMONTH(DATE('Input|General'!$G$12,MONTH('Input|General'!$G$9),1),0),"Ok",IF(ISBLANK($D14),"Check","Ok"))</f>
        <v>Ok</v>
      </c>
    </row>
    <row r="15" spans="1:48">
      <c r="C15" s="64">
        <v>39721</v>
      </c>
      <c r="D15" s="63">
        <v>166.5</v>
      </c>
      <c r="E15" s="117">
        <f t="shared" si="0"/>
        <v>4.9810844892812067E-2</v>
      </c>
      <c r="F15" s="29"/>
      <c r="G15" s="65"/>
      <c r="H15" s="29"/>
      <c r="I15" s="29"/>
      <c r="J15" s="29"/>
      <c r="T15" s="131" t="str">
        <f>IF(C15&gt;EOMONTH(DATE('Input|General'!$G$12,MONTH('Input|General'!$G$9),1),0),"Ok",IF(ISBLANK($D15),"Check","Ok"))</f>
        <v>Ok</v>
      </c>
    </row>
    <row r="16" spans="1:48">
      <c r="C16" s="64">
        <v>39813</v>
      </c>
      <c r="D16" s="63">
        <v>166</v>
      </c>
      <c r="E16" s="117">
        <f t="shared" si="0"/>
        <v>3.6851967520299844E-2</v>
      </c>
      <c r="F16" s="29"/>
      <c r="G16" s="65"/>
      <c r="H16" s="29"/>
      <c r="I16" s="29"/>
      <c r="J16" s="29"/>
      <c r="T16" s="131" t="str">
        <f>IF(C16&gt;EOMONTH(DATE('Input|General'!$G$12,MONTH('Input|General'!$G$9),1),0),"Ok",IF(ISBLANK($D16),"Check","Ok"))</f>
        <v>Ok</v>
      </c>
    </row>
    <row r="17" spans="3:20">
      <c r="C17" s="64">
        <v>39903</v>
      </c>
      <c r="D17" s="63">
        <v>166.2</v>
      </c>
      <c r="E17" s="117">
        <f t="shared" si="0"/>
        <v>2.4660912453760897E-2</v>
      </c>
      <c r="F17" s="29"/>
      <c r="G17" s="65"/>
      <c r="H17" s="29"/>
      <c r="I17" s="29"/>
      <c r="J17" s="29"/>
      <c r="T17" s="131" t="str">
        <f>IF(C17&gt;EOMONTH(DATE('Input|General'!$G$12,MONTH('Input|General'!$G$9),1),0),"Ok",IF(ISBLANK($D17),"Check","Ok"))</f>
        <v>Ok</v>
      </c>
    </row>
    <row r="18" spans="3:20">
      <c r="C18" s="64">
        <v>39994</v>
      </c>
      <c r="D18" s="63">
        <v>167</v>
      </c>
      <c r="E18" s="117">
        <f t="shared" si="0"/>
        <v>1.4580801944106936E-2</v>
      </c>
      <c r="F18" s="29"/>
      <c r="G18" s="65"/>
      <c r="H18" s="29"/>
      <c r="I18" s="29"/>
      <c r="J18" s="29"/>
      <c r="T18" s="131" t="str">
        <f>IF(C18&gt;EOMONTH(DATE('Input|General'!$G$12,MONTH('Input|General'!$G$9),1),0),"Ok",IF(ISBLANK($D18),"Check","Ok"))</f>
        <v>Ok</v>
      </c>
    </row>
    <row r="19" spans="3:20">
      <c r="C19" s="64">
        <v>40086</v>
      </c>
      <c r="D19" s="63">
        <v>168.6</v>
      </c>
      <c r="E19" s="117">
        <f t="shared" si="0"/>
        <v>1.2612612612612484E-2</v>
      </c>
      <c r="F19" s="29"/>
      <c r="G19" s="65"/>
      <c r="H19" s="29"/>
      <c r="I19" s="29"/>
      <c r="J19" s="29"/>
      <c r="T19" s="131" t="str">
        <f>IF(C19&gt;EOMONTH(DATE('Input|General'!$G$12,MONTH('Input|General'!$G$9),1),0),"Ok",IF(ISBLANK($D19),"Check","Ok"))</f>
        <v>Ok</v>
      </c>
    </row>
    <row r="20" spans="3:20">
      <c r="C20" s="64">
        <v>40178</v>
      </c>
      <c r="D20" s="63">
        <v>169.5</v>
      </c>
      <c r="E20" s="117">
        <f t="shared" si="0"/>
        <v>2.108433734939763E-2</v>
      </c>
      <c r="F20" s="29"/>
      <c r="G20" s="65"/>
      <c r="H20" s="29"/>
      <c r="I20" s="29"/>
      <c r="J20" s="29"/>
      <c r="T20" s="131" t="str">
        <f>IF(C20&gt;EOMONTH(DATE('Input|General'!$G$12,MONTH('Input|General'!$G$9),1),0),"Ok",IF(ISBLANK($D20),"Check","Ok"))</f>
        <v>Ok</v>
      </c>
    </row>
    <row r="21" spans="3:20">
      <c r="C21" s="64">
        <v>40268</v>
      </c>
      <c r="D21" s="63">
        <v>171</v>
      </c>
      <c r="E21" s="117">
        <f t="shared" si="0"/>
        <v>2.8880866425992746E-2</v>
      </c>
      <c r="F21" s="63">
        <v>95.2</v>
      </c>
      <c r="G21" s="65"/>
      <c r="H21" s="189"/>
      <c r="I21" s="29"/>
      <c r="J21" s="29"/>
      <c r="T21" s="131" t="str">
        <f>IF(C21&gt;EOMONTH(DATE('Input|General'!$G$12,MONTH('Input|General'!$G$9),1),0),"Ok",IF(ISBLANK($F21),"Check","Ok"))</f>
        <v>Ok</v>
      </c>
    </row>
    <row r="22" spans="3:20">
      <c r="C22" s="64">
        <v>40359</v>
      </c>
      <c r="D22" s="63">
        <v>172.1</v>
      </c>
      <c r="E22" s="117">
        <f t="shared" si="0"/>
        <v>3.0538922155688653E-2</v>
      </c>
      <c r="F22" s="63">
        <v>95.8</v>
      </c>
      <c r="G22" s="65"/>
      <c r="H22" s="189"/>
      <c r="I22" s="29"/>
      <c r="J22" s="29"/>
      <c r="T22" s="131" t="str">
        <f>IF(C22&gt;EOMONTH(DATE('Input|General'!$G$12,MONTH('Input|General'!$G$9),1),0),"Ok",IF(ISBLANK($F22),"Check","Ok"))</f>
        <v>Ok</v>
      </c>
    </row>
    <row r="23" spans="3:20">
      <c r="C23" s="64">
        <v>40451</v>
      </c>
      <c r="D23" s="63">
        <v>173.3</v>
      </c>
      <c r="E23" s="117">
        <f t="shared" si="0"/>
        <v>2.7876631079478242E-2</v>
      </c>
      <c r="F23" s="63">
        <v>96.5</v>
      </c>
      <c r="G23" s="65"/>
      <c r="H23" s="189"/>
      <c r="I23" s="29"/>
      <c r="J23" s="29"/>
      <c r="T23" s="131" t="str">
        <f>IF(C23&gt;EOMONTH(DATE('Input|General'!$G$12,MONTH('Input|General'!$G$9),1),0),"Ok",IF(ISBLANK($F23),"Check","Ok"))</f>
        <v>Ok</v>
      </c>
    </row>
    <row r="24" spans="3:20">
      <c r="C24" s="64">
        <v>40543</v>
      </c>
      <c r="D24" s="63">
        <v>174</v>
      </c>
      <c r="E24" s="117">
        <f t="shared" si="0"/>
        <v>2.6548672566371723E-2</v>
      </c>
      <c r="F24" s="63">
        <v>96.9</v>
      </c>
      <c r="G24" s="65"/>
      <c r="H24" s="189"/>
      <c r="I24" s="29"/>
      <c r="J24" s="29"/>
      <c r="T24" s="131" t="str">
        <f>IF(C24&gt;EOMONTH(DATE('Input|General'!$G$12,MONTH('Input|General'!$G$9),1),0),"Ok",IF(ISBLANK($F24),"Check","Ok"))</f>
        <v>Ok</v>
      </c>
    </row>
    <row r="25" spans="3:20">
      <c r="C25" s="64">
        <v>40633</v>
      </c>
      <c r="D25" s="63">
        <v>176.7</v>
      </c>
      <c r="E25" s="117">
        <f t="shared" si="0"/>
        <v>3.3333333333333215E-2</v>
      </c>
      <c r="F25" s="63">
        <v>98.3</v>
      </c>
      <c r="G25" s="117">
        <f>IF(ISBLANK(F25),"",F25/F21-1)</f>
        <v>3.2563025210083918E-2</v>
      </c>
      <c r="H25" s="189"/>
      <c r="I25" s="29"/>
      <c r="J25" s="29"/>
      <c r="T25" s="131" t="str">
        <f>IF(C25&gt;EOMONTH(DATE('Input|General'!$G$12,MONTH('Input|General'!$G$9),1),0),"Ok",IF(ISBLANK($F25),"Check","Ok"))</f>
        <v>Ok</v>
      </c>
    </row>
    <row r="26" spans="3:20">
      <c r="C26" s="64">
        <v>40724</v>
      </c>
      <c r="D26" s="63">
        <v>178.3</v>
      </c>
      <c r="E26" s="117">
        <f t="shared" si="0"/>
        <v>3.6025566531086683E-2</v>
      </c>
      <c r="F26" s="63">
        <v>99.2</v>
      </c>
      <c r="G26" s="117">
        <f t="shared" ref="G26:G64" si="1">IF(ISBLANK(F26),"",F26/F22-1)</f>
        <v>3.5490605427975108E-2</v>
      </c>
      <c r="H26" s="189"/>
      <c r="I26" s="29"/>
      <c r="J26" s="29"/>
      <c r="T26" s="131" t="str">
        <f>IF(C26&gt;EOMONTH(DATE('Input|General'!$G$12,MONTH('Input|General'!$G$9),1),0),"Ok",IF(ISBLANK($F26),"Check","Ok"))</f>
        <v>Ok</v>
      </c>
    </row>
    <row r="27" spans="3:20">
      <c r="C27" s="64">
        <v>40816</v>
      </c>
      <c r="D27" s="63">
        <v>179.4</v>
      </c>
      <c r="E27" s="117">
        <f t="shared" si="0"/>
        <v>3.5199076745527913E-2</v>
      </c>
      <c r="F27" s="63">
        <v>99.8</v>
      </c>
      <c r="G27" s="117">
        <f t="shared" si="1"/>
        <v>3.4196891191709877E-2</v>
      </c>
      <c r="H27" s="189"/>
      <c r="I27" s="29"/>
      <c r="J27" s="29"/>
      <c r="T27" s="131" t="str">
        <f>IF(C27&gt;EOMONTH(DATE('Input|General'!$G$12,MONTH('Input|General'!$G$9),1),0),"Ok",IF(ISBLANK($F27),"Check","Ok"))</f>
        <v>Ok</v>
      </c>
    </row>
    <row r="28" spans="3:20">
      <c r="C28" s="64">
        <v>40908</v>
      </c>
      <c r="D28" s="63">
        <v>179.4</v>
      </c>
      <c r="E28" s="117">
        <f t="shared" si="0"/>
        <v>3.1034482758620641E-2</v>
      </c>
      <c r="F28" s="63">
        <v>99.8</v>
      </c>
      <c r="G28" s="117">
        <f t="shared" si="1"/>
        <v>2.9927760577915352E-2</v>
      </c>
      <c r="H28" s="189"/>
      <c r="I28" s="29"/>
      <c r="J28" s="29"/>
      <c r="T28" s="131" t="str">
        <f>IF(C28&gt;EOMONTH(DATE('Input|General'!$G$12,MONTH('Input|General'!$G$9),1),0),"Ok",IF(ISBLANK($F28),"Check","Ok"))</f>
        <v>Ok</v>
      </c>
    </row>
    <row r="29" spans="3:20">
      <c r="C29" s="64">
        <v>40999</v>
      </c>
      <c r="D29" s="63">
        <v>179.5</v>
      </c>
      <c r="E29" s="117">
        <f t="shared" si="0"/>
        <v>1.5846066779853007E-2</v>
      </c>
      <c r="F29" s="63">
        <v>99.9</v>
      </c>
      <c r="G29" s="117">
        <f t="shared" si="1"/>
        <v>1.6276703967446737E-2</v>
      </c>
      <c r="H29" s="189"/>
      <c r="I29" s="29"/>
      <c r="J29" s="29"/>
      <c r="T29" s="131" t="str">
        <f>IF(C29&gt;EOMONTH(DATE('Input|General'!$G$12,MONTH('Input|General'!$G$9),1),0),"Ok",IF(ISBLANK($F29),"Check","Ok"))</f>
        <v>Ok</v>
      </c>
    </row>
    <row r="30" spans="3:20">
      <c r="C30" s="64">
        <v>41090</v>
      </c>
      <c r="D30" s="29"/>
      <c r="E30" s="29"/>
      <c r="F30" s="63">
        <v>100.4</v>
      </c>
      <c r="G30" s="117">
        <f t="shared" si="1"/>
        <v>1.2096774193548487E-2</v>
      </c>
      <c r="H30" s="189"/>
      <c r="I30" s="29"/>
      <c r="J30" s="29"/>
      <c r="T30" s="131" t="str">
        <f>IF(C30&gt;EOMONTH(DATE('Input|General'!$G$12,MONTH('Input|General'!$G$9),1),0),"Ok",IF(ISBLANK($F30),"Check","Ok"))</f>
        <v>Ok</v>
      </c>
    </row>
    <row r="31" spans="3:20">
      <c r="C31" s="64">
        <v>41182</v>
      </c>
      <c r="D31" s="29"/>
      <c r="E31" s="29"/>
      <c r="F31" s="63">
        <v>101.8</v>
      </c>
      <c r="G31" s="117">
        <f t="shared" si="1"/>
        <v>2.0040080160320661E-2</v>
      </c>
      <c r="H31" s="189"/>
      <c r="I31" s="29"/>
      <c r="J31" s="29"/>
      <c r="T31" s="131" t="str">
        <f>IF(C31&gt;EOMONTH(DATE('Input|General'!$G$12,MONTH('Input|General'!$G$9),1),0),"Ok",IF(ISBLANK($F31),"Check","Ok"))</f>
        <v>Ok</v>
      </c>
    </row>
    <row r="32" spans="3:20">
      <c r="C32" s="64">
        <v>41274</v>
      </c>
      <c r="D32" s="29"/>
      <c r="E32" s="29"/>
      <c r="F32" s="63">
        <v>102</v>
      </c>
      <c r="G32" s="117">
        <f t="shared" si="1"/>
        <v>2.2044088176352838E-2</v>
      </c>
      <c r="H32" s="189"/>
      <c r="I32" s="29"/>
      <c r="J32" s="29"/>
      <c r="T32" s="131" t="str">
        <f>IF(C32&gt;EOMONTH(DATE('Input|General'!$G$12,MONTH('Input|General'!$G$9),1),0),"Ok",IF(ISBLANK($F32),"Check","Ok"))</f>
        <v>Ok</v>
      </c>
    </row>
    <row r="33" spans="3:20">
      <c r="C33" s="64">
        <v>41364</v>
      </c>
      <c r="D33" s="29"/>
      <c r="E33" s="29"/>
      <c r="F33" s="63">
        <v>102.4</v>
      </c>
      <c r="G33" s="117">
        <f t="shared" si="1"/>
        <v>2.5025025025025016E-2</v>
      </c>
      <c r="H33" s="189"/>
      <c r="I33" s="29"/>
      <c r="J33" s="29"/>
      <c r="T33" s="131" t="str">
        <f>IF(C33&gt;EOMONTH(DATE('Input|General'!$G$12,MONTH('Input|General'!$G$9),1),0),"Ok",IF(ISBLANK($F33),"Check","Ok"))</f>
        <v>Ok</v>
      </c>
    </row>
    <row r="34" spans="3:20">
      <c r="C34" s="64">
        <v>41455</v>
      </c>
      <c r="D34" s="29"/>
      <c r="E34" s="29"/>
      <c r="F34" s="63">
        <v>102.8</v>
      </c>
      <c r="G34" s="117">
        <f t="shared" si="1"/>
        <v>2.3904382470119501E-2</v>
      </c>
      <c r="H34" s="189"/>
      <c r="I34" s="29"/>
      <c r="J34" s="29"/>
      <c r="T34" s="131" t="str">
        <f>IF(C34&gt;EOMONTH(DATE('Input|General'!$G$12,MONTH('Input|General'!$G$9),1),0),"Ok",IF(ISBLANK($F34),"Check","Ok"))</f>
        <v>Ok</v>
      </c>
    </row>
    <row r="35" spans="3:20">
      <c r="C35" s="64">
        <v>41547</v>
      </c>
      <c r="D35" s="29"/>
      <c r="E35" s="29"/>
      <c r="F35" s="63">
        <v>104</v>
      </c>
      <c r="G35" s="117">
        <f t="shared" si="1"/>
        <v>2.16110019646365E-2</v>
      </c>
      <c r="H35" s="189"/>
      <c r="I35" s="29"/>
      <c r="J35" s="29"/>
      <c r="T35" s="131" t="str">
        <f>IF(C35&gt;EOMONTH(DATE('Input|General'!$G$12,MONTH('Input|General'!$G$9),1),0),"Ok",IF(ISBLANK($F35),"Check","Ok"))</f>
        <v>Ok</v>
      </c>
    </row>
    <row r="36" spans="3:20">
      <c r="C36" s="64">
        <v>41639</v>
      </c>
      <c r="D36" s="29"/>
      <c r="E36" s="29"/>
      <c r="F36" s="63">
        <v>104.8</v>
      </c>
      <c r="G36" s="117">
        <f t="shared" si="1"/>
        <v>2.7450980392156765E-2</v>
      </c>
      <c r="H36" s="189"/>
      <c r="I36" s="29"/>
      <c r="J36" s="29"/>
      <c r="T36" s="131" t="str">
        <f>IF(C36&gt;EOMONTH(DATE('Input|General'!$G$12,MONTH('Input|General'!$G$9),1),0),"Ok",IF(ISBLANK($F36),"Check","Ok"))</f>
        <v>Ok</v>
      </c>
    </row>
    <row r="37" spans="3:20">
      <c r="C37" s="64">
        <v>41729</v>
      </c>
      <c r="D37" s="29"/>
      <c r="E37" s="29"/>
      <c r="F37" s="63">
        <v>105.4</v>
      </c>
      <c r="G37" s="117">
        <f t="shared" si="1"/>
        <v>2.9296875E-2</v>
      </c>
      <c r="H37" s="189"/>
      <c r="I37" s="29"/>
      <c r="J37" s="29"/>
      <c r="T37" s="131" t="str">
        <f>IF(C37&gt;EOMONTH(DATE('Input|General'!$G$12,MONTH('Input|General'!$G$9),1),0),"Ok",IF(ISBLANK($F37),"Check","Ok"))</f>
        <v>Ok</v>
      </c>
    </row>
    <row r="38" spans="3:20">
      <c r="C38" s="64">
        <v>41820</v>
      </c>
      <c r="D38" s="29"/>
      <c r="E38" s="29"/>
      <c r="F38" s="63">
        <v>105.9</v>
      </c>
      <c r="G38" s="117">
        <f t="shared" si="1"/>
        <v>3.0155642023346418E-2</v>
      </c>
      <c r="H38" s="189"/>
      <c r="I38" s="29"/>
      <c r="J38" s="29"/>
      <c r="T38" s="131" t="str">
        <f>IF(C38&gt;EOMONTH(DATE('Input|General'!$G$12,MONTH('Input|General'!$G$9),1),0),"Ok",IF(ISBLANK($F38),"Check","Ok"))</f>
        <v>Ok</v>
      </c>
    </row>
    <row r="39" spans="3:20">
      <c r="C39" s="64">
        <v>41912</v>
      </c>
      <c r="D39" s="29"/>
      <c r="E39" s="29"/>
      <c r="F39" s="63">
        <v>106.4</v>
      </c>
      <c r="G39" s="117">
        <f t="shared" si="1"/>
        <v>2.3076923076923217E-2</v>
      </c>
      <c r="H39" s="189"/>
      <c r="I39" s="29"/>
      <c r="J39" s="29"/>
      <c r="T39" s="131" t="str">
        <f>IF(C39&gt;EOMONTH(DATE('Input|General'!$G$12,MONTH('Input|General'!$G$9),1),0),"Ok",IF(ISBLANK($F39),"Check","Ok"))</f>
        <v>Ok</v>
      </c>
    </row>
    <row r="40" spans="3:20">
      <c r="C40" s="64">
        <v>42004</v>
      </c>
      <c r="D40" s="29"/>
      <c r="E40" s="29"/>
      <c r="F40" s="63">
        <v>106.6</v>
      </c>
      <c r="G40" s="117">
        <f t="shared" si="1"/>
        <v>1.7175572519083859E-2</v>
      </c>
      <c r="H40" s="189"/>
      <c r="I40" s="29"/>
      <c r="J40" s="29"/>
      <c r="T40" s="131" t="str">
        <f>IF(C40&gt;EOMONTH(DATE('Input|General'!$G$12,MONTH('Input|General'!$G$9),1),0),"Ok",IF(ISBLANK($F40),"Check","Ok"))</f>
        <v>Ok</v>
      </c>
    </row>
    <row r="41" spans="3:20">
      <c r="C41" s="64">
        <v>42094</v>
      </c>
      <c r="D41" s="29"/>
      <c r="E41" s="29"/>
      <c r="F41" s="63">
        <v>106.8</v>
      </c>
      <c r="G41" s="117">
        <f t="shared" si="1"/>
        <v>1.3282732447817747E-2</v>
      </c>
      <c r="H41" s="189"/>
      <c r="I41" s="29"/>
      <c r="J41" s="29"/>
      <c r="T41" s="131" t="str">
        <f>IF(C41&gt;EOMONTH(DATE('Input|General'!$G$12,MONTH('Input|General'!$G$9),1),0),"Ok",IF(ISBLANK($F41),"Check","Ok"))</f>
        <v>Ok</v>
      </c>
    </row>
    <row r="42" spans="3:20">
      <c r="C42" s="64">
        <v>42185</v>
      </c>
      <c r="D42" s="29"/>
      <c r="E42" s="29"/>
      <c r="F42" s="63">
        <v>107.5</v>
      </c>
      <c r="G42" s="117">
        <f t="shared" si="1"/>
        <v>1.5108593012275628E-2</v>
      </c>
      <c r="H42" s="189"/>
      <c r="I42" s="29"/>
      <c r="J42" s="29"/>
      <c r="T42" s="131" t="str">
        <f>IF(C42&gt;EOMONTH(DATE('Input|General'!$G$12,MONTH('Input|General'!$G$9),1),0),"Ok",IF(ISBLANK($F42),"Check","Ok"))</f>
        <v>Ok</v>
      </c>
    </row>
    <row r="43" spans="3:20">
      <c r="C43" s="64">
        <v>42277</v>
      </c>
      <c r="D43" s="29"/>
      <c r="E43" s="29"/>
      <c r="F43" s="63">
        <v>108</v>
      </c>
      <c r="G43" s="117">
        <f t="shared" si="1"/>
        <v>1.5037593984962294E-2</v>
      </c>
      <c r="H43" s="189"/>
      <c r="I43" s="29"/>
      <c r="J43" s="29"/>
      <c r="T43" s="131" t="str">
        <f>IF(C43&gt;EOMONTH(DATE('Input|General'!$G$12,MONTH('Input|General'!$G$9),1),0),"Ok",IF(ISBLANK($F43),"Check","Ok"))</f>
        <v>Ok</v>
      </c>
    </row>
    <row r="44" spans="3:20">
      <c r="C44" s="64">
        <v>42369</v>
      </c>
      <c r="D44" s="29"/>
      <c r="E44" s="29"/>
      <c r="F44" s="63">
        <v>108.4</v>
      </c>
      <c r="G44" s="117">
        <f t="shared" si="1"/>
        <v>1.6885553470919357E-2</v>
      </c>
      <c r="H44" s="189"/>
      <c r="I44" s="29"/>
      <c r="J44" s="29"/>
      <c r="T44" s="131" t="str">
        <f>IF(C44&gt;EOMONTH(DATE('Input|General'!$G$12,MONTH('Input|General'!$G$9),1),0),"Ok",IF(ISBLANK($F44),"Check","Ok"))</f>
        <v>Ok</v>
      </c>
    </row>
    <row r="45" spans="3:20">
      <c r="C45" s="64">
        <v>42460</v>
      </c>
      <c r="D45" s="29"/>
      <c r="E45" s="29"/>
      <c r="F45" s="63">
        <v>108.2</v>
      </c>
      <c r="G45" s="117">
        <f t="shared" si="1"/>
        <v>1.3108614232209881E-2</v>
      </c>
      <c r="H45" s="189"/>
      <c r="I45" s="29"/>
      <c r="J45" s="29"/>
      <c r="T45" s="131" t="str">
        <f>IF(C45&gt;EOMONTH(DATE('Input|General'!$G$12,MONTH('Input|General'!$G$9),1),0),"Ok",IF(ISBLANK($F45),"Check","Ok"))</f>
        <v>Ok</v>
      </c>
    </row>
    <row r="46" spans="3:20">
      <c r="C46" s="64">
        <v>42551</v>
      </c>
      <c r="D46" s="29"/>
      <c r="E46" s="29"/>
      <c r="F46" s="63">
        <v>108.6</v>
      </c>
      <c r="G46" s="117">
        <f t="shared" si="1"/>
        <v>1.0232558139534831E-2</v>
      </c>
      <c r="H46" s="189"/>
      <c r="I46" s="29"/>
      <c r="J46" s="29"/>
      <c r="T46" s="131" t="str">
        <f>IF(C46&gt;EOMONTH(DATE('Input|General'!$G$12,MONTH('Input|General'!$G$9),1),0),"Ok",IF(ISBLANK($F46),"Check","Ok"))</f>
        <v>Ok</v>
      </c>
    </row>
    <row r="47" spans="3:20">
      <c r="C47" s="64">
        <v>42643</v>
      </c>
      <c r="D47" s="29"/>
      <c r="E47" s="29"/>
      <c r="F47" s="63">
        <v>109.4</v>
      </c>
      <c r="G47" s="117">
        <f t="shared" si="1"/>
        <v>1.2962962962963065E-2</v>
      </c>
      <c r="H47" s="189"/>
      <c r="I47" s="29"/>
      <c r="J47" s="29"/>
      <c r="T47" s="131" t="str">
        <f>IF(C47&gt;EOMONTH(DATE('Input|General'!$G$12,MONTH('Input|General'!$G$9),1),0),"Ok",IF(ISBLANK($F47),"Check","Ok"))</f>
        <v>Ok</v>
      </c>
    </row>
    <row r="48" spans="3:20">
      <c r="C48" s="64">
        <v>42735</v>
      </c>
      <c r="D48" s="29"/>
      <c r="E48" s="29"/>
      <c r="F48" s="63">
        <v>110</v>
      </c>
      <c r="G48" s="117">
        <f t="shared" si="1"/>
        <v>1.4760147601476037E-2</v>
      </c>
      <c r="H48" s="189"/>
      <c r="I48" s="29"/>
      <c r="J48" s="29"/>
      <c r="T48" s="131" t="str">
        <f>IF(C48&gt;EOMONTH(DATE('Input|General'!$G$12,MONTH('Input|General'!$G$9),1),0),"Ok",IF(ISBLANK($F48),"Check","Ok"))</f>
        <v>Ok</v>
      </c>
    </row>
    <row r="49" spans="3:20">
      <c r="C49" s="64">
        <v>42825</v>
      </c>
      <c r="D49" s="29"/>
      <c r="E49" s="29"/>
      <c r="F49" s="63">
        <v>110.5</v>
      </c>
      <c r="G49" s="117">
        <f t="shared" si="1"/>
        <v>2.1256931608133023E-2</v>
      </c>
      <c r="H49" s="189"/>
      <c r="I49" s="29"/>
      <c r="J49" s="29"/>
      <c r="T49" s="131" t="str">
        <f>IF(C49&gt;EOMONTH(DATE('Input|General'!$G$12,MONTH('Input|General'!$G$9),1),0),"Ok",IF(ISBLANK($F49),"Check","Ok"))</f>
        <v>Ok</v>
      </c>
    </row>
    <row r="50" spans="3:20">
      <c r="C50" s="64">
        <v>42916</v>
      </c>
      <c r="D50" s="29"/>
      <c r="E50" s="29"/>
      <c r="F50" s="63">
        <v>110.7</v>
      </c>
      <c r="G50" s="117">
        <f t="shared" si="1"/>
        <v>1.9337016574585641E-2</v>
      </c>
      <c r="H50" s="190"/>
      <c r="I50" s="29"/>
      <c r="J50" s="29"/>
      <c r="T50" s="131" t="str">
        <f>IF(C50&gt;EOMONTH(DATE('Input|General'!$G$12,MONTH('Input|General'!$G$9),1),0),"Ok",IF(ISBLANK($F50),"Check","Ok"))</f>
        <v>Ok</v>
      </c>
    </row>
    <row r="51" spans="3:20">
      <c r="C51" s="64">
        <v>43008</v>
      </c>
      <c r="D51" s="29"/>
      <c r="E51" s="29"/>
      <c r="F51" s="63">
        <v>111.4</v>
      </c>
      <c r="G51" s="117">
        <f t="shared" si="1"/>
        <v>1.8281535648994485E-2</v>
      </c>
      <c r="H51" s="189"/>
      <c r="I51" s="29"/>
      <c r="J51" s="29"/>
      <c r="T51" s="131" t="str">
        <f>IF(C51&gt;EOMONTH(DATE('Input|General'!$G$12,MONTH('Input|General'!$G$9),1),0),"Ok",IF(ISBLANK($F51),"Check","Ok"))</f>
        <v>Ok</v>
      </c>
    </row>
    <row r="52" spans="3:20">
      <c r="C52" s="64">
        <v>43100</v>
      </c>
      <c r="D52" s="29"/>
      <c r="E52" s="29"/>
      <c r="F52" s="63">
        <v>112.1</v>
      </c>
      <c r="G52" s="117">
        <f t="shared" si="1"/>
        <v>1.9090909090909047E-2</v>
      </c>
      <c r="H52" s="189"/>
      <c r="I52" s="29"/>
      <c r="J52" s="29"/>
      <c r="T52" s="131" t="str">
        <f>IF(C52&gt;EOMONTH(DATE('Input|General'!$G$12,MONTH('Input|General'!$G$9),1),0),"Ok",IF(ISBLANK($F52),"Check","Ok"))</f>
        <v>Ok</v>
      </c>
    </row>
    <row r="53" spans="3:20">
      <c r="C53" s="64">
        <v>43190</v>
      </c>
      <c r="D53" s="29"/>
      <c r="E53" s="29"/>
      <c r="F53" s="63">
        <v>112.6</v>
      </c>
      <c r="G53" s="117">
        <f t="shared" si="1"/>
        <v>1.9004524886877761E-2</v>
      </c>
      <c r="H53" s="189"/>
      <c r="I53" s="29"/>
      <c r="J53" s="29"/>
      <c r="T53" s="131" t="str">
        <f>IF(C53&gt;EOMONTH(DATE('Input|General'!$G$12,MONTH('Input|General'!$G$9),1),0),"Ok",IF(ISBLANK($F53),"Check","Ok"))</f>
        <v>Ok</v>
      </c>
    </row>
    <row r="54" spans="3:20">
      <c r="C54" s="64">
        <v>43281</v>
      </c>
      <c r="D54" s="29"/>
      <c r="E54" s="29"/>
      <c r="F54" s="63">
        <v>113</v>
      </c>
      <c r="G54" s="117">
        <f t="shared" si="1"/>
        <v>2.0776874435411097E-2</v>
      </c>
      <c r="H54" s="189"/>
      <c r="I54" s="29"/>
      <c r="J54" s="29"/>
      <c r="T54" s="131" t="str">
        <f>IF(C54&gt;EOMONTH(DATE('Input|General'!$G$12,MONTH('Input|General'!$G$9),1),0),"Ok",IF(ISBLANK($F54),"Check","Ok"))</f>
        <v>Ok</v>
      </c>
    </row>
    <row r="55" spans="3:20">
      <c r="C55" s="64">
        <v>43373</v>
      </c>
      <c r="D55" s="29"/>
      <c r="E55" s="29"/>
      <c r="F55" s="63">
        <v>113.5</v>
      </c>
      <c r="G55" s="117">
        <f t="shared" si="1"/>
        <v>1.8850987432674993E-2</v>
      </c>
      <c r="H55" s="189"/>
      <c r="I55" s="220"/>
      <c r="J55" s="29"/>
      <c r="T55" s="131" t="str">
        <f>IF(C55&gt;EOMONTH(DATE('Input|General'!$G$12,MONTH('Input|General'!$G$9),1),0),"Ok",IF(ISBLANK($F55),"Check","Ok"))</f>
        <v>Ok</v>
      </c>
    </row>
    <row r="56" spans="3:20">
      <c r="C56" s="64">
        <v>43465</v>
      </c>
      <c r="D56" s="29"/>
      <c r="E56" s="29"/>
      <c r="F56" s="63">
        <v>114.1</v>
      </c>
      <c r="G56" s="117">
        <f t="shared" si="1"/>
        <v>1.7841213202497874E-2</v>
      </c>
      <c r="H56" s="189"/>
      <c r="J56" s="29"/>
      <c r="T56" s="131" t="str">
        <f>IF(C56&gt;EOMONTH(DATE('Input|General'!$G$12,MONTH('Input|General'!$G$9),1),0),"Ok",IF(ISBLANK($F56),"Check","Ok"))</f>
        <v>Ok</v>
      </c>
    </row>
    <row r="57" spans="3:20">
      <c r="C57" s="64">
        <v>43555</v>
      </c>
      <c r="D57" s="29"/>
      <c r="E57" s="29"/>
      <c r="F57" s="63">
        <v>114.1</v>
      </c>
      <c r="G57" s="117">
        <f t="shared" si="1"/>
        <v>1.3321492007104752E-2</v>
      </c>
      <c r="H57" s="189"/>
      <c r="I57" s="29"/>
      <c r="J57" s="29"/>
      <c r="T57" s="131" t="str">
        <f>IF(C57&gt;EOMONTH(DATE('Input|General'!$G$12,MONTH('Input|General'!$G$9),1),0),"Ok",IF(ISBLANK($F57),"Check","Ok"))</f>
        <v>Ok</v>
      </c>
    </row>
    <row r="58" spans="3:20">
      <c r="C58" s="64">
        <v>43646</v>
      </c>
      <c r="D58" s="29"/>
      <c r="E58" s="29"/>
      <c r="F58" s="63">
        <v>114.8</v>
      </c>
      <c r="G58" s="117">
        <f t="shared" si="1"/>
        <v>1.5929203539823078E-2</v>
      </c>
      <c r="H58" s="189" t="s">
        <v>23</v>
      </c>
      <c r="I58" s="220" t="s">
        <v>204</v>
      </c>
      <c r="J58" s="29"/>
      <c r="T58" s="131" t="str">
        <f>IF(C58&gt;EOMONTH(DATE('Input|General'!$G$12,MONTH('Input|General'!$G$9),1),0),"Ok",IF(ISBLANK($F58),"Check","Ok"))</f>
        <v>Ok</v>
      </c>
    </row>
    <row r="59" spans="3:20">
      <c r="C59" s="64">
        <v>43738</v>
      </c>
      <c r="D59" s="29"/>
      <c r="E59" s="29"/>
      <c r="F59" s="63">
        <f>AVERAGE(F58,F60)</f>
        <v>115.41985</v>
      </c>
      <c r="G59" s="117">
        <f t="shared" si="1"/>
        <v>1.6914977973568224E-2</v>
      </c>
      <c r="H59" s="189" t="s">
        <v>203</v>
      </c>
      <c r="I59" s="29"/>
      <c r="J59" s="29"/>
      <c r="T59" s="131" t="str">
        <f>IF(C59&gt;EOMONTH(DATE('Input|General'!$G$12,MONTH('Input|General'!$G$9),1),0),"Ok",IF(ISBLANK($F59),"Check","Ok"))</f>
        <v>Ok</v>
      </c>
    </row>
    <row r="60" spans="3:20">
      <c r="C60" s="64">
        <v>43830</v>
      </c>
      <c r="D60" s="29"/>
      <c r="E60" s="29"/>
      <c r="F60" s="63">
        <f>F56*1.017</f>
        <v>116.03969999999998</v>
      </c>
      <c r="G60" s="117">
        <f t="shared" si="1"/>
        <v>1.6999999999999904E-2</v>
      </c>
      <c r="H60" s="189" t="s">
        <v>205</v>
      </c>
      <c r="I60" s="29"/>
      <c r="J60" s="29"/>
      <c r="N60" s="220"/>
      <c r="P60" s="220" t="s">
        <v>206</v>
      </c>
      <c r="T60" s="131" t="str">
        <f>IF(C60&gt;EOMONTH(DATE('Input|General'!$G$12,MONTH('Input|General'!$G$9),1),0),"Ok",IF(ISBLANK($F60),"Check","Ok"))</f>
        <v>Ok</v>
      </c>
    </row>
    <row r="61" spans="3:20">
      <c r="C61" s="64">
        <v>43921</v>
      </c>
      <c r="D61" s="29"/>
      <c r="E61" s="29"/>
      <c r="F61" s="63">
        <f>AVERAGE(F60,F62)</f>
        <v>116.39564999999999</v>
      </c>
      <c r="G61" s="117">
        <f t="shared" si="1"/>
        <v>2.0119631901840407E-2</v>
      </c>
      <c r="H61" s="189" t="s">
        <v>203</v>
      </c>
      <c r="I61" s="29"/>
      <c r="J61" s="29"/>
      <c r="T61" s="131" t="str">
        <f>IF(C61&gt;EOMONTH(DATE('Input|General'!$G$12,MONTH('Input|General'!$G$9),1),0),"Ok",IF(ISBLANK($F61),"Check","Ok"))</f>
        <v>Ok</v>
      </c>
    </row>
    <row r="62" spans="3:20">
      <c r="C62" s="64">
        <v>44012</v>
      </c>
      <c r="D62" s="29"/>
      <c r="E62" s="29"/>
      <c r="F62" s="63">
        <f>F58*1.017</f>
        <v>116.75159999999998</v>
      </c>
      <c r="G62" s="117">
        <f t="shared" si="1"/>
        <v>1.6999999999999904E-2</v>
      </c>
      <c r="H62" s="189" t="s">
        <v>205</v>
      </c>
      <c r="I62" s="29"/>
      <c r="J62" s="29"/>
      <c r="T62" s="131" t="str">
        <f>IF(C62&gt;EOMONTH(DATE('Input|General'!$G$12,MONTH('Input|General'!$G$9),1),0),"Ok",IF(ISBLANK($F62),"Check","Ok"))</f>
        <v>Ok</v>
      </c>
    </row>
    <row r="63" spans="3:20">
      <c r="C63" s="64">
        <v>44104</v>
      </c>
      <c r="D63" s="29"/>
      <c r="E63" s="29"/>
      <c r="F63" s="63">
        <f>AVERAGE(F62,F64)</f>
        <v>117.49802714999998</v>
      </c>
      <c r="G63" s="117">
        <f t="shared" si="1"/>
        <v>1.8005370393394005E-2</v>
      </c>
      <c r="H63" s="189" t="s">
        <v>203</v>
      </c>
      <c r="I63" s="29"/>
      <c r="J63" s="29"/>
      <c r="T63" s="131" t="str">
        <f>IF(C63&gt;EOMONTH(DATE('Input|General'!$G$12,MONTH('Input|General'!$G$9),1),0),"Ok",IF(ISBLANK($F63),"Check","Ok"))</f>
        <v>Ok</v>
      </c>
    </row>
    <row r="64" spans="3:20">
      <c r="C64" s="64">
        <v>44196</v>
      </c>
      <c r="D64" s="29"/>
      <c r="E64" s="29"/>
      <c r="F64" s="63">
        <f>F60*1.019</f>
        <v>118.24445429999997</v>
      </c>
      <c r="G64" s="117">
        <f t="shared" si="1"/>
        <v>1.8999999999999906E-2</v>
      </c>
      <c r="H64" s="189" t="s">
        <v>205</v>
      </c>
      <c r="I64" s="29"/>
      <c r="J64" s="29"/>
      <c r="T64" s="131" t="str">
        <f>IF(C64&gt;EOMONTH(DATE('Input|General'!$G$12,MONTH('Input|General'!$G$9),1),0),"Ok",IF(ISBLANK($F64),"Check","Ok"))</f>
        <v>Ok</v>
      </c>
    </row>
    <row r="65" spans="1:48">
      <c r="F65" s="29"/>
      <c r="G65" s="29"/>
      <c r="H65" s="29"/>
      <c r="I65" s="29"/>
      <c r="J65" s="29"/>
      <c r="T65" s="132"/>
    </row>
    <row r="66" spans="1:48" s="103" customFormat="1" ht="12.75">
      <c r="A66" s="94"/>
      <c r="B66" s="95" t="s">
        <v>21</v>
      </c>
      <c r="C66" s="94"/>
      <c r="D66" s="94"/>
      <c r="E66" s="94"/>
      <c r="F66" s="94"/>
      <c r="G66" s="96"/>
      <c r="H66" s="96"/>
      <c r="I66" s="96"/>
      <c r="J66" s="96"/>
      <c r="K66" s="97"/>
      <c r="L66" s="98"/>
      <c r="M66" s="97"/>
      <c r="N66" s="98"/>
      <c r="O66" s="97"/>
      <c r="P66" s="97"/>
      <c r="Q66" s="97"/>
      <c r="R66" s="97"/>
      <c r="S66" s="97"/>
      <c r="T66" s="97"/>
      <c r="U66" s="97"/>
      <c r="V66" s="97"/>
      <c r="W66" s="98"/>
      <c r="X66" s="98"/>
      <c r="Y66" s="99"/>
      <c r="Z66" s="99"/>
      <c r="AA66" s="99"/>
      <c r="AB66" s="99"/>
      <c r="AC66" s="100"/>
      <c r="AD66" s="101"/>
      <c r="AE66" s="101"/>
      <c r="AF66" s="102"/>
      <c r="AG66" s="102"/>
      <c r="AH66" s="102"/>
      <c r="AI66" s="102"/>
      <c r="AJ66" s="102"/>
      <c r="AK66" s="102"/>
      <c r="AL66" s="102"/>
      <c r="AM66" s="102"/>
      <c r="AN66" s="102"/>
      <c r="AO66" s="102"/>
      <c r="AP66" s="102"/>
      <c r="AQ66" s="102"/>
      <c r="AR66" s="102"/>
      <c r="AS66" s="102"/>
      <c r="AT66" s="102"/>
      <c r="AU66" s="102"/>
      <c r="AV66" s="102"/>
    </row>
    <row r="67" spans="1:48" hidden="1">
      <c r="H67" s="32"/>
      <c r="I67" s="32"/>
    </row>
    <row r="68" spans="1:48" hidden="1">
      <c r="H68" s="32"/>
      <c r="I68" s="32"/>
    </row>
    <row r="69" spans="1:48" s="30" customFormat="1" hidden="1">
      <c r="A69" s="29"/>
      <c r="B69" s="29"/>
      <c r="C69" s="29"/>
      <c r="H69" s="32"/>
      <c r="I69" s="32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  <c r="AT69" s="29"/>
      <c r="AU69" s="29"/>
      <c r="AV69" s="29"/>
    </row>
    <row r="70" spans="1:48" s="30" customFormat="1" hidden="1">
      <c r="A70" s="29"/>
      <c r="B70" s="29"/>
      <c r="C70" s="29"/>
      <c r="H70" s="32"/>
      <c r="I70" s="32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  <c r="AT70" s="29"/>
      <c r="AU70" s="29"/>
      <c r="AV70" s="29"/>
    </row>
    <row r="71" spans="1:48" s="30" customFormat="1" hidden="1">
      <c r="A71" s="29"/>
      <c r="B71" s="29"/>
      <c r="C71" s="29"/>
      <c r="H71" s="32"/>
      <c r="I71" s="32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  <c r="AT71" s="29"/>
      <c r="AU71" s="29"/>
      <c r="AV71" s="29"/>
    </row>
    <row r="72" spans="1:48" s="30" customFormat="1" hidden="1">
      <c r="A72" s="29"/>
      <c r="B72" s="29"/>
      <c r="C72" s="29"/>
      <c r="H72" s="32"/>
      <c r="I72" s="32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  <c r="AT72" s="29"/>
      <c r="AU72" s="29"/>
      <c r="AV72" s="29"/>
    </row>
    <row r="73" spans="1:48" s="30" customFormat="1" hidden="1">
      <c r="A73" s="29"/>
      <c r="B73" s="29"/>
      <c r="C73" s="29"/>
      <c r="H73" s="32"/>
      <c r="I73" s="32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  <c r="AT73" s="29"/>
      <c r="AU73" s="29"/>
      <c r="AV73" s="29"/>
    </row>
    <row r="74" spans="1:48" s="30" customFormat="1" hidden="1">
      <c r="A74" s="29"/>
      <c r="B74" s="29"/>
      <c r="C74" s="29"/>
      <c r="H74" s="32"/>
      <c r="I74" s="32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  <c r="AT74" s="29"/>
      <c r="AU74" s="29"/>
      <c r="AV74" s="29"/>
    </row>
    <row r="75" spans="1:48" s="30" customFormat="1" hidden="1">
      <c r="A75" s="29"/>
      <c r="B75" s="29"/>
      <c r="C75" s="29"/>
      <c r="H75" s="32"/>
      <c r="I75" s="32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  <c r="AT75" s="29"/>
      <c r="AU75" s="29"/>
      <c r="AV75" s="29"/>
    </row>
    <row r="76" spans="1:48" s="30" customFormat="1" hidden="1">
      <c r="A76" s="29"/>
      <c r="B76" s="29"/>
      <c r="C76" s="29"/>
      <c r="H76" s="32"/>
      <c r="I76" s="32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  <c r="AT76" s="29"/>
      <c r="AU76" s="29"/>
      <c r="AV76" s="29"/>
    </row>
  </sheetData>
  <conditionalFormatting sqref="X14:X50 T65 X63:X65">
    <cfRule type="cellIs" dxfId="188" priority="11" operator="equal">
      <formula>"Check"</formula>
    </cfRule>
    <cfRule type="cellIs" dxfId="187" priority="12" operator="equal">
      <formula>"Ok"</formula>
    </cfRule>
  </conditionalFormatting>
  <conditionalFormatting sqref="W1">
    <cfRule type="cellIs" dxfId="186" priority="7" operator="equal">
      <formula>"Check"</formula>
    </cfRule>
    <cfRule type="cellIs" dxfId="185" priority="8" operator="equal">
      <formula>"Ok"</formula>
    </cfRule>
  </conditionalFormatting>
  <conditionalFormatting sqref="T1">
    <cfRule type="cellIs" dxfId="184" priority="5" operator="equal">
      <formula>"Check"</formula>
    </cfRule>
    <cfRule type="cellIs" dxfId="183" priority="6" operator="equal">
      <formula>"Ok"</formula>
    </cfRule>
  </conditionalFormatting>
  <conditionalFormatting sqref="X51:X57">
    <cfRule type="cellIs" dxfId="182" priority="3" operator="equal">
      <formula>"Check"</formula>
    </cfRule>
    <cfRule type="cellIs" dxfId="181" priority="4" operator="equal">
      <formula>"Ok"</formula>
    </cfRule>
  </conditionalFormatting>
  <conditionalFormatting sqref="X58:X62 T9:T64">
    <cfRule type="cellIs" dxfId="180" priority="1" operator="equal">
      <formula>"Check"</formula>
    </cfRule>
    <cfRule type="cellIs" dxfId="179" priority="2" operator="equal">
      <formula>"Ok"</formula>
    </cfRule>
  </conditionalFormatting>
  <dataValidations count="2">
    <dataValidation type="list" allowBlank="1" showInputMessage="1" showErrorMessage="1" sqref="G65" xr:uid="{00000000-0002-0000-0200-000000000000}">
      <formula1>"Real 2010,Real 2011,Real 2012,Real 2013,Real 2014,Real 2015,Nominal"</formula1>
    </dataValidation>
    <dataValidation type="list" allowBlank="1" showInputMessage="1" showErrorMessage="1" sqref="J12:J65" xr:uid="{00000000-0002-0000-0200-000001000000}">
      <formula1>#REF!</formula1>
    </dataValidation>
  </dataValidations>
  <hyperlinks>
    <hyperlink ref="K1" location="Index!A1" display="Back to Index" xr:uid="{00000000-0004-0000-0200-000000000000}"/>
    <hyperlink ref="V1" location="'Check|List'!A1" display="Overall Check:" xr:uid="{00000000-0004-0000-0200-000001000000}"/>
    <hyperlink ref="I58" r:id="rId1" display="https://www.abs.gov.au/AUSSTATS/abs@.nsf/DetailsPage/6401.0Jun 2019?OpenDocument" xr:uid="{00000000-0004-0000-0200-000002000000}"/>
    <hyperlink ref="P60" r:id="rId2" xr:uid="{00000000-0004-0000-0200-000003000000}"/>
  </hyperlinks>
  <pageMargins left="0.7" right="0.7" top="0.75" bottom="0.75" header="0.3" footer="0.3"/>
  <pageSetup paperSize="9" orientation="portrait" verticalDpi="4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3">
    <tabColor rgb="FFFFFF99"/>
  </sheetPr>
  <dimension ref="A1:W72"/>
  <sheetViews>
    <sheetView topLeftCell="A28" zoomScale="115" zoomScaleNormal="115" workbookViewId="0">
      <selection activeCell="P49" sqref="P49"/>
    </sheetView>
  </sheetViews>
  <sheetFormatPr defaultColWidth="0" defaultRowHeight="11.25" zeroHeight="1"/>
  <cols>
    <col min="1" max="2" width="1.6640625" style="103" customWidth="1"/>
    <col min="3" max="3" width="49.83203125" style="103" bestFit="1" customWidth="1"/>
    <col min="4" max="6" width="13.33203125" style="103" customWidth="1"/>
    <col min="7" max="9" width="3.33203125" style="103" customWidth="1"/>
    <col min="10" max="16" width="10.83203125" style="103" customWidth="1"/>
    <col min="17" max="17" width="13.6640625" style="103" customWidth="1"/>
    <col min="18" max="23" width="10.83203125" style="103" customWidth="1"/>
    <col min="24" max="16384" width="9.33203125" style="103" hidden="1"/>
  </cols>
  <sheetData>
    <row r="1" spans="1:23" ht="15.75">
      <c r="A1" s="69"/>
      <c r="B1" s="70"/>
      <c r="C1" s="70" t="str">
        <f>Index!$B$1</f>
        <v>AER opex model</v>
      </c>
      <c r="D1" s="70"/>
      <c r="E1" s="70"/>
      <c r="F1" s="71"/>
      <c r="G1" s="71"/>
      <c r="H1" s="71"/>
      <c r="I1" s="71"/>
      <c r="J1" s="37" t="s">
        <v>2</v>
      </c>
      <c r="K1" s="69"/>
      <c r="L1" s="72" t="s">
        <v>3</v>
      </c>
      <c r="M1" s="73" t="s">
        <v>4</v>
      </c>
      <c r="N1" s="74" t="s">
        <v>5</v>
      </c>
      <c r="O1" s="75" t="s">
        <v>6</v>
      </c>
      <c r="P1" s="69"/>
      <c r="Q1" s="69"/>
      <c r="R1" s="72" t="s">
        <v>86</v>
      </c>
      <c r="S1" s="76" t="str">
        <f>IF(COUNTA($W$29:$W$265)=COUNTIF($W$29:$W$265,"OK"),"OK","Check")</f>
        <v>OK</v>
      </c>
      <c r="T1" s="69"/>
      <c r="U1" s="188" t="s">
        <v>24</v>
      </c>
      <c r="V1" s="76" t="str">
        <f>'Check|List'!$S$1</f>
        <v>Ok</v>
      </c>
      <c r="W1" s="69"/>
    </row>
    <row r="2" spans="1:23" ht="13.5" thickBot="1">
      <c r="A2" s="77"/>
      <c r="B2" s="78"/>
      <c r="C2" s="78" t="str">
        <f>Index!$C$9</f>
        <v>Input | Reported opex</v>
      </c>
      <c r="D2" s="78"/>
      <c r="E2" s="78"/>
      <c r="F2" s="79"/>
      <c r="G2" s="79"/>
      <c r="H2" s="79"/>
      <c r="I2" s="79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</row>
    <row r="3" spans="1:23">
      <c r="A3" s="133"/>
      <c r="B3" s="133"/>
      <c r="C3" s="134"/>
      <c r="D3" s="135"/>
      <c r="E3" s="135"/>
      <c r="F3" s="135"/>
      <c r="G3" s="135"/>
      <c r="H3" s="135"/>
      <c r="I3" s="135"/>
      <c r="J3" s="158" t="s">
        <v>126</v>
      </c>
      <c r="K3" s="157"/>
      <c r="L3" s="157"/>
      <c r="M3" s="157"/>
      <c r="N3" s="157"/>
      <c r="O3" s="157"/>
      <c r="P3" s="157"/>
      <c r="Q3" s="157"/>
      <c r="R3" s="157"/>
      <c r="S3" s="157"/>
      <c r="T3" s="136"/>
      <c r="U3" s="136"/>
      <c r="V3" s="136"/>
      <c r="W3" s="136"/>
    </row>
    <row r="4" spans="1:23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156">
        <f>DATE(PPFirstYear,MONTH('Input|General'!$G$9),1)</f>
        <v>42522</v>
      </c>
      <c r="K4" s="156">
        <f>DATE(PPFirstYear+1,MONTH('Input|General'!$G$9),1)</f>
        <v>42887</v>
      </c>
      <c r="L4" s="156">
        <f>DATE(PPFirstYear+2,MONTH('Input|General'!$G$9),1)</f>
        <v>43252</v>
      </c>
      <c r="M4" s="156">
        <f>DATE(PPFirstYear+3,MONTH('Input|General'!$G$9),1)</f>
        <v>43617</v>
      </c>
      <c r="N4" s="156">
        <f>DATE(PPFirstYear+4,MONTH('Input|General'!$G$9),1)</f>
        <v>43983</v>
      </c>
      <c r="O4" s="156">
        <f>DATE(PPFirstYear+5,MONTH('Input|General'!$G$9),1)</f>
        <v>44348</v>
      </c>
      <c r="P4" s="156">
        <f>DATE(PPFirstYear+6,MONTH('Input|General'!$G$9),1)</f>
        <v>44713</v>
      </c>
      <c r="Q4" s="156">
        <f>DATE(PPFirstYear+7,MONTH('Input|General'!$G$9),1)</f>
        <v>45078</v>
      </c>
      <c r="R4" s="156">
        <f>DATE(PPFirstYear+8,MONTH('Input|General'!$G$9),1)</f>
        <v>45444</v>
      </c>
      <c r="S4" s="156">
        <f>DATE(PPFirstYear+9,MONTH('Input|General'!$G$9),1)</f>
        <v>45809</v>
      </c>
      <c r="T4" s="87"/>
      <c r="U4" s="87"/>
      <c r="V4" s="88"/>
      <c r="W4" s="88"/>
    </row>
    <row r="5" spans="1:23" ht="5.25" customHeight="1">
      <c r="A5" s="27"/>
      <c r="B5" s="27"/>
      <c r="C5" s="27"/>
      <c r="D5" s="28"/>
      <c r="E5" s="28"/>
      <c r="F5" s="28"/>
      <c r="G5" s="28"/>
      <c r="H5" s="28"/>
      <c r="I5" s="28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</row>
    <row r="6" spans="1:23" ht="6.75" customHeight="1">
      <c r="A6" s="27"/>
      <c r="B6" s="27"/>
      <c r="C6" s="27"/>
      <c r="D6" s="28"/>
      <c r="E6" s="28"/>
      <c r="F6" s="28"/>
      <c r="G6" s="28"/>
      <c r="H6" s="28"/>
      <c r="I6" s="28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</row>
    <row r="7" spans="1:23" ht="5.25" customHeight="1">
      <c r="A7" s="27"/>
      <c r="B7" s="27"/>
      <c r="C7" s="27"/>
      <c r="D7" s="28"/>
      <c r="E7" s="28"/>
      <c r="F7" s="28"/>
      <c r="G7" s="28"/>
      <c r="H7" s="28"/>
      <c r="I7" s="28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</row>
    <row r="8" spans="1:23" ht="12.75">
      <c r="A8" s="94"/>
      <c r="B8" s="95" t="s">
        <v>45</v>
      </c>
      <c r="C8" s="94"/>
      <c r="D8" s="94"/>
      <c r="E8" s="94"/>
      <c r="F8" s="96"/>
      <c r="G8" s="96"/>
      <c r="H8" s="96"/>
      <c r="I8" s="96"/>
      <c r="J8" s="97"/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8"/>
      <c r="W8" s="98"/>
    </row>
    <row r="9" spans="1:23">
      <c r="A9" s="29"/>
      <c r="B9" s="29"/>
      <c r="C9" s="29"/>
      <c r="D9" s="30"/>
      <c r="E9" s="30"/>
      <c r="F9" s="30"/>
      <c r="G9" s="32"/>
      <c r="H9" s="32"/>
      <c r="I9" s="30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</row>
    <row r="10" spans="1:23">
      <c r="A10" s="29"/>
      <c r="B10" s="29"/>
      <c r="C10" s="67" t="s">
        <v>80</v>
      </c>
      <c r="D10" s="32" t="s">
        <v>7</v>
      </c>
      <c r="E10" s="32" t="s">
        <v>8</v>
      </c>
      <c r="F10" s="32" t="s">
        <v>22</v>
      </c>
      <c r="G10" s="32"/>
      <c r="H10" s="32"/>
      <c r="I10" s="30"/>
      <c r="J10" s="159">
        <f t="shared" ref="J10:S10" si="0">IF(YEAR(J$4)&lt;=PPLastYear,J$4,"")</f>
        <v>42522</v>
      </c>
      <c r="K10" s="159">
        <f t="shared" si="0"/>
        <v>42887</v>
      </c>
      <c r="L10" s="159">
        <f t="shared" si="0"/>
        <v>43252</v>
      </c>
      <c r="M10" s="159">
        <f t="shared" si="0"/>
        <v>43617</v>
      </c>
      <c r="N10" s="159">
        <f t="shared" si="0"/>
        <v>43983</v>
      </c>
      <c r="O10" s="159" t="str">
        <f t="shared" si="0"/>
        <v/>
      </c>
      <c r="P10" s="159" t="str">
        <f t="shared" si="0"/>
        <v/>
      </c>
      <c r="Q10" s="159" t="str">
        <f t="shared" si="0"/>
        <v/>
      </c>
      <c r="R10" s="159" t="str">
        <f t="shared" si="0"/>
        <v/>
      </c>
      <c r="S10" s="159" t="str">
        <f t="shared" si="0"/>
        <v/>
      </c>
      <c r="T10" s="137" t="s">
        <v>57</v>
      </c>
      <c r="U10" s="138"/>
      <c r="V10" s="138"/>
      <c r="W10" s="29"/>
    </row>
    <row r="11" spans="1:23">
      <c r="A11" s="29"/>
      <c r="B11" s="29"/>
      <c r="C11" s="111"/>
      <c r="D11" s="30"/>
      <c r="E11" s="30"/>
      <c r="F11" s="30"/>
      <c r="G11" s="32"/>
      <c r="H11" s="32"/>
      <c r="I11" s="30"/>
      <c r="J11" s="23"/>
      <c r="K11" s="23"/>
      <c r="L11" s="23"/>
      <c r="M11" s="23"/>
      <c r="N11" s="23"/>
      <c r="O11" s="29"/>
      <c r="P11" s="29"/>
      <c r="Q11" s="29"/>
      <c r="R11" s="29"/>
      <c r="S11" s="29"/>
      <c r="T11" s="29"/>
      <c r="U11" s="29"/>
      <c r="V11" s="29"/>
      <c r="W11" s="29"/>
    </row>
    <row r="12" spans="1:23">
      <c r="A12" s="29"/>
      <c r="B12" s="29"/>
      <c r="C12" s="111"/>
      <c r="D12" s="30"/>
      <c r="E12" s="110"/>
      <c r="F12" s="30"/>
      <c r="G12" s="32"/>
      <c r="H12" s="32"/>
      <c r="I12" s="30"/>
      <c r="J12" s="23"/>
      <c r="K12" s="23"/>
      <c r="L12" s="23"/>
      <c r="M12" s="23"/>
      <c r="N12" s="23"/>
      <c r="O12" s="29"/>
      <c r="P12" s="29"/>
      <c r="Q12" s="29"/>
      <c r="R12" s="29"/>
      <c r="S12" s="29"/>
      <c r="T12" s="29"/>
      <c r="U12" s="29"/>
      <c r="V12" s="29"/>
      <c r="W12" s="29"/>
    </row>
    <row r="13" spans="1:23">
      <c r="A13" s="29"/>
      <c r="B13" s="29"/>
      <c r="C13" s="61" t="s">
        <v>77</v>
      </c>
      <c r="D13" s="30" t="s">
        <v>73</v>
      </c>
      <c r="E13" s="172" t="s">
        <v>15</v>
      </c>
      <c r="F13" s="172">
        <v>42156</v>
      </c>
      <c r="G13" s="32"/>
      <c r="H13" s="32"/>
      <c r="I13" s="30"/>
      <c r="J13" s="164">
        <v>342.54118021556735</v>
      </c>
      <c r="K13" s="164">
        <v>339.34408681520932</v>
      </c>
      <c r="L13" s="164">
        <v>344.09258204281139</v>
      </c>
      <c r="M13" s="164">
        <v>355.00227054753572</v>
      </c>
      <c r="N13" s="164">
        <v>357.17743063607014</v>
      </c>
      <c r="O13" s="152"/>
      <c r="P13" s="152"/>
      <c r="Q13" s="152"/>
      <c r="R13" s="152"/>
      <c r="S13" s="152"/>
      <c r="T13" s="29" t="s">
        <v>178</v>
      </c>
      <c r="U13" s="29"/>
      <c r="V13" s="29"/>
      <c r="W13" s="29"/>
    </row>
    <row r="14" spans="1:23">
      <c r="A14" s="29"/>
      <c r="B14" s="29"/>
      <c r="C14" s="111"/>
      <c r="D14" s="30"/>
      <c r="E14" s="30"/>
      <c r="F14" s="30"/>
      <c r="G14" s="32"/>
      <c r="H14" s="32"/>
      <c r="I14" s="30"/>
      <c r="J14" s="23"/>
      <c r="K14" s="23"/>
      <c r="L14" s="23"/>
      <c r="M14" s="23"/>
      <c r="N14" s="23"/>
      <c r="O14" s="29"/>
      <c r="P14" s="29"/>
      <c r="Q14" s="29"/>
      <c r="R14" s="29"/>
      <c r="S14" s="29"/>
      <c r="T14" s="29"/>
      <c r="U14" s="29"/>
      <c r="V14" s="29"/>
      <c r="W14" s="29"/>
    </row>
    <row r="15" spans="1:23">
      <c r="A15" s="29"/>
      <c r="B15" s="29"/>
      <c r="C15" s="139" t="s">
        <v>77</v>
      </c>
      <c r="D15" s="140" t="str">
        <f>D13</f>
        <v>AER</v>
      </c>
      <c r="E15" s="204" t="str">
        <f>E13</f>
        <v>$millions</v>
      </c>
      <c r="F15" s="204">
        <f>F13</f>
        <v>42156</v>
      </c>
      <c r="G15" s="32"/>
      <c r="H15" s="32"/>
      <c r="I15" s="30"/>
      <c r="J15" s="129">
        <f>J13</f>
        <v>342.54118021556735</v>
      </c>
      <c r="K15" s="129">
        <f t="shared" ref="K15:S15" si="1">K13</f>
        <v>339.34408681520932</v>
      </c>
      <c r="L15" s="129">
        <f t="shared" si="1"/>
        <v>344.09258204281139</v>
      </c>
      <c r="M15" s="129">
        <f t="shared" si="1"/>
        <v>355.00227054753572</v>
      </c>
      <c r="N15" s="129">
        <f t="shared" si="1"/>
        <v>357.17743063607014</v>
      </c>
      <c r="O15" s="129">
        <f t="shared" si="1"/>
        <v>0</v>
      </c>
      <c r="P15" s="129">
        <f t="shared" si="1"/>
        <v>0</v>
      </c>
      <c r="Q15" s="129">
        <f t="shared" si="1"/>
        <v>0</v>
      </c>
      <c r="R15" s="129">
        <f t="shared" si="1"/>
        <v>0</v>
      </c>
      <c r="S15" s="129">
        <f t="shared" si="1"/>
        <v>0</v>
      </c>
      <c r="T15" s="29"/>
      <c r="U15" s="29"/>
      <c r="V15" s="29"/>
      <c r="W15" s="29"/>
    </row>
    <row r="16" spans="1:23">
      <c r="A16" s="29"/>
      <c r="B16" s="29"/>
      <c r="C16" s="111"/>
      <c r="D16" s="30"/>
      <c r="E16" s="30"/>
      <c r="F16" s="30"/>
      <c r="G16" s="32"/>
      <c r="H16" s="32"/>
      <c r="I16" s="30"/>
      <c r="J16" s="23"/>
      <c r="K16" s="23"/>
      <c r="L16" s="23"/>
      <c r="M16" s="23"/>
      <c r="N16" s="23"/>
      <c r="O16" s="29"/>
      <c r="P16" s="29"/>
      <c r="Q16" s="29"/>
      <c r="R16" s="29"/>
      <c r="S16" s="29"/>
      <c r="T16" s="29"/>
      <c r="U16" s="29"/>
      <c r="V16" s="29"/>
      <c r="W16" s="29"/>
    </row>
    <row r="17" spans="1:23">
      <c r="A17" s="29"/>
      <c r="B17" s="29"/>
      <c r="C17" s="67" t="s">
        <v>167</v>
      </c>
      <c r="D17" s="30"/>
      <c r="E17" s="30"/>
      <c r="F17" s="30"/>
      <c r="G17" s="32"/>
      <c r="H17" s="32"/>
      <c r="I17" s="30"/>
      <c r="J17" s="23"/>
      <c r="K17" s="23"/>
      <c r="L17" s="23"/>
      <c r="M17" s="23"/>
      <c r="N17" s="23"/>
      <c r="O17" s="29"/>
      <c r="P17" s="29"/>
      <c r="Q17" s="29"/>
      <c r="R17" s="29"/>
      <c r="S17" s="29"/>
      <c r="T17" s="29"/>
      <c r="U17" s="29"/>
      <c r="V17" s="29"/>
      <c r="W17" s="29"/>
    </row>
    <row r="18" spans="1:23">
      <c r="A18" s="29"/>
      <c r="B18" s="29"/>
      <c r="C18" s="111"/>
      <c r="D18" s="30"/>
      <c r="E18" s="30"/>
      <c r="F18" s="30"/>
      <c r="G18" s="32"/>
      <c r="H18" s="32"/>
      <c r="I18" s="30"/>
      <c r="J18" s="23"/>
      <c r="K18" s="23"/>
      <c r="L18" s="23"/>
      <c r="M18" s="23"/>
      <c r="N18" s="23"/>
      <c r="O18" s="29"/>
      <c r="P18" s="29"/>
      <c r="Q18" s="29"/>
      <c r="R18" s="29"/>
      <c r="S18" s="29"/>
      <c r="T18" s="29"/>
      <c r="U18" s="29"/>
      <c r="V18" s="29"/>
      <c r="W18" s="29"/>
    </row>
    <row r="19" spans="1:23">
      <c r="A19" s="29"/>
      <c r="B19" s="29"/>
      <c r="C19" s="61" t="s">
        <v>39</v>
      </c>
      <c r="D19" s="30" t="s">
        <v>73</v>
      </c>
      <c r="E19" s="30" t="str">
        <f>$E$29</f>
        <v>$millions</v>
      </c>
      <c r="F19" s="161">
        <f t="shared" ref="F19:F27" si="2">$F$15</f>
        <v>42156</v>
      </c>
      <c r="G19" s="32"/>
      <c r="H19" s="32"/>
      <c r="I19" s="30"/>
      <c r="J19" s="164">
        <v>6.5481802155673687</v>
      </c>
      <c r="K19" s="164">
        <v>6.7320868152092892</v>
      </c>
      <c r="L19" s="164">
        <v>6.907582042811363</v>
      </c>
      <c r="M19" s="164">
        <v>7.0382705475357392</v>
      </c>
      <c r="N19" s="164">
        <v>7.1554306360701716</v>
      </c>
      <c r="O19" s="152"/>
      <c r="P19" s="152"/>
      <c r="Q19" s="152"/>
      <c r="R19" s="152"/>
      <c r="S19" s="152"/>
      <c r="T19" s="29" t="s">
        <v>190</v>
      </c>
      <c r="U19" s="29"/>
      <c r="V19" s="29"/>
      <c r="W19" s="29"/>
    </row>
    <row r="20" spans="1:23">
      <c r="A20" s="29"/>
      <c r="B20" s="29"/>
      <c r="C20" s="61" t="s">
        <v>122</v>
      </c>
      <c r="D20" s="30" t="s">
        <v>73</v>
      </c>
      <c r="E20" s="30" t="str">
        <f t="shared" ref="E20:E27" si="3">$E$15</f>
        <v>$millions</v>
      </c>
      <c r="F20" s="161">
        <f t="shared" si="2"/>
        <v>42156</v>
      </c>
      <c r="G20" s="32"/>
      <c r="H20" s="32"/>
      <c r="I20" s="30"/>
      <c r="J20" s="164"/>
      <c r="K20" s="164"/>
      <c r="L20" s="164"/>
      <c r="M20" s="164"/>
      <c r="N20" s="164"/>
      <c r="O20" s="152"/>
      <c r="P20" s="152"/>
      <c r="Q20" s="152"/>
      <c r="R20" s="152"/>
      <c r="S20" s="152"/>
      <c r="T20" s="29"/>
      <c r="U20" s="29"/>
      <c r="V20" s="29"/>
      <c r="W20" s="29"/>
    </row>
    <row r="21" spans="1:23">
      <c r="A21" s="29"/>
      <c r="B21" s="29"/>
      <c r="C21" s="61"/>
      <c r="D21" s="30" t="s">
        <v>73</v>
      </c>
      <c r="E21" s="30" t="str">
        <f t="shared" si="3"/>
        <v>$millions</v>
      </c>
      <c r="F21" s="161">
        <f t="shared" si="2"/>
        <v>42156</v>
      </c>
      <c r="G21" s="32"/>
      <c r="H21" s="32"/>
      <c r="I21" s="30"/>
      <c r="J21" s="164"/>
      <c r="K21" s="164"/>
      <c r="L21" s="164"/>
      <c r="M21" s="164"/>
      <c r="N21" s="164"/>
      <c r="O21" s="152"/>
      <c r="P21" s="152"/>
      <c r="Q21" s="152"/>
      <c r="R21" s="152"/>
      <c r="S21" s="152"/>
      <c r="T21" s="29"/>
      <c r="U21" s="29"/>
      <c r="V21" s="29"/>
      <c r="W21" s="29"/>
    </row>
    <row r="22" spans="1:23">
      <c r="A22" s="29"/>
      <c r="B22" s="29"/>
      <c r="C22" s="61"/>
      <c r="D22" s="30" t="s">
        <v>73</v>
      </c>
      <c r="E22" s="30" t="str">
        <f t="shared" si="3"/>
        <v>$millions</v>
      </c>
      <c r="F22" s="161">
        <f t="shared" si="2"/>
        <v>42156</v>
      </c>
      <c r="G22" s="32"/>
      <c r="H22" s="32"/>
      <c r="I22" s="30"/>
      <c r="J22" s="164"/>
      <c r="K22" s="164"/>
      <c r="L22" s="164"/>
      <c r="M22" s="164"/>
      <c r="N22" s="164"/>
      <c r="O22" s="152"/>
      <c r="P22" s="152"/>
      <c r="Q22" s="152"/>
      <c r="R22" s="152"/>
      <c r="S22" s="152"/>
      <c r="T22" s="29"/>
      <c r="U22" s="29"/>
      <c r="V22" s="29"/>
      <c r="W22" s="29"/>
    </row>
    <row r="23" spans="1:23">
      <c r="A23" s="29"/>
      <c r="B23" s="29"/>
      <c r="C23" s="61"/>
      <c r="D23" s="30" t="s">
        <v>73</v>
      </c>
      <c r="E23" s="30" t="str">
        <f t="shared" si="3"/>
        <v>$millions</v>
      </c>
      <c r="F23" s="161">
        <f t="shared" si="2"/>
        <v>42156</v>
      </c>
      <c r="G23" s="32"/>
      <c r="H23" s="32"/>
      <c r="I23" s="30"/>
      <c r="J23" s="164"/>
      <c r="K23" s="164"/>
      <c r="L23" s="164"/>
      <c r="M23" s="164"/>
      <c r="N23" s="164"/>
      <c r="O23" s="152"/>
      <c r="P23" s="152"/>
      <c r="Q23" s="152"/>
      <c r="R23" s="152"/>
      <c r="S23" s="152"/>
      <c r="T23" s="29"/>
      <c r="U23" s="29"/>
      <c r="V23" s="29"/>
      <c r="W23" s="29"/>
    </row>
    <row r="24" spans="1:23">
      <c r="A24" s="29"/>
      <c r="B24" s="29"/>
      <c r="C24" s="61"/>
      <c r="D24" s="30" t="s">
        <v>73</v>
      </c>
      <c r="E24" s="30" t="str">
        <f t="shared" si="3"/>
        <v>$millions</v>
      </c>
      <c r="F24" s="161">
        <f t="shared" si="2"/>
        <v>42156</v>
      </c>
      <c r="G24" s="32"/>
      <c r="H24" s="32"/>
      <c r="I24" s="30"/>
      <c r="J24" s="164"/>
      <c r="K24" s="164"/>
      <c r="L24" s="164"/>
      <c r="M24" s="164"/>
      <c r="N24" s="164"/>
      <c r="O24" s="152"/>
      <c r="P24" s="152"/>
      <c r="Q24" s="152"/>
      <c r="R24" s="152"/>
      <c r="S24" s="152"/>
      <c r="T24" s="29"/>
      <c r="U24" s="29"/>
      <c r="V24" s="29"/>
      <c r="W24" s="29"/>
    </row>
    <row r="25" spans="1:23">
      <c r="A25" s="29"/>
      <c r="B25" s="29"/>
      <c r="C25" s="61"/>
      <c r="D25" s="30" t="s">
        <v>73</v>
      </c>
      <c r="E25" s="30" t="str">
        <f t="shared" si="3"/>
        <v>$millions</v>
      </c>
      <c r="F25" s="161">
        <f t="shared" si="2"/>
        <v>42156</v>
      </c>
      <c r="G25" s="32"/>
      <c r="H25" s="32"/>
      <c r="I25" s="30"/>
      <c r="J25" s="164"/>
      <c r="K25" s="164"/>
      <c r="L25" s="164"/>
      <c r="M25" s="164"/>
      <c r="N25" s="164"/>
      <c r="O25" s="152"/>
      <c r="P25" s="152"/>
      <c r="Q25" s="152"/>
      <c r="R25" s="152"/>
      <c r="S25" s="152"/>
      <c r="T25" s="29"/>
      <c r="U25" s="29"/>
      <c r="V25" s="29"/>
      <c r="W25" s="29"/>
    </row>
    <row r="26" spans="1:23">
      <c r="A26" s="29"/>
      <c r="B26" s="29"/>
      <c r="C26" s="61"/>
      <c r="D26" s="30" t="s">
        <v>73</v>
      </c>
      <c r="E26" s="30" t="str">
        <f t="shared" si="3"/>
        <v>$millions</v>
      </c>
      <c r="F26" s="161">
        <f t="shared" si="2"/>
        <v>42156</v>
      </c>
      <c r="G26" s="32"/>
      <c r="H26" s="32"/>
      <c r="I26" s="30"/>
      <c r="J26" s="164"/>
      <c r="K26" s="164"/>
      <c r="L26" s="164"/>
      <c r="M26" s="164"/>
      <c r="N26" s="164"/>
      <c r="O26" s="152"/>
      <c r="P26" s="152"/>
      <c r="Q26" s="152"/>
      <c r="R26" s="152"/>
      <c r="S26" s="152"/>
      <c r="T26" s="29"/>
      <c r="U26" s="29"/>
      <c r="V26" s="29"/>
      <c r="W26" s="29"/>
    </row>
    <row r="27" spans="1:23">
      <c r="A27" s="29"/>
      <c r="B27" s="29"/>
      <c r="C27" s="61"/>
      <c r="D27" s="30" t="s">
        <v>73</v>
      </c>
      <c r="E27" s="30" t="str">
        <f t="shared" si="3"/>
        <v>$millions</v>
      </c>
      <c r="F27" s="161">
        <f t="shared" si="2"/>
        <v>42156</v>
      </c>
      <c r="G27" s="32"/>
      <c r="H27" s="32"/>
      <c r="I27" s="30"/>
      <c r="J27" s="164"/>
      <c r="K27" s="164"/>
      <c r="L27" s="164"/>
      <c r="M27" s="164"/>
      <c r="N27" s="164"/>
      <c r="O27" s="152"/>
      <c r="P27" s="152"/>
      <c r="Q27" s="152"/>
      <c r="R27" s="152"/>
      <c r="S27" s="152"/>
      <c r="T27" s="29"/>
      <c r="U27" s="29"/>
      <c r="V27" s="29"/>
      <c r="W27" s="29"/>
    </row>
    <row r="28" spans="1:23">
      <c r="A28" s="29"/>
      <c r="B28" s="29"/>
      <c r="C28" s="111"/>
      <c r="D28" s="30"/>
      <c r="E28" s="30"/>
      <c r="F28" s="30"/>
      <c r="G28" s="32"/>
      <c r="H28" s="32"/>
      <c r="I28" s="30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9"/>
      <c r="U28" s="29"/>
      <c r="V28" s="29"/>
      <c r="W28" s="29"/>
    </row>
    <row r="29" spans="1:23">
      <c r="A29" s="29"/>
      <c r="B29" s="29"/>
      <c r="C29" s="139" t="s">
        <v>165</v>
      </c>
      <c r="D29" s="140" t="s">
        <v>30</v>
      </c>
      <c r="E29" s="130" t="s">
        <v>15</v>
      </c>
      <c r="F29" s="162">
        <f>F27</f>
        <v>42156</v>
      </c>
      <c r="G29" s="32"/>
      <c r="H29" s="32"/>
      <c r="I29" s="30"/>
      <c r="J29" s="129">
        <f>SUM(J19:J27)</f>
        <v>6.5481802155673687</v>
      </c>
      <c r="K29" s="129">
        <f t="shared" ref="K29:S29" si="4">SUM(K19:K27)</f>
        <v>6.7320868152092892</v>
      </c>
      <c r="L29" s="129">
        <f t="shared" si="4"/>
        <v>6.907582042811363</v>
      </c>
      <c r="M29" s="129">
        <f t="shared" si="4"/>
        <v>7.0382705475357392</v>
      </c>
      <c r="N29" s="129">
        <f t="shared" si="4"/>
        <v>7.1554306360701716</v>
      </c>
      <c r="O29" s="129">
        <f t="shared" si="4"/>
        <v>0</v>
      </c>
      <c r="P29" s="129">
        <f t="shared" si="4"/>
        <v>0</v>
      </c>
      <c r="Q29" s="129">
        <f t="shared" si="4"/>
        <v>0</v>
      </c>
      <c r="R29" s="129">
        <f t="shared" si="4"/>
        <v>0</v>
      </c>
      <c r="S29" s="129">
        <f t="shared" si="4"/>
        <v>0</v>
      </c>
      <c r="T29" s="29"/>
      <c r="U29" s="29"/>
      <c r="V29" s="29"/>
      <c r="W29" s="29" t="str">
        <f>IF(COUNTIF(J19:S27,"&lt;0")&gt;0,"Check","Ok")</f>
        <v>Ok</v>
      </c>
    </row>
    <row r="30" spans="1:23">
      <c r="A30" s="29"/>
      <c r="B30" s="29"/>
      <c r="C30" s="29"/>
      <c r="D30" s="30"/>
      <c r="E30" s="30"/>
      <c r="F30" s="30"/>
      <c r="G30" s="32"/>
      <c r="H30" s="32"/>
      <c r="I30" s="30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</row>
    <row r="31" spans="1:23" ht="12.75">
      <c r="A31" s="94"/>
      <c r="B31" s="95" t="s">
        <v>61</v>
      </c>
      <c r="C31" s="94"/>
      <c r="D31" s="94"/>
      <c r="E31" s="94"/>
      <c r="F31" s="96"/>
      <c r="G31" s="96"/>
      <c r="H31" s="96"/>
      <c r="I31" s="96"/>
      <c r="J31" s="97"/>
      <c r="K31" s="98"/>
      <c r="L31" s="97"/>
      <c r="M31" s="98"/>
      <c r="N31" s="97"/>
      <c r="O31" s="97"/>
      <c r="P31" s="97"/>
      <c r="Q31" s="97"/>
      <c r="R31" s="97"/>
      <c r="S31" s="97"/>
      <c r="T31" s="97"/>
      <c r="U31" s="97"/>
      <c r="V31" s="98"/>
      <c r="W31" s="98"/>
    </row>
    <row r="32" spans="1:23">
      <c r="A32" s="29"/>
      <c r="B32" s="29"/>
      <c r="C32" s="29"/>
      <c r="D32" s="30"/>
      <c r="E32" s="30"/>
      <c r="F32" s="30"/>
      <c r="G32" s="30"/>
      <c r="H32" s="30"/>
      <c r="I32" s="30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  <c r="W32" s="29"/>
    </row>
    <row r="33" spans="1:23">
      <c r="A33" s="29"/>
      <c r="B33" s="29"/>
      <c r="C33" s="29"/>
      <c r="D33" s="30"/>
      <c r="E33" s="30"/>
      <c r="F33" s="30"/>
      <c r="G33" s="30"/>
      <c r="H33" s="30"/>
      <c r="I33" s="30"/>
      <c r="J33" s="164" t="s">
        <v>23</v>
      </c>
      <c r="K33" s="164" t="s">
        <v>23</v>
      </c>
      <c r="L33" s="164" t="s">
        <v>23</v>
      </c>
      <c r="M33" s="164" t="s">
        <v>78</v>
      </c>
      <c r="N33" s="164" t="s">
        <v>78</v>
      </c>
      <c r="O33" s="164"/>
      <c r="P33" s="164"/>
      <c r="Q33" s="164"/>
      <c r="R33" s="164"/>
      <c r="S33" s="164"/>
      <c r="T33" s="29"/>
      <c r="U33" s="29"/>
      <c r="V33" s="29"/>
      <c r="W33" s="29"/>
    </row>
    <row r="34" spans="1:23">
      <c r="A34" s="29"/>
      <c r="B34" s="29"/>
      <c r="C34" s="67" t="s">
        <v>80</v>
      </c>
      <c r="D34" s="32" t="s">
        <v>7</v>
      </c>
      <c r="E34" s="32" t="s">
        <v>8</v>
      </c>
      <c r="F34" s="32" t="s">
        <v>22</v>
      </c>
      <c r="G34" s="32"/>
      <c r="H34" s="32"/>
      <c r="I34" s="32"/>
      <c r="J34" s="159">
        <f t="shared" ref="J34:S34" si="5">IF(YEAR(J$4)&lt;=PPLastYear,J$4,"")</f>
        <v>42522</v>
      </c>
      <c r="K34" s="159">
        <f t="shared" si="5"/>
        <v>42887</v>
      </c>
      <c r="L34" s="159">
        <f t="shared" si="5"/>
        <v>43252</v>
      </c>
      <c r="M34" s="159">
        <f t="shared" si="5"/>
        <v>43617</v>
      </c>
      <c r="N34" s="159">
        <f t="shared" si="5"/>
        <v>43983</v>
      </c>
      <c r="O34" s="159" t="str">
        <f t="shared" si="5"/>
        <v/>
      </c>
      <c r="P34" s="159" t="str">
        <f t="shared" si="5"/>
        <v/>
      </c>
      <c r="Q34" s="159" t="str">
        <f t="shared" si="5"/>
        <v/>
      </c>
      <c r="R34" s="159" t="str">
        <f t="shared" si="5"/>
        <v/>
      </c>
      <c r="S34" s="159" t="str">
        <f t="shared" si="5"/>
        <v/>
      </c>
      <c r="T34" s="137" t="s">
        <v>57</v>
      </c>
      <c r="U34" s="138"/>
      <c r="V34" s="138"/>
      <c r="W34" s="29"/>
    </row>
    <row r="35" spans="1:23">
      <c r="A35" s="29"/>
      <c r="B35" s="29"/>
      <c r="C35" s="111"/>
      <c r="D35" s="30"/>
      <c r="E35" s="30"/>
      <c r="F35" s="30"/>
      <c r="G35" s="32"/>
      <c r="H35" s="32"/>
      <c r="I35" s="30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</row>
    <row r="36" spans="1:23">
      <c r="A36" s="29"/>
      <c r="B36" s="29"/>
      <c r="C36" s="111"/>
      <c r="D36" s="30"/>
      <c r="E36" s="30"/>
      <c r="F36" s="30"/>
      <c r="G36" s="32"/>
      <c r="H36" s="32"/>
      <c r="I36" s="30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</row>
    <row r="37" spans="1:23">
      <c r="A37" s="29"/>
      <c r="B37" s="29"/>
      <c r="C37" s="61" t="s">
        <v>77</v>
      </c>
      <c r="D37" s="30" t="s">
        <v>79</v>
      </c>
      <c r="E37" s="215" t="str">
        <f>$E$56</f>
        <v>$millions</v>
      </c>
      <c r="F37" s="216" t="s">
        <v>105</v>
      </c>
      <c r="G37" s="32"/>
      <c r="H37" s="32"/>
      <c r="I37" s="30"/>
      <c r="J37" s="164"/>
      <c r="K37" s="164"/>
      <c r="L37" s="164"/>
      <c r="M37" s="164">
        <f>350.66308</f>
        <v>350.66307999999998</v>
      </c>
      <c r="N37" s="164"/>
      <c r="O37" s="152"/>
      <c r="P37" s="152"/>
      <c r="Q37" s="152"/>
      <c r="R37" s="152"/>
      <c r="S37" s="152"/>
      <c r="T37" s="29" t="s">
        <v>179</v>
      </c>
      <c r="U37" s="29"/>
      <c r="V37" s="29"/>
      <c r="W37" s="29"/>
    </row>
    <row r="38" spans="1:23">
      <c r="A38" s="29"/>
      <c r="B38" s="29"/>
      <c r="C38" s="111"/>
      <c r="D38" s="30"/>
      <c r="E38" s="30"/>
      <c r="F38" s="161"/>
      <c r="G38" s="32"/>
      <c r="H38" s="32"/>
      <c r="I38" s="30"/>
      <c r="J38" s="164"/>
      <c r="K38" s="164"/>
      <c r="L38" s="164"/>
      <c r="M38" s="164"/>
      <c r="N38" s="164"/>
      <c r="O38" s="152"/>
      <c r="P38" s="152"/>
      <c r="Q38" s="152"/>
      <c r="R38" s="152"/>
      <c r="S38" s="152"/>
      <c r="T38" s="29"/>
      <c r="U38" s="29"/>
      <c r="V38" s="29"/>
      <c r="W38" s="29"/>
    </row>
    <row r="39" spans="1:23">
      <c r="A39" s="29"/>
      <c r="B39" s="29"/>
      <c r="C39" s="67" t="s">
        <v>194</v>
      </c>
      <c r="D39" s="30"/>
      <c r="E39" s="30"/>
      <c r="F39" s="161"/>
      <c r="G39" s="32"/>
      <c r="H39" s="32"/>
      <c r="I39" s="30"/>
      <c r="J39" s="164"/>
      <c r="K39" s="164"/>
      <c r="L39" s="164"/>
      <c r="M39" s="164"/>
      <c r="N39" s="164"/>
      <c r="O39" s="152"/>
      <c r="P39" s="152"/>
      <c r="Q39" s="152"/>
      <c r="R39" s="152"/>
      <c r="S39" s="152"/>
      <c r="T39" s="29"/>
      <c r="U39" s="29"/>
      <c r="V39" s="29"/>
      <c r="W39" s="29"/>
    </row>
    <row r="40" spans="1:23">
      <c r="A40" s="29"/>
      <c r="B40" s="29"/>
      <c r="C40" s="67"/>
      <c r="D40" s="30"/>
      <c r="E40" s="30"/>
      <c r="F40" s="161"/>
      <c r="G40" s="32"/>
      <c r="H40" s="32"/>
      <c r="I40" s="30"/>
      <c r="J40" s="164"/>
      <c r="K40" s="164"/>
      <c r="L40" s="164"/>
      <c r="M40" s="164"/>
      <c r="N40" s="164"/>
      <c r="O40" s="152"/>
      <c r="P40" s="152"/>
      <c r="Q40" s="152"/>
      <c r="R40" s="152"/>
      <c r="S40" s="152"/>
      <c r="T40" s="29"/>
      <c r="U40" s="29"/>
      <c r="V40" s="29"/>
      <c r="W40" s="29"/>
    </row>
    <row r="41" spans="1:23">
      <c r="A41" s="29"/>
      <c r="B41" s="29"/>
      <c r="C41" s="61" t="s">
        <v>208</v>
      </c>
      <c r="D41" s="30" t="s">
        <v>79</v>
      </c>
      <c r="E41" s="30" t="str">
        <f>$E$56</f>
        <v>$millions</v>
      </c>
      <c r="F41" s="161" t="str">
        <f>$F$37</f>
        <v>nominal</v>
      </c>
      <c r="G41" s="32"/>
      <c r="H41" s="32"/>
      <c r="I41" s="30"/>
      <c r="J41" s="164"/>
      <c r="K41" s="164"/>
      <c r="L41" s="164"/>
      <c r="M41" s="164">
        <f>-1.60332</f>
        <v>-1.6033200000000001</v>
      </c>
      <c r="N41" s="164"/>
      <c r="O41" s="152"/>
      <c r="P41" s="152"/>
      <c r="Q41" s="152"/>
      <c r="R41" s="152"/>
      <c r="S41" s="152"/>
      <c r="T41" s="29" t="s">
        <v>193</v>
      </c>
      <c r="U41" s="29"/>
      <c r="V41" s="29"/>
      <c r="W41" s="29"/>
    </row>
    <row r="42" spans="1:23">
      <c r="A42" s="29"/>
      <c r="B42" s="29"/>
      <c r="C42" s="61" t="s">
        <v>209</v>
      </c>
      <c r="D42" s="30" t="s">
        <v>79</v>
      </c>
      <c r="E42" s="30" t="str">
        <f>$E$56</f>
        <v>$millions</v>
      </c>
      <c r="F42" s="161" t="str">
        <f t="shared" ref="F42:F45" si="6">$F$37</f>
        <v>nominal</v>
      </c>
      <c r="G42" s="32"/>
      <c r="H42" s="32"/>
      <c r="I42" s="30"/>
      <c r="J42" s="164"/>
      <c r="K42" s="164"/>
      <c r="L42" s="164"/>
      <c r="M42" s="164">
        <v>0.37400499999999998</v>
      </c>
      <c r="N42" s="164"/>
      <c r="O42" s="152"/>
      <c r="P42" s="152"/>
      <c r="Q42" s="152"/>
      <c r="R42" s="152"/>
      <c r="S42" s="152"/>
      <c r="T42" s="29"/>
      <c r="U42" s="29"/>
      <c r="V42" s="29"/>
      <c r="W42" s="29"/>
    </row>
    <row r="43" spans="1:23">
      <c r="A43" s="29"/>
      <c r="B43" s="29"/>
      <c r="C43" s="61"/>
      <c r="D43" s="30" t="s">
        <v>79</v>
      </c>
      <c r="E43" s="30" t="str">
        <f>$E$56</f>
        <v>$millions</v>
      </c>
      <c r="F43" s="161" t="str">
        <f t="shared" si="6"/>
        <v>nominal</v>
      </c>
      <c r="G43" s="32"/>
      <c r="H43" s="32"/>
      <c r="I43" s="30"/>
      <c r="J43" s="164"/>
      <c r="K43" s="164"/>
      <c r="L43" s="164"/>
      <c r="M43" s="164"/>
      <c r="N43" s="164"/>
      <c r="O43" s="152"/>
      <c r="P43" s="152"/>
      <c r="Q43" s="152"/>
      <c r="R43" s="152"/>
      <c r="S43" s="152"/>
      <c r="T43" s="29"/>
      <c r="U43" s="29"/>
      <c r="V43" s="29"/>
      <c r="W43" s="29"/>
    </row>
    <row r="44" spans="1:23">
      <c r="A44" s="29"/>
      <c r="B44" s="29"/>
      <c r="C44" s="61"/>
      <c r="D44" s="30" t="s">
        <v>79</v>
      </c>
      <c r="E44" s="30" t="str">
        <f>$E$56</f>
        <v>$millions</v>
      </c>
      <c r="F44" s="161" t="str">
        <f t="shared" si="6"/>
        <v>nominal</v>
      </c>
      <c r="G44" s="32"/>
      <c r="H44" s="32"/>
      <c r="I44" s="30"/>
      <c r="J44" s="164"/>
      <c r="K44" s="164"/>
      <c r="L44" s="164"/>
      <c r="M44" s="164"/>
      <c r="N44" s="164"/>
      <c r="O44" s="152"/>
      <c r="P44" s="152"/>
      <c r="Q44" s="152"/>
      <c r="R44" s="152"/>
      <c r="S44" s="152"/>
      <c r="T44" s="29"/>
      <c r="U44" s="29"/>
      <c r="V44" s="29"/>
      <c r="W44" s="29"/>
    </row>
    <row r="45" spans="1:23">
      <c r="A45" s="29"/>
      <c r="B45" s="29"/>
      <c r="C45" s="61"/>
      <c r="D45" s="30" t="s">
        <v>79</v>
      </c>
      <c r="E45" s="30" t="str">
        <f>$E$56</f>
        <v>$millions</v>
      </c>
      <c r="F45" s="161" t="str">
        <f t="shared" si="6"/>
        <v>nominal</v>
      </c>
      <c r="G45" s="32"/>
      <c r="H45" s="32"/>
      <c r="I45" s="30"/>
      <c r="J45" s="164"/>
      <c r="K45" s="164"/>
      <c r="L45" s="164"/>
      <c r="M45" s="164"/>
      <c r="N45" s="164"/>
      <c r="O45" s="152"/>
      <c r="P45" s="152"/>
      <c r="Q45" s="152"/>
      <c r="R45" s="152"/>
      <c r="S45" s="152"/>
      <c r="T45" s="29"/>
      <c r="U45" s="29"/>
      <c r="V45" s="29"/>
      <c r="W45" s="29"/>
    </row>
    <row r="46" spans="1:23">
      <c r="A46" s="29"/>
      <c r="B46" s="29"/>
      <c r="C46" s="111"/>
      <c r="D46" s="30"/>
      <c r="E46" s="30"/>
      <c r="F46" s="30"/>
      <c r="G46" s="32"/>
      <c r="H46" s="32"/>
      <c r="I46" s="30"/>
      <c r="J46" s="29"/>
      <c r="K46" s="29"/>
      <c r="L46" s="29"/>
      <c r="M46" s="29"/>
      <c r="N46" s="141"/>
      <c r="O46" s="29"/>
      <c r="P46" s="29"/>
      <c r="Q46" s="29"/>
      <c r="R46" s="29"/>
      <c r="S46" s="29"/>
      <c r="T46" s="29"/>
      <c r="U46" s="29"/>
      <c r="V46" s="29"/>
      <c r="W46" s="29"/>
    </row>
    <row r="47" spans="1:23">
      <c r="A47" s="29"/>
      <c r="B47" s="29"/>
      <c r="C47" s="139" t="s">
        <v>191</v>
      </c>
      <c r="D47" s="140" t="s">
        <v>30</v>
      </c>
      <c r="E47" s="191" t="str">
        <f>$E$56</f>
        <v>$millions</v>
      </c>
      <c r="F47" s="192" t="str">
        <f>F37</f>
        <v>nominal</v>
      </c>
      <c r="G47" s="32"/>
      <c r="H47" s="32"/>
      <c r="I47" s="30"/>
      <c r="J47" s="129">
        <f>J37-SUM(J41:J45)</f>
        <v>0</v>
      </c>
      <c r="K47" s="129">
        <f t="shared" ref="K47:S47" si="7">K37-SUM(K41:K45)</f>
        <v>0</v>
      </c>
      <c r="L47" s="129">
        <f t="shared" si="7"/>
        <v>0</v>
      </c>
      <c r="M47" s="129">
        <f t="shared" si="7"/>
        <v>351.89239499999996</v>
      </c>
      <c r="N47" s="129">
        <f t="shared" si="7"/>
        <v>0</v>
      </c>
      <c r="O47" s="129">
        <f t="shared" si="7"/>
        <v>0</v>
      </c>
      <c r="P47" s="129">
        <f t="shared" si="7"/>
        <v>0</v>
      </c>
      <c r="Q47" s="129">
        <f t="shared" si="7"/>
        <v>0</v>
      </c>
      <c r="R47" s="129">
        <f t="shared" si="7"/>
        <v>0</v>
      </c>
      <c r="S47" s="129">
        <f t="shared" si="7"/>
        <v>0</v>
      </c>
      <c r="T47" s="29"/>
      <c r="U47" s="29"/>
      <c r="V47" s="29"/>
      <c r="W47" s="29"/>
    </row>
    <row r="48" spans="1:23">
      <c r="A48" s="29"/>
      <c r="B48" s="29"/>
      <c r="C48" s="29"/>
      <c r="D48" s="30"/>
      <c r="E48" s="30"/>
      <c r="F48" s="30"/>
      <c r="G48" s="30"/>
      <c r="H48" s="30"/>
      <c r="I48" s="30"/>
      <c r="J48" s="165"/>
      <c r="K48" s="165"/>
      <c r="L48" s="165"/>
      <c r="M48" s="165"/>
      <c r="N48" s="165"/>
      <c r="O48" s="29"/>
      <c r="P48" s="29"/>
      <c r="Q48" s="29"/>
      <c r="R48" s="29"/>
      <c r="S48" s="29"/>
      <c r="T48" s="29"/>
      <c r="U48" s="29"/>
      <c r="V48" s="29"/>
      <c r="W48" s="29"/>
    </row>
    <row r="49" spans="1:23">
      <c r="A49" s="29"/>
      <c r="B49" s="29"/>
      <c r="C49" s="67" t="s">
        <v>116</v>
      </c>
      <c r="D49" s="30"/>
      <c r="E49" s="30"/>
      <c r="F49" s="30"/>
      <c r="G49" s="30"/>
      <c r="H49" s="30"/>
      <c r="I49" s="30"/>
      <c r="J49" s="165"/>
      <c r="K49" s="165"/>
      <c r="L49" s="165"/>
      <c r="M49" s="165"/>
      <c r="N49" s="165"/>
      <c r="O49" s="29"/>
      <c r="P49" s="29"/>
      <c r="Q49" s="29"/>
      <c r="R49" s="29"/>
      <c r="S49" s="29"/>
      <c r="T49" s="29"/>
      <c r="U49" s="29"/>
      <c r="V49" s="29"/>
      <c r="W49" s="29"/>
    </row>
    <row r="50" spans="1:23">
      <c r="A50" s="29"/>
      <c r="B50" s="29"/>
      <c r="C50" s="29"/>
      <c r="D50" s="30"/>
      <c r="E50" s="30"/>
      <c r="F50" s="30"/>
      <c r="G50" s="30"/>
      <c r="H50" s="30"/>
      <c r="I50" s="30"/>
      <c r="J50" s="165"/>
      <c r="K50" s="165"/>
      <c r="L50" s="165"/>
      <c r="M50" s="165"/>
      <c r="N50" s="165"/>
      <c r="O50" s="29"/>
      <c r="P50" s="29"/>
      <c r="Q50" s="29"/>
      <c r="R50" s="29"/>
      <c r="S50" s="29"/>
      <c r="T50" s="29"/>
      <c r="U50" s="29"/>
      <c r="V50" s="29"/>
      <c r="W50" s="29"/>
    </row>
    <row r="51" spans="1:23">
      <c r="A51" s="29"/>
      <c r="B51" s="29"/>
      <c r="C51" s="61" t="s">
        <v>39</v>
      </c>
      <c r="D51" s="30" t="s">
        <v>79</v>
      </c>
      <c r="E51" s="30" t="str">
        <f>$E$56</f>
        <v>$millions</v>
      </c>
      <c r="F51" s="161" t="str">
        <f t="shared" ref="F51:F54" si="8">$F$56</f>
        <v>nominal</v>
      </c>
      <c r="G51" s="32"/>
      <c r="H51" s="32"/>
      <c r="I51" s="30"/>
      <c r="J51" s="164"/>
      <c r="K51" s="164"/>
      <c r="L51" s="164"/>
      <c r="M51" s="164"/>
      <c r="N51" s="164"/>
      <c r="O51" s="152"/>
      <c r="P51" s="152"/>
      <c r="Q51" s="152"/>
      <c r="R51" s="152"/>
      <c r="S51" s="152"/>
      <c r="T51" s="29" t="s">
        <v>190</v>
      </c>
      <c r="U51" s="29"/>
      <c r="V51" s="29"/>
      <c r="W51" s="29"/>
    </row>
    <row r="52" spans="1:23">
      <c r="A52" s="29"/>
      <c r="B52" s="29"/>
      <c r="C52" s="61" t="s">
        <v>122</v>
      </c>
      <c r="D52" s="30" t="s">
        <v>79</v>
      </c>
      <c r="E52" s="30" t="str">
        <f>$E$56</f>
        <v>$millions</v>
      </c>
      <c r="F52" s="161" t="str">
        <f t="shared" si="8"/>
        <v>nominal</v>
      </c>
      <c r="G52" s="32"/>
      <c r="H52" s="32"/>
      <c r="I52" s="30"/>
      <c r="J52" s="164"/>
      <c r="K52" s="164"/>
      <c r="L52" s="164"/>
      <c r="M52" s="164"/>
      <c r="N52" s="164"/>
      <c r="O52" s="152"/>
      <c r="P52" s="152"/>
      <c r="Q52" s="152"/>
      <c r="R52" s="152"/>
      <c r="S52" s="152"/>
      <c r="T52" s="29"/>
      <c r="U52" s="29"/>
      <c r="V52" s="29"/>
      <c r="W52" s="29"/>
    </row>
    <row r="53" spans="1:23">
      <c r="A53" s="29"/>
      <c r="B53" s="29"/>
      <c r="C53" s="61"/>
      <c r="D53" s="30" t="s">
        <v>79</v>
      </c>
      <c r="E53" s="30" t="str">
        <f>$E$56</f>
        <v>$millions</v>
      </c>
      <c r="F53" s="161" t="str">
        <f t="shared" si="8"/>
        <v>nominal</v>
      </c>
      <c r="G53" s="32"/>
      <c r="H53" s="32"/>
      <c r="I53" s="30"/>
      <c r="J53" s="164"/>
      <c r="K53" s="164"/>
      <c r="L53" s="164"/>
      <c r="M53" s="164"/>
      <c r="N53" s="164"/>
      <c r="O53" s="152"/>
      <c r="P53" s="152"/>
      <c r="Q53" s="152"/>
      <c r="R53" s="152"/>
      <c r="S53" s="152"/>
      <c r="T53" s="29"/>
      <c r="U53" s="29"/>
      <c r="V53" s="29"/>
      <c r="W53" s="29"/>
    </row>
    <row r="54" spans="1:23">
      <c r="A54" s="29"/>
      <c r="B54" s="29"/>
      <c r="C54" s="61"/>
      <c r="D54" s="30" t="s">
        <v>79</v>
      </c>
      <c r="E54" s="30" t="str">
        <f>$E$56</f>
        <v>$millions</v>
      </c>
      <c r="F54" s="161" t="str">
        <f t="shared" si="8"/>
        <v>nominal</v>
      </c>
      <c r="G54" s="32"/>
      <c r="H54" s="32"/>
      <c r="I54" s="30"/>
      <c r="J54" s="164"/>
      <c r="K54" s="164"/>
      <c r="L54" s="164"/>
      <c r="M54" s="164"/>
      <c r="N54" s="164"/>
      <c r="O54" s="152"/>
      <c r="P54" s="152"/>
      <c r="Q54" s="152"/>
      <c r="R54" s="152"/>
      <c r="S54" s="152"/>
      <c r="T54" s="29"/>
      <c r="U54" s="29"/>
      <c r="V54" s="29"/>
      <c r="W54" s="29"/>
    </row>
    <row r="55" spans="1:23">
      <c r="A55" s="29"/>
      <c r="B55" s="29"/>
      <c r="C55" s="111"/>
      <c r="D55" s="30"/>
      <c r="E55" s="30"/>
      <c r="F55" s="30"/>
      <c r="G55" s="32"/>
      <c r="H55" s="32"/>
      <c r="I55" s="30"/>
      <c r="J55" s="29"/>
      <c r="K55" s="29"/>
      <c r="L55" s="29"/>
      <c r="M55" s="29"/>
      <c r="N55" s="141"/>
      <c r="O55" s="29"/>
      <c r="P55" s="29"/>
      <c r="Q55" s="29"/>
      <c r="R55" s="29"/>
      <c r="S55" s="29"/>
      <c r="T55" s="29"/>
      <c r="U55" s="29"/>
      <c r="V55" s="29"/>
      <c r="W55" s="29"/>
    </row>
    <row r="56" spans="1:23">
      <c r="A56" s="29"/>
      <c r="B56" s="29"/>
      <c r="C56" s="139" t="s">
        <v>165</v>
      </c>
      <c r="D56" s="140" t="s">
        <v>30</v>
      </c>
      <c r="E56" s="130" t="s">
        <v>15</v>
      </c>
      <c r="F56" s="162" t="s">
        <v>105</v>
      </c>
      <c r="G56" s="32"/>
      <c r="H56" s="32"/>
      <c r="I56" s="30"/>
      <c r="J56" s="187">
        <f>SUM(J51:J54)</f>
        <v>0</v>
      </c>
      <c r="K56" s="187">
        <f t="shared" ref="K56:S56" si="9">SUM(K51:K54)</f>
        <v>0</v>
      </c>
      <c r="L56" s="187">
        <f t="shared" si="9"/>
        <v>0</v>
      </c>
      <c r="M56" s="187">
        <f t="shared" si="9"/>
        <v>0</v>
      </c>
      <c r="N56" s="187">
        <f t="shared" si="9"/>
        <v>0</v>
      </c>
      <c r="O56" s="187">
        <f t="shared" si="9"/>
        <v>0</v>
      </c>
      <c r="P56" s="187">
        <f t="shared" si="9"/>
        <v>0</v>
      </c>
      <c r="Q56" s="187">
        <f t="shared" si="9"/>
        <v>0</v>
      </c>
      <c r="R56" s="187">
        <f t="shared" si="9"/>
        <v>0</v>
      </c>
      <c r="S56" s="187">
        <f t="shared" si="9"/>
        <v>0</v>
      </c>
      <c r="T56" s="29"/>
      <c r="U56" s="29"/>
      <c r="V56" s="29"/>
      <c r="W56" s="29" t="str">
        <f>IF(COUNTIF(J51:S54,"&lt;0")&gt;0,"Check","Ok")</f>
        <v>Ok</v>
      </c>
    </row>
    <row r="57" spans="1:23">
      <c r="A57" s="29"/>
      <c r="B57" s="29"/>
      <c r="C57" s="29"/>
      <c r="D57" s="30"/>
      <c r="E57" s="30"/>
      <c r="F57" s="30"/>
      <c r="G57" s="32"/>
      <c r="H57" s="32"/>
      <c r="I57" s="30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</row>
    <row r="58" spans="1:23" ht="12.75">
      <c r="A58" s="94"/>
      <c r="B58" s="95" t="s">
        <v>117</v>
      </c>
      <c r="C58" s="94"/>
      <c r="D58" s="94"/>
      <c r="E58" s="94"/>
      <c r="F58" s="96"/>
      <c r="G58" s="96"/>
      <c r="H58" s="96"/>
      <c r="I58" s="96"/>
      <c r="J58" s="97"/>
      <c r="K58" s="98"/>
      <c r="L58" s="97"/>
      <c r="M58" s="98"/>
      <c r="N58" s="97"/>
      <c r="O58" s="97"/>
      <c r="P58" s="97"/>
      <c r="Q58" s="97"/>
      <c r="R58" s="97"/>
      <c r="S58" s="97"/>
      <c r="T58" s="97"/>
      <c r="U58" s="97"/>
      <c r="V58" s="98"/>
      <c r="W58" s="98"/>
    </row>
    <row r="59" spans="1:23">
      <c r="A59" s="29"/>
      <c r="B59" s="29"/>
      <c r="C59" s="29"/>
      <c r="D59" s="30"/>
      <c r="E59" s="30"/>
      <c r="F59" s="30"/>
      <c r="G59" s="30"/>
      <c r="H59" s="30"/>
      <c r="I59" s="30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</row>
    <row r="60" spans="1:23">
      <c r="A60" s="29"/>
      <c r="B60" s="29"/>
      <c r="C60" s="67" t="s">
        <v>118</v>
      </c>
      <c r="D60" s="32" t="s">
        <v>7</v>
      </c>
      <c r="E60" s="32" t="s">
        <v>8</v>
      </c>
      <c r="F60" s="32" t="s">
        <v>22</v>
      </c>
      <c r="G60" s="32"/>
      <c r="H60" s="32"/>
      <c r="I60" s="32"/>
      <c r="J60" s="159" t="str">
        <f t="shared" ref="J60:S60" si="10">IF(YEAR(J$4)=PPLastYear,J$4,"")</f>
        <v/>
      </c>
      <c r="K60" s="159" t="str">
        <f t="shared" si="10"/>
        <v/>
      </c>
      <c r="L60" s="159" t="str">
        <f t="shared" si="10"/>
        <v/>
      </c>
      <c r="M60" s="159" t="str">
        <f t="shared" si="10"/>
        <v/>
      </c>
      <c r="N60" s="159">
        <f t="shared" si="10"/>
        <v>43983</v>
      </c>
      <c r="O60" s="159" t="str">
        <f t="shared" si="10"/>
        <v/>
      </c>
      <c r="P60" s="159" t="str">
        <f t="shared" si="10"/>
        <v/>
      </c>
      <c r="Q60" s="159" t="str">
        <f t="shared" si="10"/>
        <v/>
      </c>
      <c r="R60" s="159" t="str">
        <f t="shared" si="10"/>
        <v/>
      </c>
      <c r="S60" s="159" t="str">
        <f t="shared" si="10"/>
        <v/>
      </c>
      <c r="T60" s="29"/>
      <c r="U60" s="29"/>
      <c r="V60" s="29"/>
      <c r="W60" s="29"/>
    </row>
    <row r="61" spans="1:23">
      <c r="A61" s="29"/>
      <c r="B61" s="29"/>
      <c r="C61" s="67"/>
      <c r="D61" s="32"/>
      <c r="E61" s="32"/>
      <c r="F61" s="32"/>
      <c r="G61" s="32"/>
      <c r="H61" s="32"/>
      <c r="I61" s="32"/>
      <c r="J61" s="163"/>
      <c r="K61" s="163"/>
      <c r="L61" s="163"/>
      <c r="M61" s="163"/>
      <c r="N61" s="163"/>
      <c r="O61" s="163"/>
      <c r="P61" s="163"/>
      <c r="Q61" s="222"/>
      <c r="R61" s="222"/>
      <c r="S61" s="222"/>
      <c r="T61" s="198"/>
      <c r="U61" s="198"/>
      <c r="V61" s="198"/>
      <c r="W61" s="198"/>
    </row>
    <row r="62" spans="1:23">
      <c r="A62" s="29"/>
      <c r="B62" s="29"/>
      <c r="C62" s="61" t="s">
        <v>199</v>
      </c>
      <c r="D62" s="30" t="s">
        <v>34</v>
      </c>
      <c r="E62" s="30" t="str">
        <f>$E$56</f>
        <v>$millions</v>
      </c>
      <c r="F62" s="172">
        <v>43983</v>
      </c>
      <c r="G62" s="32"/>
      <c r="H62" s="32"/>
      <c r="I62" s="32"/>
      <c r="J62" s="164"/>
      <c r="K62" s="164"/>
      <c r="L62" s="164"/>
      <c r="M62" s="164"/>
      <c r="N62" s="164">
        <v>2.9869467975120516</v>
      </c>
      <c r="O62" s="164"/>
      <c r="P62" s="164"/>
      <c r="Q62" s="164"/>
      <c r="S62" s="164"/>
      <c r="T62" s="198"/>
      <c r="U62" s="165"/>
      <c r="V62" s="165"/>
      <c r="W62" s="198"/>
    </row>
    <row r="63" spans="1:23">
      <c r="A63" s="29"/>
      <c r="B63" s="29"/>
      <c r="C63" s="61" t="s">
        <v>200</v>
      </c>
      <c r="D63" s="30" t="s">
        <v>34</v>
      </c>
      <c r="E63" s="30" t="str">
        <f t="shared" ref="E63:E68" si="11">$E$56</f>
        <v>$millions</v>
      </c>
      <c r="F63" s="172">
        <v>43983</v>
      </c>
      <c r="G63" s="32"/>
      <c r="H63" s="32"/>
      <c r="I63" s="32"/>
      <c r="J63" s="164"/>
      <c r="K63" s="164"/>
      <c r="L63" s="164"/>
      <c r="M63" s="164"/>
      <c r="N63" s="164">
        <v>1.4264106454174759</v>
      </c>
      <c r="O63" s="164"/>
      <c r="P63" s="164"/>
      <c r="Q63" s="164"/>
      <c r="R63" s="222"/>
      <c r="S63" s="164"/>
      <c r="T63" s="222"/>
      <c r="U63" s="223"/>
      <c r="V63" s="224"/>
      <c r="W63" s="198"/>
    </row>
    <row r="64" spans="1:23">
      <c r="A64" s="29"/>
      <c r="B64" s="29"/>
      <c r="C64" s="61" t="s">
        <v>207</v>
      </c>
      <c r="D64" s="30" t="s">
        <v>34</v>
      </c>
      <c r="E64" s="30" t="str">
        <f t="shared" si="11"/>
        <v>$millions</v>
      </c>
      <c r="F64" s="172">
        <v>43983</v>
      </c>
      <c r="G64" s="32"/>
      <c r="H64" s="32"/>
      <c r="I64" s="32"/>
      <c r="J64" s="164"/>
      <c r="K64" s="164"/>
      <c r="L64" s="164"/>
      <c r="M64" s="164"/>
      <c r="N64" s="164"/>
      <c r="O64" s="164"/>
      <c r="P64" s="164"/>
      <c r="Q64" s="164"/>
      <c r="R64" s="164"/>
      <c r="S64" s="164"/>
      <c r="T64" s="104"/>
      <c r="U64" s="165"/>
      <c r="V64" s="165"/>
      <c r="W64" s="198"/>
    </row>
    <row r="65" spans="1:23">
      <c r="A65" s="29"/>
      <c r="B65" s="29"/>
      <c r="C65" s="61" t="s">
        <v>119</v>
      </c>
      <c r="D65" s="30" t="s">
        <v>34</v>
      </c>
      <c r="E65" s="30" t="str">
        <f t="shared" si="11"/>
        <v>$millions</v>
      </c>
      <c r="F65" s="172">
        <v>42522</v>
      </c>
      <c r="G65" s="32"/>
      <c r="H65" s="32"/>
      <c r="I65" s="32"/>
      <c r="J65" s="164"/>
      <c r="K65" s="164"/>
      <c r="L65" s="164"/>
      <c r="M65" s="164"/>
      <c r="N65" s="164"/>
      <c r="O65" s="164"/>
      <c r="P65" s="164"/>
      <c r="Q65" s="164"/>
      <c r="R65" s="164"/>
      <c r="S65" s="164"/>
      <c r="T65" s="104"/>
      <c r="U65" s="165"/>
      <c r="V65" s="165"/>
      <c r="W65" s="198"/>
    </row>
    <row r="66" spans="1:23">
      <c r="A66" s="29"/>
      <c r="B66" s="29"/>
      <c r="C66" s="61" t="s">
        <v>120</v>
      </c>
      <c r="D66" s="30" t="s">
        <v>34</v>
      </c>
      <c r="E66" s="30" t="str">
        <f t="shared" si="11"/>
        <v>$millions</v>
      </c>
      <c r="F66" s="172">
        <v>42522</v>
      </c>
      <c r="G66" s="32"/>
      <c r="H66" s="32"/>
      <c r="I66" s="32"/>
      <c r="J66" s="164"/>
      <c r="K66" s="164"/>
      <c r="L66" s="164"/>
      <c r="M66" s="164"/>
      <c r="N66" s="164"/>
      <c r="O66" s="164"/>
      <c r="P66" s="164"/>
      <c r="Q66" s="164"/>
      <c r="R66" s="164"/>
      <c r="S66" s="164"/>
      <c r="T66" s="124"/>
      <c r="U66" s="142"/>
      <c r="V66" s="142"/>
      <c r="W66" s="29"/>
    </row>
    <row r="67" spans="1:23" s="102" customFormat="1">
      <c r="A67" s="198"/>
      <c r="B67" s="198"/>
      <c r="C67" s="199"/>
      <c r="D67" s="105"/>
      <c r="E67" s="105"/>
      <c r="F67" s="200"/>
      <c r="G67" s="201"/>
      <c r="H67" s="201"/>
      <c r="I67" s="201"/>
      <c r="J67" s="202"/>
      <c r="K67" s="202"/>
      <c r="L67" s="202"/>
      <c r="M67" s="202"/>
      <c r="N67" s="202"/>
      <c r="O67" s="202"/>
      <c r="P67" s="202"/>
      <c r="Q67" s="202"/>
      <c r="R67" s="202"/>
      <c r="S67" s="202"/>
      <c r="T67" s="104"/>
      <c r="U67" s="165"/>
      <c r="V67" s="165"/>
      <c r="W67" s="198"/>
    </row>
    <row r="68" spans="1:23">
      <c r="A68" s="29"/>
      <c r="B68" s="29"/>
      <c r="C68" s="61" t="s">
        <v>192</v>
      </c>
      <c r="D68" s="30" t="s">
        <v>34</v>
      </c>
      <c r="E68" s="30" t="str">
        <f t="shared" si="11"/>
        <v>$millions</v>
      </c>
      <c r="F68" s="172">
        <v>42522</v>
      </c>
      <c r="G68" s="32"/>
      <c r="H68" s="32"/>
      <c r="I68" s="32"/>
      <c r="J68" s="164"/>
      <c r="K68" s="164"/>
      <c r="L68" s="164"/>
      <c r="M68" s="164"/>
      <c r="N68" s="164"/>
      <c r="O68" s="164"/>
      <c r="P68" s="164"/>
      <c r="Q68" s="164"/>
      <c r="R68" s="164"/>
      <c r="S68" s="164"/>
      <c r="T68" s="124"/>
      <c r="U68" s="142"/>
      <c r="V68" s="142"/>
      <c r="W68" s="29"/>
    </row>
    <row r="69" spans="1:23" s="102" customFormat="1">
      <c r="A69" s="198"/>
      <c r="B69" s="198"/>
      <c r="C69" s="199"/>
      <c r="D69" s="105"/>
      <c r="E69" s="105"/>
      <c r="F69" s="200"/>
      <c r="G69" s="201"/>
      <c r="H69" s="201"/>
      <c r="I69" s="201"/>
      <c r="J69" s="202"/>
      <c r="K69" s="202"/>
      <c r="L69" s="202"/>
      <c r="M69" s="202"/>
      <c r="N69" s="202"/>
      <c r="O69" s="202"/>
      <c r="P69" s="202"/>
      <c r="Q69" s="202"/>
      <c r="R69" s="202"/>
      <c r="S69" s="202"/>
      <c r="T69" s="104"/>
      <c r="U69" s="165"/>
      <c r="V69" s="165"/>
      <c r="W69" s="198"/>
    </row>
    <row r="70" spans="1:23">
      <c r="A70" s="29"/>
      <c r="B70" s="29"/>
      <c r="C70" s="61" t="s">
        <v>93</v>
      </c>
      <c r="D70" s="30" t="s">
        <v>34</v>
      </c>
      <c r="E70" s="30" t="s">
        <v>31</v>
      </c>
      <c r="F70" s="32"/>
      <c r="G70" s="32"/>
      <c r="H70" s="32"/>
      <c r="I70" s="32"/>
      <c r="J70" s="203"/>
      <c r="K70" s="203"/>
      <c r="L70" s="203"/>
      <c r="M70" s="203"/>
      <c r="N70" s="203"/>
      <c r="O70" s="203"/>
      <c r="P70" s="203"/>
      <c r="Q70" s="203"/>
      <c r="R70" s="203"/>
      <c r="S70" s="203"/>
      <c r="T70" s="124"/>
      <c r="U70" s="142"/>
      <c r="V70" s="142"/>
      <c r="W70" s="29"/>
    </row>
    <row r="71" spans="1:23">
      <c r="A71" s="29"/>
      <c r="B71" s="29"/>
      <c r="C71" s="111"/>
      <c r="D71" s="30"/>
      <c r="E71" s="30"/>
      <c r="F71" s="30"/>
      <c r="G71" s="32"/>
      <c r="H71" s="32"/>
      <c r="I71" s="30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</row>
    <row r="72" spans="1:23" ht="12.75">
      <c r="A72" s="94"/>
      <c r="B72" s="95" t="s">
        <v>21</v>
      </c>
      <c r="C72" s="94"/>
      <c r="D72" s="94"/>
      <c r="E72" s="94"/>
      <c r="F72" s="96"/>
      <c r="G72" s="96"/>
      <c r="H72" s="96"/>
      <c r="I72" s="96"/>
      <c r="J72" s="97"/>
      <c r="K72" s="98"/>
      <c r="L72" s="97"/>
      <c r="M72" s="98"/>
      <c r="N72" s="97"/>
      <c r="O72" s="97"/>
      <c r="P72" s="97"/>
      <c r="Q72" s="97"/>
      <c r="R72" s="97"/>
      <c r="S72" s="97"/>
      <c r="T72" s="97"/>
      <c r="U72" s="97"/>
      <c r="V72" s="98"/>
      <c r="W72" s="98"/>
    </row>
  </sheetData>
  <conditionalFormatting sqref="W37 W51:W54 W41:W45">
    <cfRule type="cellIs" dxfId="178" priority="36" operator="equal">
      <formula>"Check"</formula>
    </cfRule>
    <cfRule type="cellIs" dxfId="177" priority="37" operator="equal">
      <formula>"Ok"</formula>
    </cfRule>
  </conditionalFormatting>
  <conditionalFormatting sqref="W56">
    <cfRule type="cellIs" dxfId="176" priority="34" operator="equal">
      <formula>"Check"</formula>
    </cfRule>
    <cfRule type="cellIs" dxfId="175" priority="35" operator="equal">
      <formula>"Ok"</formula>
    </cfRule>
  </conditionalFormatting>
  <conditionalFormatting sqref="W15">
    <cfRule type="cellIs" dxfId="174" priority="32" operator="equal">
      <formula>"Check"</formula>
    </cfRule>
    <cfRule type="cellIs" dxfId="173" priority="33" operator="equal">
      <formula>"Ok"</formula>
    </cfRule>
  </conditionalFormatting>
  <conditionalFormatting sqref="V1">
    <cfRule type="cellIs" dxfId="172" priority="30" operator="equal">
      <formula>"Check"</formula>
    </cfRule>
    <cfRule type="cellIs" dxfId="171" priority="31" operator="equal">
      <formula>"Ok"</formula>
    </cfRule>
  </conditionalFormatting>
  <conditionalFormatting sqref="S1">
    <cfRule type="cellIs" dxfId="170" priority="28" operator="equal">
      <formula>"Check"</formula>
    </cfRule>
    <cfRule type="cellIs" dxfId="169" priority="29" operator="equal">
      <formula>"Ok"</formula>
    </cfRule>
  </conditionalFormatting>
  <conditionalFormatting sqref="J15:S15">
    <cfRule type="cellIs" dxfId="168" priority="27" operator="equal">
      <formula>0</formula>
    </cfRule>
  </conditionalFormatting>
  <conditionalFormatting sqref="J56:S56">
    <cfRule type="cellIs" dxfId="167" priority="26" operator="equal">
      <formula>0</formula>
    </cfRule>
  </conditionalFormatting>
  <conditionalFormatting sqref="W48:W50">
    <cfRule type="cellIs" dxfId="166" priority="24" operator="equal">
      <formula>"Check"</formula>
    </cfRule>
    <cfRule type="cellIs" dxfId="165" priority="25" operator="equal">
      <formula>"Ok"</formula>
    </cfRule>
  </conditionalFormatting>
  <conditionalFormatting sqref="J45:S45 N37:S37 J33:S33 J51:S54 J41:P44 S41:S44">
    <cfRule type="expression" dxfId="164" priority="22">
      <formula>J$34=J$4</formula>
    </cfRule>
  </conditionalFormatting>
  <conditionalFormatting sqref="J19:S27 J13:S13">
    <cfRule type="expression" dxfId="163" priority="21">
      <formula>J$10=J$4</formula>
    </cfRule>
  </conditionalFormatting>
  <conditionalFormatting sqref="J37:N37">
    <cfRule type="expression" dxfId="162" priority="18">
      <formula>J$10=J$4</formula>
    </cfRule>
  </conditionalFormatting>
  <conditionalFormatting sqref="W47">
    <cfRule type="cellIs" dxfId="161" priority="16" operator="equal">
      <formula>"Check"</formula>
    </cfRule>
    <cfRule type="cellIs" dxfId="160" priority="17" operator="equal">
      <formula>"Ok"</formula>
    </cfRule>
  </conditionalFormatting>
  <conditionalFormatting sqref="J47:S47">
    <cfRule type="cellIs" dxfId="159" priority="14" operator="equal">
      <formula>0</formula>
    </cfRule>
  </conditionalFormatting>
  <conditionalFormatting sqref="J64:S66 J68:S68 J70:S70 J62:M63 O62:Q63 S62:S63">
    <cfRule type="expression" dxfId="158" priority="13">
      <formula>J$60=J$4</formula>
    </cfRule>
  </conditionalFormatting>
  <conditionalFormatting sqref="W29">
    <cfRule type="cellIs" dxfId="157" priority="9" operator="equal">
      <formula>"Check"</formula>
    </cfRule>
    <cfRule type="cellIs" dxfId="156" priority="10" operator="equal">
      <formula>"Ok"</formula>
    </cfRule>
  </conditionalFormatting>
  <conditionalFormatting sqref="J29:S29">
    <cfRule type="cellIs" dxfId="155" priority="8" operator="equal">
      <formula>0</formula>
    </cfRule>
  </conditionalFormatting>
  <conditionalFormatting sqref="N63">
    <cfRule type="expression" dxfId="154" priority="5">
      <formula>N$60=N$4</formula>
    </cfRule>
  </conditionalFormatting>
  <conditionalFormatting sqref="N62">
    <cfRule type="expression" dxfId="153" priority="1">
      <formula>N$60=N$4</formula>
    </cfRule>
  </conditionalFormatting>
  <dataValidations count="1">
    <dataValidation type="list" allowBlank="1" showInputMessage="1" showErrorMessage="1" sqref="J33:S33" xr:uid="{00000000-0002-0000-0300-000000000000}">
      <formula1>"Actual,Estimate"</formula1>
    </dataValidation>
  </dataValidations>
  <hyperlinks>
    <hyperlink ref="U1" location="'Check|List'!A1" display="Overall Check:" xr:uid="{00000000-0004-0000-0300-000000000000}"/>
  </hyperlink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300-000001000000}">
          <x14:formula1>
            <xm:f>'Lookup|Tables'!$H$41:$H$60</xm:f>
          </x14:formula1>
          <xm:sqref>F15 F62:F69 F13 F29</xm:sqref>
        </x14:dataValidation>
        <x14:dataValidation type="list" allowBlank="1" showInputMessage="1" showErrorMessage="1" xr:uid="{00000000-0002-0000-0300-000002000000}">
          <x14:formula1>
            <xm:f>'Lookup|Tables'!$G$10:$G$12</xm:f>
          </x14:formula1>
          <xm:sqref>E13 E29</xm:sqref>
        </x14:dataValidation>
        <x14:dataValidation type="list" allowBlank="1" showInputMessage="1" showErrorMessage="1" xr:uid="{00000000-0002-0000-0300-000003000000}">
          <x14:formula1>
            <xm:f>'Lookup|Tables'!$H$41:$H$61</xm:f>
          </x14:formula1>
          <xm:sqref>F37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3">
    <tabColor rgb="FFFFFF99"/>
  </sheetPr>
  <dimension ref="A1:AX184"/>
  <sheetViews>
    <sheetView showGridLines="0" topLeftCell="A49" zoomScaleNormal="100" workbookViewId="0">
      <selection activeCell="T64" sqref="T64"/>
    </sheetView>
  </sheetViews>
  <sheetFormatPr defaultColWidth="0" defaultRowHeight="11.25" zeroHeight="1" outlineLevelRow="1"/>
  <cols>
    <col min="1" max="2" width="1.5" style="29" customWidth="1"/>
    <col min="3" max="3" width="57.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11.1640625" style="30" bestFit="1" customWidth="1"/>
    <col min="10" max="10" width="10.83203125" style="30" customWidth="1"/>
    <col min="11" max="23" width="10.83203125" style="29" customWidth="1"/>
    <col min="24" max="16384" width="10.5" style="29" hidden="1"/>
  </cols>
  <sheetData>
    <row r="1" spans="1:50" s="69" customFormat="1" ht="15.75">
      <c r="B1" s="70" t="str">
        <f>Index!$B$1</f>
        <v>AER opex model</v>
      </c>
      <c r="C1" s="70"/>
      <c r="D1" s="70"/>
      <c r="E1" s="70"/>
      <c r="F1" s="71"/>
      <c r="G1" s="71"/>
      <c r="H1" s="71"/>
      <c r="I1" s="71"/>
      <c r="J1" s="71"/>
      <c r="K1" s="37" t="s">
        <v>2</v>
      </c>
      <c r="M1" s="72" t="s">
        <v>3</v>
      </c>
      <c r="N1" s="73" t="s">
        <v>4</v>
      </c>
      <c r="O1" s="74" t="s">
        <v>5</v>
      </c>
      <c r="P1" s="75" t="s">
        <v>6</v>
      </c>
      <c r="S1" s="72" t="s">
        <v>86</v>
      </c>
      <c r="T1" s="76" t="str">
        <f>IF(COUNTIF(W5:W107,"Check")=0,"Ok","Check")</f>
        <v>Ok</v>
      </c>
      <c r="V1" s="188" t="s">
        <v>24</v>
      </c>
      <c r="W1" s="76" t="str">
        <f>'Check|List'!$S$1</f>
        <v>Ok</v>
      </c>
    </row>
    <row r="2" spans="1:50" s="77" customFormat="1" ht="13.5" thickBot="1">
      <c r="B2" s="78" t="str">
        <f>Index!$C$10</f>
        <v>Input | Rate of change</v>
      </c>
      <c r="C2" s="78"/>
      <c r="D2" s="78"/>
      <c r="E2" s="78"/>
      <c r="F2" s="79"/>
      <c r="G2" s="79"/>
      <c r="H2" s="79"/>
      <c r="I2" s="79"/>
      <c r="J2" s="79"/>
    </row>
    <row r="3" spans="1:50" s="80" customFormat="1">
      <c r="C3" s="81"/>
      <c r="D3" s="183"/>
      <c r="E3" s="183"/>
      <c r="F3" s="183"/>
      <c r="G3" s="183"/>
      <c r="H3" s="183"/>
      <c r="I3" s="183"/>
      <c r="J3" s="158" t="s">
        <v>126</v>
      </c>
      <c r="K3" s="233"/>
      <c r="L3" s="233"/>
      <c r="M3" s="233"/>
      <c r="N3" s="183"/>
      <c r="O3" s="233"/>
      <c r="P3" s="233"/>
      <c r="Q3" s="233"/>
      <c r="R3" s="233"/>
      <c r="S3" s="233"/>
      <c r="T3" s="233"/>
      <c r="U3" s="82"/>
      <c r="V3" s="82"/>
      <c r="W3" s="82"/>
      <c r="X3" s="82"/>
      <c r="Y3" s="82"/>
      <c r="Z3" s="82"/>
      <c r="AA3" s="82"/>
      <c r="AB3" s="82"/>
      <c r="AC3" s="82"/>
    </row>
    <row r="4" spans="1:50" s="93" customFormat="1" ht="10.5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156">
        <f>DATE(PPFirstYear-1,MONTH('Input|General'!$G$9),1)</f>
        <v>42156</v>
      </c>
      <c r="K4" s="156">
        <f>DATE(PPFirstYear,MONTH('Input|General'!$G$9),1)</f>
        <v>42522</v>
      </c>
      <c r="L4" s="156">
        <f>DATE(PPFirstYear+1,MONTH('Input|General'!$G$9),1)</f>
        <v>42887</v>
      </c>
      <c r="M4" s="156">
        <f>DATE(PPFirstYear+2,MONTH('Input|General'!$G$9),1)</f>
        <v>43252</v>
      </c>
      <c r="N4" s="156">
        <f>DATE(PPFirstYear+3,MONTH('Input|General'!$G$9),1)</f>
        <v>43617</v>
      </c>
      <c r="O4" s="156">
        <f>DATE(PPFirstYear+4,MONTH('Input|General'!$G$9),1)</f>
        <v>43983</v>
      </c>
      <c r="P4" s="156">
        <f>DATE(PPFirstYear+5,MONTH('Input|General'!$G$9),1)</f>
        <v>44348</v>
      </c>
      <c r="Q4" s="156">
        <f>DATE(PPFirstYear+6,MONTH('Input|General'!$G$9),1)</f>
        <v>44713</v>
      </c>
      <c r="R4" s="156">
        <f>DATE(PPFirstYear+7,MONTH('Input|General'!$G$9),1)</f>
        <v>45078</v>
      </c>
      <c r="S4" s="156">
        <f>DATE(PPFirstYear+8,MONTH('Input|General'!$G$9),1)</f>
        <v>45444</v>
      </c>
      <c r="T4" s="156">
        <f>DATE(PPFirstYear+9,MONTH('Input|General'!$G$9),1)</f>
        <v>45809</v>
      </c>
      <c r="U4" s="87"/>
      <c r="V4" s="87"/>
      <c r="W4" s="88"/>
      <c r="X4" s="89"/>
      <c r="Y4" s="89"/>
      <c r="Z4" s="89"/>
      <c r="AA4" s="89"/>
      <c r="AB4" s="89"/>
      <c r="AC4" s="89"/>
      <c r="AD4" s="89"/>
      <c r="AE4" s="90"/>
      <c r="AF4" s="91"/>
      <c r="AG4" s="91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</row>
    <row r="5" spans="1:50" s="27" customFormat="1" ht="3" customHeight="1">
      <c r="D5" s="28"/>
      <c r="E5" s="28"/>
      <c r="F5" s="28"/>
      <c r="G5" s="28"/>
      <c r="H5" s="28"/>
      <c r="I5" s="28"/>
      <c r="J5" s="28"/>
    </row>
    <row r="6" spans="1:50" s="27" customFormat="1" ht="9" customHeight="1">
      <c r="D6" s="28"/>
      <c r="E6" s="28"/>
      <c r="F6" s="28"/>
      <c r="G6" s="28"/>
      <c r="H6" s="28"/>
      <c r="I6" s="28"/>
      <c r="J6" s="28"/>
    </row>
    <row r="7" spans="1:50" s="27" customFormat="1" ht="3" customHeight="1">
      <c r="D7" s="28"/>
      <c r="E7" s="28"/>
      <c r="F7" s="28"/>
      <c r="G7" s="28"/>
      <c r="H7" s="28"/>
      <c r="I7" s="28"/>
      <c r="J7" s="28"/>
    </row>
    <row r="8" spans="1:50" s="103" customFormat="1" ht="12.75">
      <c r="A8" s="94"/>
      <c r="B8" s="95" t="s">
        <v>35</v>
      </c>
      <c r="C8" s="94"/>
      <c r="D8" s="94"/>
      <c r="E8" s="94"/>
      <c r="F8" s="96"/>
      <c r="G8" s="96"/>
      <c r="H8" s="96"/>
      <c r="I8" s="96"/>
      <c r="J8" s="96"/>
      <c r="K8" s="97"/>
      <c r="L8" s="98"/>
      <c r="M8" s="97"/>
      <c r="N8" s="98"/>
      <c r="O8" s="97"/>
      <c r="P8" s="97"/>
      <c r="Q8" s="97"/>
      <c r="R8" s="97"/>
      <c r="S8" s="97"/>
      <c r="T8" s="97"/>
      <c r="U8" s="97"/>
      <c r="V8" s="97"/>
      <c r="W8" s="98"/>
      <c r="X8" s="99"/>
      <c r="Y8" s="99"/>
      <c r="Z8" s="99"/>
      <c r="AA8" s="99"/>
      <c r="AB8" s="99"/>
      <c r="AC8" s="99"/>
      <c r="AD8" s="99"/>
      <c r="AE8" s="100"/>
      <c r="AF8" s="101"/>
      <c r="AG8" s="101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  <c r="AW8" s="102"/>
      <c r="AX8" s="102"/>
    </row>
    <row r="9" spans="1:50" ht="11.25" customHeight="1" outlineLevel="1"/>
    <row r="10" spans="1:50" ht="11.25" customHeight="1" outlineLevel="1">
      <c r="C10" s="67" t="s">
        <v>33</v>
      </c>
      <c r="J10" s="159">
        <f t="shared" ref="J10:T10" si="0">IF(YEAR(J$4)&lt;=PPLastYear,J$4,"")</f>
        <v>42156</v>
      </c>
      <c r="K10" s="159">
        <f t="shared" si="0"/>
        <v>42522</v>
      </c>
      <c r="L10" s="159">
        <f t="shared" si="0"/>
        <v>42887</v>
      </c>
      <c r="M10" s="159">
        <f t="shared" si="0"/>
        <v>43252</v>
      </c>
      <c r="N10" s="159">
        <f t="shared" si="0"/>
        <v>43617</v>
      </c>
      <c r="O10" s="159">
        <f t="shared" si="0"/>
        <v>43983</v>
      </c>
      <c r="P10" s="159" t="str">
        <f t="shared" si="0"/>
        <v/>
      </c>
      <c r="Q10" s="159" t="str">
        <f t="shared" si="0"/>
        <v/>
      </c>
      <c r="R10" s="159" t="str">
        <f t="shared" si="0"/>
        <v/>
      </c>
      <c r="S10" s="159" t="str">
        <f t="shared" si="0"/>
        <v/>
      </c>
      <c r="T10" s="159" t="str">
        <f t="shared" si="0"/>
        <v/>
      </c>
    </row>
    <row r="11" spans="1:50" ht="11.25" customHeight="1" outlineLevel="1">
      <c r="C11" s="67"/>
      <c r="J11" s="29"/>
      <c r="P11" s="143"/>
      <c r="Q11" s="143"/>
      <c r="R11" s="143"/>
      <c r="S11" s="143"/>
      <c r="T11" s="143"/>
      <c r="U11" s="120"/>
      <c r="V11" s="120"/>
      <c r="W11" s="120"/>
    </row>
    <row r="12" spans="1:50" ht="11.25" customHeight="1" outlineLevel="1">
      <c r="C12" s="111" t="s">
        <v>33</v>
      </c>
      <c r="D12" s="144" t="s">
        <v>103</v>
      </c>
      <c r="E12" s="30" t="str">
        <f>percent</f>
        <v>Per cent</v>
      </c>
      <c r="J12" s="143">
        <f>IF(J10=J4,LOOKUP(EOMONTH(J4,0),'Input|Inflation'!$C$9:$C$64,'Input|Inflation'!$G$9:$G$64),"")</f>
        <v>1.5108593012275628E-2</v>
      </c>
      <c r="K12" s="143">
        <f>IF(K10=K4,LOOKUP(EOMONTH(K4,0),'Input|Inflation'!$C$9:$C$64,'Input|Inflation'!$G$9:$G$64),"")</f>
        <v>1.0232558139534831E-2</v>
      </c>
      <c r="L12" s="143">
        <f>IF(L10=L4,LOOKUP(EOMONTH(L4,0),'Input|Inflation'!$C$9:$C$64,'Input|Inflation'!$G$9:$G$64),"")</f>
        <v>1.9337016574585641E-2</v>
      </c>
      <c r="M12" s="143">
        <f>IF(M10=M4,LOOKUP(EOMONTH(M4,0),'Input|Inflation'!$C$9:$C$64,'Input|Inflation'!$G$9:$G$64),"")</f>
        <v>2.0776874435411097E-2</v>
      </c>
      <c r="N12" s="143">
        <f>IF(N10=N4,LOOKUP(EOMONTH(N4,0),'Input|Inflation'!$C$9:$C$64,'Input|Inflation'!$G$9:$G$64),"")</f>
        <v>1.5929203539823078E-2</v>
      </c>
      <c r="O12" s="143">
        <f>IF(O10=O4,LOOKUP(EOMONTH(O4,0),'Input|Inflation'!$C$9:$C$64,'Input|Inflation'!$G$9:$G$64),"")</f>
        <v>1.6999999999999904E-2</v>
      </c>
      <c r="P12" s="143" t="str">
        <f>IF(P10=P4,LOOKUP(EOMONTH(P4,0),'Input|Inflation'!$C$9:$C$64,'Input|Inflation'!$G$9:$G$64),"")</f>
        <v/>
      </c>
      <c r="Q12" s="143" t="str">
        <f>IF(Q10=Q4,LOOKUP(EOMONTH(Q4,0),'Input|Inflation'!$C$9:$C$64,'Input|Inflation'!$G$9:$G$64),"")</f>
        <v/>
      </c>
      <c r="R12" s="143" t="str">
        <f>IF(R10=R4,LOOKUP(EOMONTH(R4,0),'Input|Inflation'!$C$9:$C$64,'Input|Inflation'!$G$9:$G$64),"")</f>
        <v/>
      </c>
      <c r="S12" s="143" t="str">
        <f>IF(S10=S4,LOOKUP(EOMONTH(S4,0),'Input|Inflation'!$C$9:$C$64,'Input|Inflation'!$G$9:$G$64),"")</f>
        <v/>
      </c>
      <c r="T12" s="143" t="str">
        <f>IF(T10=T4,LOOKUP(EOMONTH(T4,0),'Input|Inflation'!$C$9:$C$64,'Input|Inflation'!$G$9:$G$64),"")</f>
        <v/>
      </c>
      <c r="U12" s="145"/>
    </row>
    <row r="13" spans="1:50" ht="11.25" customHeight="1" outlineLevel="1">
      <c r="D13" s="29"/>
      <c r="E13" s="29"/>
      <c r="F13" s="29"/>
      <c r="G13" s="29"/>
      <c r="H13" s="29"/>
      <c r="I13" s="29"/>
      <c r="J13" s="29"/>
    </row>
    <row r="14" spans="1:50" ht="11.25" customHeight="1" outlineLevel="1">
      <c r="C14" s="67" t="s">
        <v>104</v>
      </c>
      <c r="I14" s="29"/>
      <c r="J14" s="159">
        <f t="shared" ref="J14:T14" si="1">IF(YEAR(J$4)&lt;=PPLastYear,J$4,"")</f>
        <v>42156</v>
      </c>
      <c r="K14" s="159">
        <f t="shared" si="1"/>
        <v>42522</v>
      </c>
      <c r="L14" s="159">
        <f t="shared" si="1"/>
        <v>42887</v>
      </c>
      <c r="M14" s="159">
        <f t="shared" si="1"/>
        <v>43252</v>
      </c>
      <c r="N14" s="159">
        <f t="shared" si="1"/>
        <v>43617</v>
      </c>
      <c r="O14" s="159">
        <f t="shared" si="1"/>
        <v>43983</v>
      </c>
      <c r="P14" s="159" t="str">
        <f t="shared" si="1"/>
        <v/>
      </c>
      <c r="Q14" s="159" t="str">
        <f t="shared" si="1"/>
        <v/>
      </c>
      <c r="R14" s="159" t="str">
        <f t="shared" si="1"/>
        <v/>
      </c>
      <c r="S14" s="159" t="str">
        <f t="shared" si="1"/>
        <v/>
      </c>
      <c r="T14" s="159" t="str">
        <f t="shared" si="1"/>
        <v/>
      </c>
    </row>
    <row r="15" spans="1:50" ht="11.25" customHeight="1" outlineLevel="1">
      <c r="C15" s="67"/>
      <c r="I15" s="29"/>
      <c r="J15" s="120"/>
      <c r="K15" s="120"/>
      <c r="L15" s="120"/>
      <c r="M15" s="120"/>
      <c r="N15" s="120"/>
      <c r="O15" s="120"/>
      <c r="P15" s="26"/>
      <c r="Q15" s="26"/>
      <c r="R15" s="26"/>
      <c r="S15" s="26"/>
      <c r="T15" s="26"/>
    </row>
    <row r="16" spans="1:50" ht="11.25" customHeight="1" outlineLevel="1">
      <c r="C16" s="166">
        <f t="array" ref="C16:C21">TRANSPOSE(J10:O10)</f>
        <v>42156</v>
      </c>
      <c r="D16" s="144" t="str">
        <f t="shared" ref="D16:D20" si="2">IF(ISNONTEXT($C16),"calculated","")</f>
        <v>calculated</v>
      </c>
      <c r="E16" s="30" t="str">
        <f>IF(ISNONTEXT($C16),"index","")</f>
        <v>index</v>
      </c>
      <c r="J16" s="22">
        <f t="shared" ref="J16:N16" si="3">IF(AND($C16&gt;J$14,ISNONTEXT($C16)),K16/(1+K$12),IF(AND($C16=J$14,J$14=J$4),1,IF(AND($C16&lt;J$14,J$14=J$4),I16*(1+J$12),0)))</f>
        <v>1</v>
      </c>
      <c r="K16" s="22">
        <f t="shared" si="3"/>
        <v>1.0102325581395348</v>
      </c>
      <c r="L16" s="22">
        <f t="shared" si="3"/>
        <v>1.029767441860465</v>
      </c>
      <c r="M16" s="22">
        <f t="shared" si="3"/>
        <v>1.0511627906976744</v>
      </c>
      <c r="N16" s="22">
        <f t="shared" si="3"/>
        <v>1.067906976744186</v>
      </c>
      <c r="O16" s="22">
        <f t="shared" ref="O16" si="4">IF(AND($C16&gt;O$14,ISNONTEXT($C16)),P16/(1+O$12),IF(AND($C16=O$14,O$14=O$4),1,IF(AND($C16&lt;O$14,O$14=O$4),N16*(1+O$12),0)))</f>
        <v>1.0860613953488372</v>
      </c>
      <c r="P16" s="209"/>
      <c r="Q16" s="209"/>
      <c r="R16" s="209"/>
      <c r="S16" s="209"/>
      <c r="T16" s="209"/>
    </row>
    <row r="17" spans="1:50" ht="11.25" customHeight="1" outlineLevel="1">
      <c r="C17" s="166">
        <v>42522</v>
      </c>
      <c r="D17" s="144" t="str">
        <f t="shared" si="2"/>
        <v>calculated</v>
      </c>
      <c r="E17" s="30" t="str">
        <f t="shared" ref="E17:E21" si="5">IF(ISNONTEXT($C17),"index","")</f>
        <v>index</v>
      </c>
      <c r="I17" s="22"/>
      <c r="J17" s="22">
        <f t="shared" ref="J17:N17" si="6">IF(AND($C17&gt;J$14,ISNONTEXT($C17)),K17/(1+K$12),IF(AND($C17=J$14,J$14=J$4),1,IF(AND($C17&lt;J$14,J$14=J$4),I17*(1+J$12),0)))</f>
        <v>0.98987108655616951</v>
      </c>
      <c r="K17" s="22">
        <f t="shared" si="6"/>
        <v>1</v>
      </c>
      <c r="L17" s="22">
        <f t="shared" si="6"/>
        <v>1.0193370165745856</v>
      </c>
      <c r="M17" s="22">
        <f t="shared" si="6"/>
        <v>1.0405156537753224</v>
      </c>
      <c r="N17" s="22">
        <f t="shared" si="6"/>
        <v>1.0570902394106816</v>
      </c>
      <c r="O17" s="22">
        <f t="shared" ref="O17" si="7">IF(AND($C17&gt;O$14,ISNONTEXT($C17)),P17/(1+O$12),IF(AND($C17=O$14,O$14=O$4),1,IF(AND($C17&lt;O$14,O$14=O$4),N17*(1+O$12),0)))</f>
        <v>1.075060773480663</v>
      </c>
      <c r="P17" s="209"/>
      <c r="Q17" s="209"/>
      <c r="R17" s="209"/>
      <c r="S17" s="209"/>
      <c r="T17" s="209"/>
    </row>
    <row r="18" spans="1:50" ht="11.25" customHeight="1" outlineLevel="1">
      <c r="C18" s="166">
        <v>42887</v>
      </c>
      <c r="D18" s="144" t="str">
        <f t="shared" si="2"/>
        <v>calculated</v>
      </c>
      <c r="E18" s="30" t="str">
        <f t="shared" si="5"/>
        <v>index</v>
      </c>
      <c r="I18" s="22"/>
      <c r="J18" s="22">
        <f t="shared" ref="J18:N18" si="8">IF(AND($C18&gt;J$14,ISNONTEXT($C18)),K18/(1+K$12),IF(AND($C18=J$14,J$14=J$4),1,IF(AND($C18&lt;J$14,J$14=J$4),I18*(1+J$12),0)))</f>
        <v>0.97109304426377607</v>
      </c>
      <c r="K18" s="22">
        <f t="shared" si="8"/>
        <v>0.98102981029810299</v>
      </c>
      <c r="L18" s="22">
        <f t="shared" si="8"/>
        <v>1</v>
      </c>
      <c r="M18" s="22">
        <f t="shared" si="8"/>
        <v>1.0207768744354111</v>
      </c>
      <c r="N18" s="22">
        <f t="shared" si="8"/>
        <v>1.0370370370370372</v>
      </c>
      <c r="O18" s="22">
        <f t="shared" ref="O18" si="9">IF(AND($C18&gt;O$14,ISNONTEXT($C18)),P18/(1+O$12),IF(AND($C18=O$14,O$14=O$4),1,IF(AND($C18&lt;O$14,O$14=O$4),N18*(1+O$12),0)))</f>
        <v>1.0546666666666666</v>
      </c>
      <c r="P18" s="209"/>
      <c r="Q18" s="209"/>
      <c r="R18" s="209"/>
      <c r="S18" s="209"/>
      <c r="T18" s="209"/>
    </row>
    <row r="19" spans="1:50" ht="11.25" customHeight="1" outlineLevel="1">
      <c r="C19" s="166">
        <v>43252</v>
      </c>
      <c r="D19" s="144" t="str">
        <f t="shared" si="2"/>
        <v>calculated</v>
      </c>
      <c r="E19" s="30" t="str">
        <f t="shared" si="5"/>
        <v>index</v>
      </c>
      <c r="I19" s="22"/>
      <c r="J19" s="22">
        <f t="shared" ref="J19:N19" si="10">IF(AND($C19&gt;J$14,ISNONTEXT($C19)),K19/(1+K$12),IF(AND($C19=J$14,J$14=J$4),1,IF(AND($C19&lt;J$14,J$14=J$4),I19*(1+J$12),0)))</f>
        <v>0.95132743362831851</v>
      </c>
      <c r="K19" s="22">
        <f t="shared" si="10"/>
        <v>0.96106194690265478</v>
      </c>
      <c r="L19" s="22">
        <f t="shared" si="10"/>
        <v>0.97964601769911497</v>
      </c>
      <c r="M19" s="22">
        <f t="shared" si="10"/>
        <v>1</v>
      </c>
      <c r="N19" s="22">
        <f t="shared" si="10"/>
        <v>1.0159292035398231</v>
      </c>
      <c r="O19" s="22">
        <f t="shared" ref="O19" si="11">IF(AND($C19&gt;O$14,ISNONTEXT($C19)),P19/(1+O$12),IF(AND($C19=O$14,O$14=O$4),1,IF(AND($C19&lt;O$14,O$14=O$4),N19*(1+O$12),0)))</f>
        <v>1.0331999999999999</v>
      </c>
      <c r="P19" s="209"/>
      <c r="Q19" s="209"/>
      <c r="R19" s="209"/>
      <c r="S19" s="209"/>
      <c r="T19" s="209"/>
    </row>
    <row r="20" spans="1:50" ht="11.25" customHeight="1" outlineLevel="1">
      <c r="C20" s="166">
        <v>43617</v>
      </c>
      <c r="D20" s="144" t="str">
        <f t="shared" si="2"/>
        <v>calculated</v>
      </c>
      <c r="E20" s="30" t="str">
        <f t="shared" si="5"/>
        <v>index</v>
      </c>
      <c r="I20" s="22"/>
      <c r="J20" s="22">
        <f>IF(AND($C20&gt;J$14,ISNONTEXT($C20)),K20/(1+K$12),IF(AND($C20=J$14,J$14=J$4),1,IF(AND($C20&lt;J$14,J$14=J$4),I20*(1+J$12),0)))</f>
        <v>0.93641114982578377</v>
      </c>
      <c r="K20" s="22">
        <f t="shared" ref="K20:N20" si="12">IF(AND($C20&gt;K$14,ISNONTEXT($C20)),L20/(1+L$12),IF(AND($C20=K$14,K$14=K$4),1,IF(AND($C20&lt;K$14,K$14=K$4),J20*(1+K$12),0)))</f>
        <v>0.94599303135888479</v>
      </c>
      <c r="L20" s="22">
        <f t="shared" si="12"/>
        <v>0.96428571428571408</v>
      </c>
      <c r="M20" s="22">
        <f t="shared" si="12"/>
        <v>0.98432055749128911</v>
      </c>
      <c r="N20" s="22">
        <f t="shared" si="12"/>
        <v>1</v>
      </c>
      <c r="O20" s="22">
        <f t="shared" ref="O20" si="13">IF(AND($C20&gt;O$14,ISNONTEXT($C20)),P20/(1+O$12),IF(AND($C20=O$14,O$14=O$4),1,IF(AND($C20&lt;O$14,O$14=O$4),N20*(1+O$12),0)))</f>
        <v>1.0169999999999999</v>
      </c>
      <c r="P20" s="209"/>
      <c r="Q20" s="209"/>
      <c r="R20" s="209"/>
      <c r="S20" s="209"/>
      <c r="T20" s="209"/>
    </row>
    <row r="21" spans="1:50" ht="11.25" customHeight="1" outlineLevel="1">
      <c r="C21" s="166">
        <v>43983</v>
      </c>
      <c r="D21" s="144" t="str">
        <f>IF(ISNONTEXT($C21),"calculated","")</f>
        <v>calculated</v>
      </c>
      <c r="E21" s="30" t="str">
        <f t="shared" si="5"/>
        <v>index</v>
      </c>
      <c r="I21" s="22"/>
      <c r="J21" s="22">
        <f>IF(AND($C21&gt;J$14,ISNONTEXT($C21)),K21/(1+K$12),IF(AND($C21=J$14,J$14=J$4),1,IF(AND($C21&lt;J$14,J$14=J$4),I21*(1+J$12),0)))</f>
        <v>0.92075825941571665</v>
      </c>
      <c r="K21" s="22">
        <f t="shared" ref="K21" si="14">IF(AND($C21&gt;K$14,ISNONTEXT($C21)),L21/(1+L$12),IF(AND($C21=K$14,K$14=K$4),1,IF(AND($C21&lt;K$14,K$14=K$4),J21*(1+K$12),0)))</f>
        <v>0.93017997183764489</v>
      </c>
      <c r="L21" s="22">
        <f t="shared" ref="L21" si="15">IF(AND($C21&gt;L$14,ISNONTEXT($C21)),M21/(1+M$12),IF(AND($C21=L$14,L$14=L$4),1,IF(AND($C21&lt;L$14,L$14=L$4),K21*(1+L$12),0)))</f>
        <v>0.94816687737041705</v>
      </c>
      <c r="M21" s="22">
        <f t="shared" ref="M21" si="16">IF(AND($C21&gt;M$14,ISNONTEXT($C21)),N21/(1+N$12),IF(AND($C21=M$14,M$14=M$4),1,IF(AND($C21&lt;M$14,M$14=M$4),L21*(1+M$12),0)))</f>
        <v>0.96786682152535808</v>
      </c>
      <c r="N21" s="22">
        <f t="shared" ref="N21" si="17">IF(AND($C21&gt;N$14,ISNONTEXT($C21)),O21/(1+O$12),IF(AND($C21=N$14,N$14=N$4),1,IF(AND($C21&lt;N$14,N$14=N$4),M21*(1+N$12),0)))</f>
        <v>0.98328416912487715</v>
      </c>
      <c r="O21" s="22">
        <f t="shared" ref="O21" si="18">IF(AND($C21&gt;O$14,ISNONTEXT($C21)),P21/(1+O$12),IF(AND($C21=O$14,O$14=O$4),1,IF(AND($C21&lt;O$14,O$14=O$4),N21*(1+O$12),0)))</f>
        <v>1</v>
      </c>
      <c r="P21" s="209"/>
      <c r="Q21" s="209"/>
      <c r="R21" s="209"/>
      <c r="S21" s="209"/>
      <c r="T21" s="209"/>
    </row>
    <row r="22" spans="1:50" ht="11.25" customHeight="1" outlineLevel="1">
      <c r="C22" s="111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</row>
    <row r="23" spans="1:50" ht="11.25" customHeight="1" outlineLevel="1">
      <c r="C23" s="67" t="s">
        <v>47</v>
      </c>
      <c r="J23" s="159">
        <f t="shared" ref="J23:T23" si="19">IF(YEAR(J$4)&lt;=PPLastYear,J$4,"")</f>
        <v>42156</v>
      </c>
      <c r="K23" s="159">
        <f t="shared" si="19"/>
        <v>42522</v>
      </c>
      <c r="L23" s="159">
        <f t="shared" si="19"/>
        <v>42887</v>
      </c>
      <c r="M23" s="159">
        <f t="shared" si="19"/>
        <v>43252</v>
      </c>
      <c r="N23" s="159">
        <f t="shared" si="19"/>
        <v>43617</v>
      </c>
      <c r="O23" s="159">
        <f t="shared" si="19"/>
        <v>43983</v>
      </c>
      <c r="P23" s="159" t="str">
        <f t="shared" si="19"/>
        <v/>
      </c>
      <c r="Q23" s="159" t="str">
        <f t="shared" si="19"/>
        <v/>
      </c>
      <c r="R23" s="159" t="str">
        <f t="shared" si="19"/>
        <v/>
      </c>
      <c r="S23" s="159" t="str">
        <f t="shared" si="19"/>
        <v/>
      </c>
      <c r="T23" s="159" t="str">
        <f t="shared" si="19"/>
        <v/>
      </c>
    </row>
    <row r="24" spans="1:50" ht="11.25" customHeight="1" outlineLevel="1">
      <c r="C24" s="111"/>
      <c r="J24" s="29"/>
      <c r="P24" s="142"/>
      <c r="Q24" s="22"/>
      <c r="R24" s="22"/>
      <c r="S24" s="22"/>
      <c r="T24" s="22"/>
    </row>
    <row r="25" spans="1:50" ht="11.25" customHeight="1" outlineLevel="1">
      <c r="C25" s="166">
        <f t="array" ref="C25:C30">TRANSPOSE(J10:O10)</f>
        <v>42156</v>
      </c>
      <c r="D25" s="144" t="str">
        <f t="shared" ref="D25:D30" si="20">IF(ISNONTEXT($C25),"calculated","")</f>
        <v>calculated</v>
      </c>
      <c r="E25" s="30" t="str">
        <f>IF(ISNONTEXT($C25),"index","")</f>
        <v>index</v>
      </c>
      <c r="I25" s="22"/>
      <c r="J25" s="22">
        <f>IF(AND(J$23=J$4,ISNONTEXT($C25)),1/J16*(1+J$12)^0.5,0)</f>
        <v>1.0075259763461564</v>
      </c>
      <c r="K25" s="22">
        <f t="shared" ref="K25:T25" si="21">IF(AND(K$23=K$4,ISNONTEXT($C25)),1/K16*(1+K$12)^0.5,0)</f>
        <v>0.99492265355462162</v>
      </c>
      <c r="L25" s="22">
        <f t="shared" si="21"/>
        <v>0.98043711010575396</v>
      </c>
      <c r="M25" s="22">
        <f t="shared" si="21"/>
        <v>0.96115943194340514</v>
      </c>
      <c r="N25" s="22">
        <f t="shared" si="21"/>
        <v>0.94383982538601641</v>
      </c>
      <c r="O25" s="22">
        <f t="shared" si="21"/>
        <v>0.92855172199025027</v>
      </c>
      <c r="P25" s="22">
        <f t="shared" si="21"/>
        <v>0</v>
      </c>
      <c r="Q25" s="22">
        <f t="shared" si="21"/>
        <v>0</v>
      </c>
      <c r="R25" s="22">
        <f t="shared" si="21"/>
        <v>0</v>
      </c>
      <c r="S25" s="22">
        <f t="shared" si="21"/>
        <v>0</v>
      </c>
      <c r="T25" s="22">
        <f t="shared" si="21"/>
        <v>0</v>
      </c>
      <c r="U25" s="146"/>
      <c r="V25" s="146"/>
    </row>
    <row r="26" spans="1:50" ht="11.25" customHeight="1" outlineLevel="1">
      <c r="C26" s="166">
        <v>42522</v>
      </c>
      <c r="D26" s="144" t="str">
        <f t="shared" si="20"/>
        <v>calculated</v>
      </c>
      <c r="E26" s="30" t="str">
        <f t="shared" ref="E26:E30" si="22">IF(ISNONTEXT($C26),"index","")</f>
        <v>index</v>
      </c>
      <c r="I26" s="22"/>
      <c r="J26" s="22">
        <f t="shared" ref="J26:T26" si="23">IF(AND(J$23=J$4,ISNONTEXT($C26)),1/J17*(1+J$12)^0.5,0)</f>
        <v>1.0178355444762099</v>
      </c>
      <c r="K26" s="22">
        <f t="shared" si="23"/>
        <v>1.0051032574514596</v>
      </c>
      <c r="L26" s="22">
        <f t="shared" si="23"/>
        <v>0.99046948983706851</v>
      </c>
      <c r="M26" s="22">
        <f t="shared" si="23"/>
        <v>0.97099455171212823</v>
      </c>
      <c r="N26" s="22">
        <f t="shared" si="23"/>
        <v>0.95349772127368704</v>
      </c>
      <c r="O26" s="22">
        <f t="shared" si="23"/>
        <v>0.93805318147108052</v>
      </c>
      <c r="P26" s="22">
        <f t="shared" si="23"/>
        <v>0</v>
      </c>
      <c r="Q26" s="22">
        <f t="shared" si="23"/>
        <v>0</v>
      </c>
      <c r="R26" s="22">
        <f t="shared" si="23"/>
        <v>0</v>
      </c>
      <c r="S26" s="22">
        <f t="shared" si="23"/>
        <v>0</v>
      </c>
      <c r="T26" s="22">
        <f t="shared" si="23"/>
        <v>0</v>
      </c>
      <c r="U26" s="146"/>
      <c r="V26" s="146"/>
    </row>
    <row r="27" spans="1:50" ht="11.25" customHeight="1" outlineLevel="1">
      <c r="C27" s="166">
        <v>42887</v>
      </c>
      <c r="D27" s="144" t="str">
        <f t="shared" si="20"/>
        <v>calculated</v>
      </c>
      <c r="E27" s="30" t="str">
        <f t="shared" si="22"/>
        <v>index</v>
      </c>
      <c r="I27" s="22"/>
      <c r="J27" s="22">
        <f t="shared" ref="J27:T27" si="24">IF(AND(J$23=J$4,ISNONTEXT($C27)),1/J18*(1+J$12)^0.5,0)</f>
        <v>1.0375174472699489</v>
      </c>
      <c r="K27" s="22">
        <f t="shared" si="24"/>
        <v>1.0245389557999685</v>
      </c>
      <c r="L27" s="22">
        <f t="shared" si="24"/>
        <v>1.0096222147786693</v>
      </c>
      <c r="M27" s="22">
        <f t="shared" si="24"/>
        <v>0.98977068945241797</v>
      </c>
      <c r="N27" s="22">
        <f t="shared" si="24"/>
        <v>0.97193552251378601</v>
      </c>
      <c r="O27" s="22">
        <f t="shared" si="24"/>
        <v>0.95619233138902981</v>
      </c>
      <c r="P27" s="22">
        <f t="shared" si="24"/>
        <v>0</v>
      </c>
      <c r="Q27" s="22">
        <f t="shared" si="24"/>
        <v>0</v>
      </c>
      <c r="R27" s="22">
        <f t="shared" si="24"/>
        <v>0</v>
      </c>
      <c r="S27" s="22">
        <f t="shared" si="24"/>
        <v>0</v>
      </c>
      <c r="T27" s="22">
        <f t="shared" si="24"/>
        <v>0</v>
      </c>
      <c r="U27" s="146"/>
      <c r="V27" s="146"/>
    </row>
    <row r="28" spans="1:50" ht="11.25" customHeight="1" outlineLevel="1">
      <c r="C28" s="166">
        <v>43252</v>
      </c>
      <c r="D28" s="144" t="str">
        <f t="shared" si="20"/>
        <v>calculated</v>
      </c>
      <c r="E28" s="30" t="str">
        <f t="shared" si="22"/>
        <v>index</v>
      </c>
      <c r="I28" s="22"/>
      <c r="J28" s="22">
        <f t="shared" ref="J28:T28" si="25">IF(AND(J$23=J$4,ISNONTEXT($C28)),1/J19*(1+J$12)^0.5,0)</f>
        <v>1.0590738169964251</v>
      </c>
      <c r="K28" s="22">
        <f t="shared" si="25"/>
        <v>1.0458256730388116</v>
      </c>
      <c r="L28" s="22">
        <f t="shared" si="25"/>
        <v>1.0305990087623274</v>
      </c>
      <c r="M28" s="22">
        <f t="shared" si="25"/>
        <v>1.0103350307870211</v>
      </c>
      <c r="N28" s="22">
        <f t="shared" si="25"/>
        <v>0.99212930482437067</v>
      </c>
      <c r="O28" s="22">
        <f t="shared" si="25"/>
        <v>0.97605901939440254</v>
      </c>
      <c r="P28" s="22">
        <f t="shared" si="25"/>
        <v>0</v>
      </c>
      <c r="Q28" s="22">
        <f t="shared" si="25"/>
        <v>0</v>
      </c>
      <c r="R28" s="22">
        <f t="shared" si="25"/>
        <v>0</v>
      </c>
      <c r="S28" s="22">
        <f t="shared" si="25"/>
        <v>0</v>
      </c>
      <c r="T28" s="22">
        <f t="shared" si="25"/>
        <v>0</v>
      </c>
      <c r="U28" s="146"/>
      <c r="V28" s="146"/>
    </row>
    <row r="29" spans="1:50" ht="11.25" customHeight="1" outlineLevel="1">
      <c r="C29" s="166">
        <v>43617</v>
      </c>
      <c r="D29" s="144" t="str">
        <f t="shared" si="20"/>
        <v>calculated</v>
      </c>
      <c r="E29" s="30" t="str">
        <f t="shared" si="22"/>
        <v>index</v>
      </c>
      <c r="I29" s="22"/>
      <c r="J29" s="22">
        <f t="shared" ref="J29:T29" si="26">IF(AND(J$23=J$4,ISNONTEXT($C29)),1/J20*(1+J$12)^0.5,0)</f>
        <v>1.0759440193910583</v>
      </c>
      <c r="K29" s="22">
        <f t="shared" si="26"/>
        <v>1.0624848430518192</v>
      </c>
      <c r="L29" s="22">
        <f t="shared" si="26"/>
        <v>1.0470156301408424</v>
      </c>
      <c r="M29" s="22">
        <f t="shared" si="26"/>
        <v>1.0264288631358409</v>
      </c>
      <c r="N29" s="22">
        <f t="shared" si="26"/>
        <v>1.0079331344587412</v>
      </c>
      <c r="O29" s="22">
        <f t="shared" si="26"/>
        <v>0.99160686218121608</v>
      </c>
      <c r="P29" s="22">
        <f t="shared" si="26"/>
        <v>0</v>
      </c>
      <c r="Q29" s="22">
        <f t="shared" si="26"/>
        <v>0</v>
      </c>
      <c r="R29" s="22">
        <f t="shared" si="26"/>
        <v>0</v>
      </c>
      <c r="S29" s="22">
        <f t="shared" si="26"/>
        <v>0</v>
      </c>
      <c r="T29" s="22">
        <f t="shared" si="26"/>
        <v>0</v>
      </c>
      <c r="U29" s="146"/>
      <c r="V29" s="146"/>
    </row>
    <row r="30" spans="1:50" ht="11.25" customHeight="1" outlineLevel="1">
      <c r="C30" s="166">
        <v>43983</v>
      </c>
      <c r="D30" s="144" t="str">
        <f t="shared" si="20"/>
        <v>calculated</v>
      </c>
      <c r="E30" s="30" t="str">
        <f t="shared" si="22"/>
        <v>index</v>
      </c>
      <c r="I30" s="22"/>
      <c r="J30" s="22">
        <f t="shared" ref="J30:T30" si="27">IF(AND(J$23=J$4,ISNONTEXT($C30)),1/J21*(1+J$12)^0.5,0)</f>
        <v>1.0942350677207062</v>
      </c>
      <c r="K30" s="22">
        <f t="shared" si="27"/>
        <v>1.0805470853837003</v>
      </c>
      <c r="L30" s="22">
        <f t="shared" si="27"/>
        <v>1.0648148958532369</v>
      </c>
      <c r="M30" s="22">
        <f t="shared" si="27"/>
        <v>1.0438781538091504</v>
      </c>
      <c r="N30" s="22">
        <f t="shared" si="27"/>
        <v>1.0250679977445398</v>
      </c>
      <c r="O30" s="22">
        <f t="shared" si="27"/>
        <v>1.0084641788382966</v>
      </c>
      <c r="P30" s="22"/>
      <c r="Q30" s="22"/>
      <c r="R30" s="22">
        <f t="shared" si="27"/>
        <v>0</v>
      </c>
      <c r="S30" s="22">
        <f t="shared" si="27"/>
        <v>0</v>
      </c>
      <c r="T30" s="22">
        <f t="shared" si="27"/>
        <v>0</v>
      </c>
      <c r="U30" s="146"/>
      <c r="V30" s="146"/>
    </row>
    <row r="31" spans="1:50">
      <c r="C31" s="111"/>
      <c r="J31" s="219"/>
      <c r="K31" s="22"/>
      <c r="L31" s="22"/>
      <c r="M31" s="22"/>
      <c r="N31" s="22"/>
      <c r="O31" s="22"/>
      <c r="P31" s="26"/>
      <c r="Q31" s="22"/>
      <c r="R31" s="22"/>
      <c r="S31" s="22"/>
      <c r="T31" s="22"/>
    </row>
    <row r="32" spans="1:50" s="103" customFormat="1" ht="12.75">
      <c r="A32" s="94"/>
      <c r="B32" s="95" t="s">
        <v>81</v>
      </c>
      <c r="C32" s="94"/>
      <c r="D32" s="94"/>
      <c r="E32" s="94"/>
      <c r="F32" s="96"/>
      <c r="G32" s="96"/>
      <c r="H32" s="96"/>
      <c r="I32" s="96"/>
      <c r="J32" s="96"/>
      <c r="K32" s="97"/>
      <c r="L32" s="98"/>
      <c r="M32" s="97"/>
      <c r="N32" s="98"/>
      <c r="O32" s="97"/>
      <c r="P32" s="97"/>
      <c r="Q32" s="97"/>
      <c r="R32" s="97"/>
      <c r="S32" s="97"/>
      <c r="T32" s="97"/>
      <c r="U32" s="97"/>
      <c r="V32" s="97"/>
      <c r="W32" s="98"/>
      <c r="X32" s="99"/>
      <c r="Y32" s="99"/>
      <c r="Z32" s="99"/>
      <c r="AA32" s="99"/>
      <c r="AB32" s="99"/>
      <c r="AC32" s="99"/>
      <c r="AD32" s="99"/>
      <c r="AE32" s="100"/>
      <c r="AF32" s="101"/>
      <c r="AG32" s="101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</row>
    <row r="33" spans="3:23" ht="11.25" customHeight="1" outlineLevel="1">
      <c r="K33" s="30"/>
      <c r="L33" s="30"/>
      <c r="M33" s="30"/>
      <c r="N33" s="30"/>
      <c r="O33" s="30"/>
      <c r="P33" s="30"/>
      <c r="Q33" s="30"/>
      <c r="R33" s="30"/>
      <c r="S33" s="30"/>
      <c r="T33" s="30"/>
    </row>
    <row r="34" spans="3:23" ht="11.25" customHeight="1" outlineLevel="1">
      <c r="C34" s="67" t="s">
        <v>84</v>
      </c>
      <c r="D34" s="32" t="s">
        <v>7</v>
      </c>
      <c r="E34" s="32" t="s">
        <v>8</v>
      </c>
      <c r="J34" s="163" t="str">
        <f t="shared" ref="J34:T34" si="28">IF(YEAR(J$4)&gt;=FPFirstYear,IF(YEAR(J$4)&lt;=FPLastYear,J$4,""),"")</f>
        <v/>
      </c>
      <c r="K34" s="163" t="str">
        <f t="shared" si="28"/>
        <v/>
      </c>
      <c r="L34" s="163" t="str">
        <f t="shared" si="28"/>
        <v/>
      </c>
      <c r="M34" s="163" t="str">
        <f t="shared" si="28"/>
        <v/>
      </c>
      <c r="N34" s="163" t="str">
        <f t="shared" si="28"/>
        <v/>
      </c>
      <c r="O34" s="163" t="str">
        <f t="shared" si="28"/>
        <v/>
      </c>
      <c r="P34" s="163">
        <f t="shared" si="28"/>
        <v>44348</v>
      </c>
      <c r="Q34" s="163">
        <f t="shared" si="28"/>
        <v>44713</v>
      </c>
      <c r="R34" s="163">
        <f t="shared" si="28"/>
        <v>45078</v>
      </c>
      <c r="S34" s="163">
        <f t="shared" si="28"/>
        <v>45444</v>
      </c>
      <c r="T34" s="163">
        <f t="shared" si="28"/>
        <v>45809</v>
      </c>
    </row>
    <row r="35" spans="3:23" ht="11.25" customHeight="1" outlineLevel="1">
      <c r="J35" s="110"/>
      <c r="K35" s="142"/>
      <c r="L35" s="142"/>
      <c r="M35" s="142"/>
      <c r="N35" s="142"/>
      <c r="O35" s="142"/>
      <c r="P35" s="142"/>
      <c r="Q35" s="142"/>
      <c r="R35" s="142"/>
      <c r="S35" s="142"/>
      <c r="T35" s="142"/>
    </row>
    <row r="36" spans="3:23" ht="11.25" customHeight="1" outlineLevel="1">
      <c r="C36" s="61" t="s">
        <v>125</v>
      </c>
      <c r="D36" s="30" t="s">
        <v>106</v>
      </c>
      <c r="E36" s="30" t="str">
        <f t="shared" ref="E36:E43" si="29">percent</f>
        <v>Per cent</v>
      </c>
      <c r="J36" s="205"/>
      <c r="K36" s="152"/>
      <c r="L36" s="152"/>
      <c r="M36" s="152"/>
      <c r="N36" s="152"/>
      <c r="O36" s="152"/>
      <c r="P36" s="168">
        <v>4.6982444628733688E-3</v>
      </c>
      <c r="Q36" s="168">
        <v>6.2851223931517097E-3</v>
      </c>
      <c r="R36" s="168">
        <v>5.2438248009960553E-3</v>
      </c>
      <c r="S36" s="168">
        <v>5.7702969975339524E-3</v>
      </c>
      <c r="T36" s="168">
        <v>4.984057686641119E-3</v>
      </c>
    </row>
    <row r="37" spans="3:23" ht="11.25" customHeight="1" outlineLevel="1">
      <c r="C37" s="61" t="s">
        <v>201</v>
      </c>
      <c r="D37" s="30" t="s">
        <v>106</v>
      </c>
      <c r="E37" s="30" t="str">
        <f t="shared" si="29"/>
        <v>Per cent</v>
      </c>
      <c r="J37" s="205"/>
      <c r="K37" s="152"/>
      <c r="L37" s="152"/>
      <c r="M37" s="152"/>
      <c r="N37" s="152"/>
      <c r="O37" s="152"/>
      <c r="P37" s="168">
        <v>9.0000000000000011E-3</v>
      </c>
      <c r="Q37" s="168">
        <v>1.1000000000000001E-2</v>
      </c>
      <c r="R37" s="168">
        <v>1.3000000000000001E-2</v>
      </c>
      <c r="S37" s="168">
        <v>1.3000000000000001E-2</v>
      </c>
      <c r="T37" s="168">
        <v>9.0000000000000011E-3</v>
      </c>
    </row>
    <row r="38" spans="3:23" ht="11.25" customHeight="1" outlineLevel="1">
      <c r="C38" s="61" t="s">
        <v>202</v>
      </c>
      <c r="D38" s="30" t="s">
        <v>106</v>
      </c>
      <c r="E38" s="30" t="str">
        <f t="shared" si="29"/>
        <v>Per cent</v>
      </c>
      <c r="J38" s="205"/>
      <c r="K38" s="152"/>
      <c r="L38" s="152"/>
      <c r="M38" s="152"/>
      <c r="N38" s="152"/>
      <c r="O38" s="152"/>
      <c r="P38" s="60">
        <f>AVERAGE(P36:P37)</f>
        <v>6.8491222314366849E-3</v>
      </c>
      <c r="Q38" s="60">
        <f>AVERAGE(Q36:Q37)</f>
        <v>8.6425611965758563E-3</v>
      </c>
      <c r="R38" s="60">
        <f>AVERAGE(R36:R37)</f>
        <v>9.1219124004980282E-3</v>
      </c>
      <c r="S38" s="60">
        <f>AVERAGE(S36:S37)</f>
        <v>9.3851484987669768E-3</v>
      </c>
      <c r="T38" s="60">
        <f>AVERAGE(T36:T37)</f>
        <v>6.99202884332056E-3</v>
      </c>
    </row>
    <row r="39" spans="3:23" ht="11.25" customHeight="1" outlineLevel="1">
      <c r="C39" s="61"/>
      <c r="D39" s="30" t="s">
        <v>106</v>
      </c>
      <c r="E39" s="30" t="str">
        <f t="shared" si="29"/>
        <v>Per cent</v>
      </c>
      <c r="J39" s="205"/>
      <c r="K39" s="152"/>
      <c r="L39" s="152"/>
      <c r="M39" s="152"/>
      <c r="N39" s="152"/>
      <c r="O39" s="152"/>
      <c r="P39" s="60"/>
      <c r="Q39" s="60"/>
      <c r="R39" s="60"/>
      <c r="S39" s="60"/>
      <c r="T39" s="60"/>
      <c r="U39" s="147"/>
    </row>
    <row r="40" spans="3:23" ht="11.25" customHeight="1" outlineLevel="1">
      <c r="C40" s="61"/>
      <c r="D40" s="30" t="s">
        <v>106</v>
      </c>
      <c r="E40" s="30" t="str">
        <f t="shared" si="29"/>
        <v>Per cent</v>
      </c>
      <c r="J40" s="205"/>
      <c r="K40" s="152"/>
      <c r="L40" s="152"/>
      <c r="M40" s="152"/>
      <c r="N40" s="152"/>
      <c r="O40" s="152"/>
      <c r="P40" s="60"/>
      <c r="Q40" s="60"/>
      <c r="R40" s="60"/>
      <c r="S40" s="60"/>
      <c r="T40" s="60"/>
    </row>
    <row r="41" spans="3:23" ht="11.25" customHeight="1" outlineLevel="1">
      <c r="C41" s="61"/>
      <c r="D41" s="30" t="s">
        <v>106</v>
      </c>
      <c r="E41" s="30" t="str">
        <f t="shared" si="29"/>
        <v>Per cent</v>
      </c>
      <c r="J41" s="205"/>
      <c r="K41" s="152"/>
      <c r="L41" s="152"/>
      <c r="M41" s="152"/>
      <c r="N41" s="152"/>
      <c r="O41" s="152"/>
      <c r="P41" s="60"/>
      <c r="Q41" s="60"/>
      <c r="R41" s="60"/>
      <c r="S41" s="60"/>
      <c r="T41" s="60"/>
    </row>
    <row r="42" spans="3:23" ht="11.25" customHeight="1" outlineLevel="1">
      <c r="C42" s="61"/>
      <c r="D42" s="30" t="s">
        <v>106</v>
      </c>
      <c r="E42" s="30" t="str">
        <f t="shared" si="29"/>
        <v>Per cent</v>
      </c>
      <c r="J42" s="205"/>
      <c r="K42" s="152"/>
      <c r="L42" s="152"/>
      <c r="M42" s="152"/>
      <c r="N42" s="152"/>
      <c r="O42" s="152"/>
      <c r="P42" s="60"/>
      <c r="Q42" s="60"/>
      <c r="R42" s="60"/>
      <c r="S42" s="60"/>
      <c r="T42" s="60"/>
    </row>
    <row r="43" spans="3:23" ht="11.25" customHeight="1" outlineLevel="1">
      <c r="C43" s="61" t="s">
        <v>85</v>
      </c>
      <c r="D43" s="30" t="s">
        <v>106</v>
      </c>
      <c r="E43" s="30" t="str">
        <f t="shared" si="29"/>
        <v>Per cent</v>
      </c>
      <c r="J43" s="205"/>
      <c r="K43" s="152"/>
      <c r="L43" s="152"/>
      <c r="M43" s="152"/>
      <c r="N43" s="152"/>
      <c r="O43" s="152"/>
      <c r="P43" s="60">
        <v>0</v>
      </c>
      <c r="Q43" s="60">
        <v>0</v>
      </c>
      <c r="R43" s="60">
        <v>0</v>
      </c>
      <c r="S43" s="60">
        <v>0</v>
      </c>
      <c r="T43" s="60">
        <v>0</v>
      </c>
    </row>
    <row r="44" spans="3:23" ht="11.25" customHeight="1" outlineLevel="1"/>
    <row r="45" spans="3:23" ht="11.25" customHeight="1" outlineLevel="1">
      <c r="C45" s="29" t="s">
        <v>40</v>
      </c>
      <c r="D45" s="30" t="s">
        <v>103</v>
      </c>
      <c r="E45" s="30" t="s">
        <v>28</v>
      </c>
      <c r="F45" s="30" t="s">
        <v>36</v>
      </c>
      <c r="J45" s="132" t="str">
        <f t="shared" ref="J45:S45" si="30">IF(J34=J4,IF(COUNTA($C36:$C43)=COUNT(J36:J43),"Ok","Check"),"")</f>
        <v/>
      </c>
      <c r="K45" s="132" t="str">
        <f t="shared" si="30"/>
        <v/>
      </c>
      <c r="L45" s="132" t="str">
        <f t="shared" si="30"/>
        <v/>
      </c>
      <c r="M45" s="132" t="str">
        <f t="shared" si="30"/>
        <v/>
      </c>
      <c r="N45" s="132" t="str">
        <f t="shared" si="30"/>
        <v/>
      </c>
      <c r="O45" s="132" t="str">
        <f t="shared" si="30"/>
        <v/>
      </c>
      <c r="P45" s="132" t="str">
        <f t="shared" si="30"/>
        <v>Ok</v>
      </c>
      <c r="Q45" s="132" t="str">
        <f t="shared" si="30"/>
        <v>Ok</v>
      </c>
      <c r="R45" s="132" t="str">
        <f t="shared" si="30"/>
        <v>Ok</v>
      </c>
      <c r="S45" s="132" t="str">
        <f t="shared" si="30"/>
        <v>Ok</v>
      </c>
      <c r="T45" s="132" t="str">
        <f>IF(T34=T4,IF(COUNTA($C36:$C43)=COUNT(T36:T43),"Ok","Check"),"")</f>
        <v>Ok</v>
      </c>
      <c r="U45" s="24"/>
      <c r="W45" s="131" t="str">
        <f>IF(COUNTIF(J45:T45,"Check")=0,"Ok","Check")</f>
        <v>Ok</v>
      </c>
    </row>
    <row r="46" spans="3:23" ht="11.25" customHeight="1" outlineLevel="1"/>
    <row r="47" spans="3:23" ht="11.25" customHeight="1" outlineLevel="1">
      <c r="C47" s="67" t="s">
        <v>43</v>
      </c>
      <c r="D47" s="32" t="s">
        <v>7</v>
      </c>
      <c r="E47" s="32" t="s">
        <v>8</v>
      </c>
      <c r="J47" s="163" t="str">
        <f t="shared" ref="J47:T47" si="31">IF(YEAR(J$4)&gt;=FPFirstYear,IF(YEAR(J$4)&lt;=FPLastYear,J$4,""),"")</f>
        <v/>
      </c>
      <c r="K47" s="163" t="str">
        <f t="shared" si="31"/>
        <v/>
      </c>
      <c r="L47" s="163" t="str">
        <f t="shared" si="31"/>
        <v/>
      </c>
      <c r="M47" s="163" t="str">
        <f t="shared" si="31"/>
        <v/>
      </c>
      <c r="N47" s="163" t="str">
        <f t="shared" si="31"/>
        <v/>
      </c>
      <c r="O47" s="163" t="str">
        <f t="shared" si="31"/>
        <v/>
      </c>
      <c r="P47" s="163">
        <f t="shared" si="31"/>
        <v>44348</v>
      </c>
      <c r="Q47" s="163">
        <f t="shared" si="31"/>
        <v>44713</v>
      </c>
      <c r="R47" s="163">
        <f t="shared" si="31"/>
        <v>45078</v>
      </c>
      <c r="S47" s="163">
        <f t="shared" si="31"/>
        <v>45444</v>
      </c>
      <c r="T47" s="163">
        <f t="shared" si="31"/>
        <v>45809</v>
      </c>
    </row>
    <row r="48" spans="3:23" ht="11.25" customHeight="1" outlineLevel="1"/>
    <row r="49" spans="1:50" ht="11.25" customHeight="1" outlineLevel="1">
      <c r="C49" s="148" t="str">
        <f t="shared" ref="C49:C56" si="32">C36</f>
        <v>WPI - DAE</v>
      </c>
      <c r="D49" s="30" t="s">
        <v>106</v>
      </c>
      <c r="E49" s="30" t="str">
        <f t="shared" ref="E49:E56" si="33">percent</f>
        <v>Per cent</v>
      </c>
      <c r="J49" s="205"/>
      <c r="K49" s="152"/>
      <c r="L49" s="152"/>
      <c r="M49" s="152"/>
      <c r="N49" s="152"/>
      <c r="O49" s="152"/>
      <c r="P49" s="60">
        <v>0</v>
      </c>
      <c r="Q49" s="60">
        <v>0</v>
      </c>
      <c r="R49" s="60">
        <v>0</v>
      </c>
      <c r="S49" s="60">
        <v>0</v>
      </c>
      <c r="T49" s="221">
        <v>0</v>
      </c>
    </row>
    <row r="50" spans="1:50" ht="11.25" customHeight="1" outlineLevel="1">
      <c r="C50" s="148" t="str">
        <f t="shared" si="32"/>
        <v>WPI - BIS</v>
      </c>
      <c r="D50" s="30" t="s">
        <v>106</v>
      </c>
      <c r="E50" s="30" t="str">
        <f t="shared" si="33"/>
        <v>Per cent</v>
      </c>
      <c r="J50" s="205"/>
      <c r="K50" s="152"/>
      <c r="L50" s="152"/>
      <c r="M50" s="152"/>
      <c r="N50" s="152"/>
      <c r="O50" s="152"/>
      <c r="P50" s="60">
        <v>0</v>
      </c>
      <c r="Q50" s="60">
        <v>0</v>
      </c>
      <c r="R50" s="60">
        <v>0</v>
      </c>
      <c r="S50" s="60">
        <v>0</v>
      </c>
      <c r="T50" s="221">
        <v>0</v>
      </c>
    </row>
    <row r="51" spans="1:50" ht="11.25" customHeight="1" outlineLevel="1">
      <c r="C51" s="148" t="str">
        <f t="shared" si="32"/>
        <v>WPI - average of DAE and BIS</v>
      </c>
      <c r="D51" s="30" t="s">
        <v>106</v>
      </c>
      <c r="E51" s="30" t="str">
        <f t="shared" si="33"/>
        <v>Per cent</v>
      </c>
      <c r="J51" s="205"/>
      <c r="K51" s="152"/>
      <c r="L51" s="152"/>
      <c r="M51" s="152"/>
      <c r="N51" s="152"/>
      <c r="O51" s="152"/>
      <c r="P51" s="60">
        <v>0.59699999999999998</v>
      </c>
      <c r="Q51" s="60">
        <v>0.59699999999999998</v>
      </c>
      <c r="R51" s="60">
        <v>0.59699999999999998</v>
      </c>
      <c r="S51" s="60">
        <v>0.59699999999999998</v>
      </c>
      <c r="T51" s="221">
        <v>0.59699999999999998</v>
      </c>
    </row>
    <row r="52" spans="1:50" ht="11.25" customHeight="1" outlineLevel="1">
      <c r="C52" s="148">
        <f t="shared" si="32"/>
        <v>0</v>
      </c>
      <c r="D52" s="30" t="s">
        <v>106</v>
      </c>
      <c r="E52" s="30" t="str">
        <f t="shared" si="33"/>
        <v>Per cent</v>
      </c>
      <c r="J52" s="205"/>
      <c r="K52" s="152"/>
      <c r="L52" s="152"/>
      <c r="M52" s="152"/>
      <c r="N52" s="152"/>
      <c r="O52" s="152"/>
      <c r="P52" s="60">
        <v>0</v>
      </c>
      <c r="Q52" s="60">
        <v>0</v>
      </c>
      <c r="R52" s="60">
        <v>0</v>
      </c>
      <c r="S52" s="60">
        <v>0</v>
      </c>
      <c r="T52" s="221">
        <v>0</v>
      </c>
      <c r="U52" s="147"/>
    </row>
    <row r="53" spans="1:50" ht="11.25" customHeight="1" outlineLevel="1">
      <c r="C53" s="148">
        <f t="shared" si="32"/>
        <v>0</v>
      </c>
      <c r="D53" s="30" t="s">
        <v>106</v>
      </c>
      <c r="E53" s="30" t="str">
        <f t="shared" si="33"/>
        <v>Per cent</v>
      </c>
      <c r="J53" s="205"/>
      <c r="K53" s="152"/>
      <c r="L53" s="152"/>
      <c r="M53" s="152"/>
      <c r="N53" s="152"/>
      <c r="O53" s="152"/>
      <c r="P53" s="60">
        <v>0</v>
      </c>
      <c r="Q53" s="60">
        <v>0</v>
      </c>
      <c r="R53" s="60">
        <v>0</v>
      </c>
      <c r="S53" s="60">
        <v>0</v>
      </c>
      <c r="T53" s="221">
        <v>0</v>
      </c>
    </row>
    <row r="54" spans="1:50" ht="11.25" customHeight="1" outlineLevel="1">
      <c r="C54" s="148">
        <f t="shared" si="32"/>
        <v>0</v>
      </c>
      <c r="D54" s="30" t="s">
        <v>106</v>
      </c>
      <c r="E54" s="30" t="str">
        <f t="shared" si="33"/>
        <v>Per cent</v>
      </c>
      <c r="J54" s="205"/>
      <c r="K54" s="152"/>
      <c r="L54" s="152"/>
      <c r="M54" s="152"/>
      <c r="N54" s="152"/>
      <c r="O54" s="152"/>
      <c r="P54" s="60">
        <v>0</v>
      </c>
      <c r="Q54" s="60">
        <v>0</v>
      </c>
      <c r="R54" s="60">
        <v>0</v>
      </c>
      <c r="S54" s="60">
        <v>0</v>
      </c>
      <c r="T54" s="221">
        <v>0</v>
      </c>
    </row>
    <row r="55" spans="1:50" ht="11.25" customHeight="1" outlineLevel="1">
      <c r="C55" s="148">
        <f t="shared" si="32"/>
        <v>0</v>
      </c>
      <c r="D55" s="30" t="s">
        <v>106</v>
      </c>
      <c r="E55" s="30" t="str">
        <f t="shared" si="33"/>
        <v>Per cent</v>
      </c>
      <c r="J55" s="205"/>
      <c r="K55" s="152"/>
      <c r="L55" s="152"/>
      <c r="M55" s="152"/>
      <c r="N55" s="152"/>
      <c r="O55" s="152"/>
      <c r="P55" s="60">
        <v>0</v>
      </c>
      <c r="Q55" s="60">
        <v>0</v>
      </c>
      <c r="R55" s="60">
        <v>0</v>
      </c>
      <c r="S55" s="60">
        <v>0</v>
      </c>
      <c r="T55" s="221">
        <v>0</v>
      </c>
    </row>
    <row r="56" spans="1:50" ht="11.25" customHeight="1" outlineLevel="1">
      <c r="C56" s="148" t="str">
        <f t="shared" si="32"/>
        <v>CPI</v>
      </c>
      <c r="D56" s="30" t="s">
        <v>106</v>
      </c>
      <c r="E56" s="30" t="str">
        <f t="shared" si="33"/>
        <v>Per cent</v>
      </c>
      <c r="J56" s="205"/>
      <c r="K56" s="152"/>
      <c r="L56" s="152"/>
      <c r="M56" s="152"/>
      <c r="N56" s="152"/>
      <c r="O56" s="152"/>
      <c r="P56" s="60">
        <v>0.40300000000000002</v>
      </c>
      <c r="Q56" s="60">
        <v>0.40300000000000002</v>
      </c>
      <c r="R56" s="60">
        <v>0.40300000000000002</v>
      </c>
      <c r="S56" s="60">
        <v>0.40300000000000002</v>
      </c>
      <c r="T56" s="221">
        <v>0.40300000000000002</v>
      </c>
    </row>
    <row r="57" spans="1:50" ht="11.25" customHeight="1" outlineLevel="1"/>
    <row r="58" spans="1:50" outlineLevel="1">
      <c r="C58" s="29" t="s">
        <v>40</v>
      </c>
      <c r="D58" s="30" t="s">
        <v>103</v>
      </c>
      <c r="E58" s="30" t="s">
        <v>28</v>
      </c>
      <c r="F58" s="30" t="s">
        <v>36</v>
      </c>
      <c r="J58" s="132" t="str">
        <f t="shared" ref="J58:S58" si="34">IF(J47=J$4,IF(SUM(J49:J56)=1,"Ok","Check"),"")</f>
        <v/>
      </c>
      <c r="K58" s="132" t="str">
        <f t="shared" si="34"/>
        <v/>
      </c>
      <c r="L58" s="132" t="str">
        <f t="shared" si="34"/>
        <v/>
      </c>
      <c r="M58" s="132" t="str">
        <f t="shared" si="34"/>
        <v/>
      </c>
      <c r="N58" s="132" t="str">
        <f t="shared" si="34"/>
        <v/>
      </c>
      <c r="O58" s="132" t="str">
        <f t="shared" si="34"/>
        <v/>
      </c>
      <c r="P58" s="132" t="str">
        <f t="shared" si="34"/>
        <v>Ok</v>
      </c>
      <c r="Q58" s="132" t="str">
        <f t="shared" si="34"/>
        <v>Ok</v>
      </c>
      <c r="R58" s="132" t="str">
        <f t="shared" si="34"/>
        <v>Ok</v>
      </c>
      <c r="S58" s="132" t="str">
        <f t="shared" si="34"/>
        <v>Ok</v>
      </c>
      <c r="T58" s="132" t="str">
        <f>IF(T47=T$4,IF(SUM(T49:T56)=1,"Ok","Check"),"")</f>
        <v>Ok</v>
      </c>
      <c r="U58" s="24"/>
      <c r="W58" s="131" t="str">
        <f>IF(COUNTIF(J58:T58,"Check")=0,"Ok","Check")</f>
        <v>Ok</v>
      </c>
    </row>
    <row r="59" spans="1:50"/>
    <row r="60" spans="1:50" s="103" customFormat="1" ht="12.75">
      <c r="A60" s="94"/>
      <c r="B60" s="95" t="s">
        <v>88</v>
      </c>
      <c r="C60" s="94"/>
      <c r="D60" s="94"/>
      <c r="E60" s="94"/>
      <c r="F60" s="96"/>
      <c r="G60" s="96"/>
      <c r="H60" s="96"/>
      <c r="I60" s="96"/>
      <c r="J60" s="96"/>
      <c r="K60" s="97"/>
      <c r="L60" s="98"/>
      <c r="M60" s="97"/>
      <c r="N60" s="98"/>
      <c r="O60" s="97"/>
      <c r="P60" s="97"/>
      <c r="Q60" s="97"/>
      <c r="R60" s="97"/>
      <c r="S60" s="97"/>
      <c r="T60" s="97"/>
      <c r="U60" s="97"/>
      <c r="V60" s="97"/>
      <c r="W60" s="98"/>
      <c r="X60" s="99"/>
      <c r="Y60" s="99"/>
      <c r="Z60" s="99"/>
      <c r="AA60" s="99"/>
      <c r="AB60" s="99"/>
      <c r="AC60" s="99"/>
      <c r="AD60" s="99"/>
      <c r="AE60" s="100"/>
      <c r="AF60" s="101"/>
      <c r="AG60" s="101"/>
      <c r="AH60" s="102"/>
      <c r="AI60" s="102"/>
      <c r="AJ60" s="102"/>
      <c r="AK60" s="102"/>
      <c r="AL60" s="102"/>
      <c r="AM60" s="102"/>
      <c r="AN60" s="102"/>
      <c r="AO60" s="102"/>
      <c r="AP60" s="102"/>
      <c r="AQ60" s="102"/>
      <c r="AR60" s="102"/>
      <c r="AS60" s="102"/>
      <c r="AT60" s="102"/>
      <c r="AU60" s="102"/>
      <c r="AV60" s="102"/>
      <c r="AW60" s="102"/>
      <c r="AX60" s="102"/>
    </row>
    <row r="61" spans="1:50" outlineLevel="1">
      <c r="G61" s="32"/>
      <c r="H61" s="32"/>
    </row>
    <row r="62" spans="1:50" outlineLevel="1">
      <c r="C62" s="67" t="s">
        <v>89</v>
      </c>
      <c r="D62" s="32" t="s">
        <v>7</v>
      </c>
      <c r="E62" s="32" t="s">
        <v>8</v>
      </c>
      <c r="F62" s="32" t="s">
        <v>22</v>
      </c>
      <c r="G62" s="32"/>
      <c r="H62" s="32"/>
      <c r="J62" s="163" t="str">
        <f t="shared" ref="J62:T62" si="35">IF(YEAR(J$4)&gt;=PPLastYear,IF(YEAR(J$4)&lt;=FPLastYear,J$4,""),"")</f>
        <v/>
      </c>
      <c r="K62" s="163" t="str">
        <f t="shared" si="35"/>
        <v/>
      </c>
      <c r="L62" s="163" t="str">
        <f t="shared" si="35"/>
        <v/>
      </c>
      <c r="M62" s="163" t="str">
        <f t="shared" si="35"/>
        <v/>
      </c>
      <c r="N62" s="163" t="str">
        <f t="shared" si="35"/>
        <v/>
      </c>
      <c r="O62" s="163">
        <f t="shared" si="35"/>
        <v>43983</v>
      </c>
      <c r="P62" s="163">
        <f t="shared" si="35"/>
        <v>44348</v>
      </c>
      <c r="Q62" s="163">
        <f t="shared" si="35"/>
        <v>44713</v>
      </c>
      <c r="R62" s="163">
        <f t="shared" si="35"/>
        <v>45078</v>
      </c>
      <c r="S62" s="163">
        <f t="shared" si="35"/>
        <v>45444</v>
      </c>
      <c r="T62" s="163">
        <f t="shared" si="35"/>
        <v>45809</v>
      </c>
    </row>
    <row r="63" spans="1:50" outlineLevel="1">
      <c r="C63" s="111"/>
      <c r="G63" s="32"/>
      <c r="H63" s="32"/>
      <c r="K63" s="23"/>
      <c r="L63" s="23"/>
      <c r="M63" s="23"/>
      <c r="N63" s="23"/>
      <c r="O63" s="23"/>
    </row>
    <row r="64" spans="1:50" outlineLevel="1">
      <c r="C64" s="61" t="s">
        <v>180</v>
      </c>
      <c r="D64" s="30" t="s">
        <v>106</v>
      </c>
      <c r="E64" s="30" t="s">
        <v>18</v>
      </c>
      <c r="F64" s="30" t="s">
        <v>36</v>
      </c>
      <c r="G64" s="32"/>
      <c r="H64" s="32"/>
      <c r="J64" s="205"/>
      <c r="K64" s="196"/>
      <c r="L64" s="196"/>
      <c r="M64" s="196"/>
      <c r="N64" s="196"/>
      <c r="O64" s="197">
        <v>1505249</v>
      </c>
      <c r="P64" s="197">
        <v>1525955</v>
      </c>
      <c r="Q64" s="197">
        <v>1546472</v>
      </c>
      <c r="R64" s="197">
        <v>1567625</v>
      </c>
      <c r="S64" s="197">
        <v>1588875</v>
      </c>
      <c r="T64" s="197">
        <v>1610463</v>
      </c>
    </row>
    <row r="65" spans="3:23" outlineLevel="1">
      <c r="C65" s="61" t="s">
        <v>181</v>
      </c>
      <c r="D65" s="30" t="s">
        <v>106</v>
      </c>
      <c r="E65" s="30" t="s">
        <v>18</v>
      </c>
      <c r="F65" s="30" t="s">
        <v>36</v>
      </c>
      <c r="G65" s="32"/>
      <c r="H65" s="226"/>
      <c r="I65" s="226"/>
      <c r="J65" s="226"/>
      <c r="K65" s="226"/>
      <c r="L65" s="226"/>
      <c r="M65" s="196"/>
      <c r="N65" s="196"/>
      <c r="O65" s="197">
        <v>54703.707065000002</v>
      </c>
      <c r="P65" s="197">
        <v>55136.620825755002</v>
      </c>
      <c r="Q65" s="197">
        <v>55631.522735250386</v>
      </c>
      <c r="R65" s="197">
        <v>56086.134413046151</v>
      </c>
      <c r="S65" s="197">
        <v>56550.682771221269</v>
      </c>
      <c r="T65" s="197">
        <v>57049.400143447579</v>
      </c>
    </row>
    <row r="66" spans="3:23" outlineLevel="1">
      <c r="C66" s="61" t="s">
        <v>182</v>
      </c>
      <c r="D66" s="30" t="s">
        <v>106</v>
      </c>
      <c r="E66" s="30" t="s">
        <v>18</v>
      </c>
      <c r="F66" s="30" t="s">
        <v>36</v>
      </c>
      <c r="G66" s="32"/>
      <c r="H66" s="32"/>
      <c r="J66" s="205"/>
      <c r="K66" s="196"/>
      <c r="L66" s="196"/>
      <c r="M66" s="196"/>
      <c r="N66" s="196"/>
      <c r="O66" s="197">
        <v>5055</v>
      </c>
      <c r="P66" s="197">
        <v>5110</v>
      </c>
      <c r="Q66" s="197">
        <v>5148</v>
      </c>
      <c r="R66" s="197">
        <v>5177</v>
      </c>
      <c r="S66" s="197">
        <v>5197</v>
      </c>
      <c r="T66" s="197">
        <v>5235</v>
      </c>
    </row>
    <row r="67" spans="3:23" outlineLevel="1">
      <c r="C67" s="61" t="s">
        <v>183</v>
      </c>
      <c r="D67" s="30" t="s">
        <v>106</v>
      </c>
      <c r="E67" s="30" t="s">
        <v>18</v>
      </c>
      <c r="F67" s="30" t="s">
        <v>36</v>
      </c>
      <c r="G67" s="32"/>
      <c r="H67" s="226"/>
      <c r="I67" s="226"/>
      <c r="J67" s="226"/>
      <c r="K67" s="226"/>
      <c r="L67" s="226"/>
      <c r="M67" s="196"/>
      <c r="N67" s="196"/>
      <c r="O67" s="197">
        <v>21426</v>
      </c>
      <c r="P67" s="197">
        <v>21445</v>
      </c>
      <c r="Q67" s="197">
        <v>21517</v>
      </c>
      <c r="R67" s="197">
        <v>21484</v>
      </c>
      <c r="S67" s="197">
        <v>21515</v>
      </c>
      <c r="T67" s="197">
        <v>21587</v>
      </c>
    </row>
    <row r="68" spans="3:23" outlineLevel="1">
      <c r="C68" s="61"/>
      <c r="D68" s="30" t="s">
        <v>106</v>
      </c>
      <c r="E68" s="30" t="s">
        <v>18</v>
      </c>
      <c r="F68" s="30" t="s">
        <v>36</v>
      </c>
      <c r="G68" s="32"/>
      <c r="H68" s="32"/>
      <c r="J68" s="205"/>
      <c r="K68" s="196"/>
      <c r="L68" s="196"/>
      <c r="M68" s="196"/>
      <c r="N68" s="196"/>
      <c r="O68" s="197"/>
      <c r="P68" s="197"/>
      <c r="Q68" s="197"/>
      <c r="R68" s="197"/>
      <c r="S68" s="197"/>
      <c r="T68" s="197"/>
    </row>
    <row r="69" spans="3:23" outlineLevel="1">
      <c r="C69" s="61"/>
      <c r="D69" s="30" t="s">
        <v>106</v>
      </c>
      <c r="E69" s="30" t="s">
        <v>18</v>
      </c>
      <c r="F69" s="30" t="s">
        <v>36</v>
      </c>
      <c r="G69" s="32"/>
      <c r="H69" s="226"/>
      <c r="I69" s="226"/>
      <c r="J69" s="226"/>
      <c r="K69" s="226"/>
      <c r="L69" s="226"/>
      <c r="M69" s="196"/>
      <c r="N69" s="196"/>
      <c r="O69" s="197"/>
      <c r="P69" s="197"/>
      <c r="Q69" s="197"/>
      <c r="R69" s="197"/>
      <c r="S69" s="197"/>
      <c r="T69" s="197"/>
    </row>
    <row r="70" spans="3:23" outlineLevel="1">
      <c r="C70" s="111"/>
      <c r="G70" s="32"/>
      <c r="H70" s="32"/>
      <c r="K70" s="23"/>
      <c r="L70" s="23"/>
      <c r="M70" s="23"/>
      <c r="N70" s="23"/>
      <c r="O70" s="23"/>
    </row>
    <row r="71" spans="3:23" outlineLevel="1">
      <c r="C71" s="29" t="s">
        <v>40</v>
      </c>
      <c r="D71" s="30" t="s">
        <v>103</v>
      </c>
      <c r="E71" s="30" t="s">
        <v>28</v>
      </c>
      <c r="F71" s="30" t="s">
        <v>36</v>
      </c>
      <c r="H71" s="227"/>
      <c r="I71" s="227"/>
      <c r="J71" s="227"/>
      <c r="K71" s="227"/>
      <c r="L71" s="227"/>
      <c r="M71" s="132" t="str">
        <f t="shared" ref="M71:S71" si="36">IF(M62=M$4,IF(COUNTA($C64:$C69)=COUNT(M64:M69),"Ok","Check"),"")</f>
        <v/>
      </c>
      <c r="N71" s="132" t="str">
        <f t="shared" si="36"/>
        <v/>
      </c>
      <c r="O71" s="132" t="str">
        <f t="shared" si="36"/>
        <v>Ok</v>
      </c>
      <c r="P71" s="132" t="str">
        <f t="shared" si="36"/>
        <v>Ok</v>
      </c>
      <c r="Q71" s="132" t="str">
        <f t="shared" si="36"/>
        <v>Ok</v>
      </c>
      <c r="R71" s="132" t="str">
        <f t="shared" si="36"/>
        <v>Ok</v>
      </c>
      <c r="S71" s="132" t="str">
        <f t="shared" si="36"/>
        <v>Ok</v>
      </c>
      <c r="T71" s="132" t="str">
        <f>IF(T62=T$4,IF(COUNTA($C64:$C69)=COUNT(T64:T69),"Ok","Check"),"")</f>
        <v>Ok</v>
      </c>
      <c r="U71" s="24"/>
      <c r="W71" s="131" t="str">
        <f>IF(COUNTIF(J71:T71,"Check")=0,"Ok","Check")</f>
        <v>Ok</v>
      </c>
    </row>
    <row r="72" spans="3:23" outlineLevel="1">
      <c r="C72" s="111"/>
      <c r="G72" s="32"/>
      <c r="H72" s="32"/>
      <c r="K72" s="23"/>
      <c r="L72" s="23"/>
      <c r="M72" s="23"/>
      <c r="N72" s="23"/>
      <c r="O72" s="23"/>
    </row>
    <row r="73" spans="3:23" outlineLevel="1">
      <c r="C73" s="67" t="s">
        <v>92</v>
      </c>
      <c r="D73" s="32" t="s">
        <v>7</v>
      </c>
      <c r="E73" s="32" t="s">
        <v>8</v>
      </c>
      <c r="F73" s="32" t="s">
        <v>22</v>
      </c>
      <c r="G73" s="32"/>
      <c r="H73" s="32"/>
      <c r="J73" s="163" t="str">
        <f t="shared" ref="J73:T73" si="37">IF(YEAR(J$4)&gt;=FPFirstYear,IF(YEAR(J$4)&lt;=FPLastYear,J$4,""),"")</f>
        <v/>
      </c>
      <c r="K73" s="163" t="str">
        <f t="shared" si="37"/>
        <v/>
      </c>
      <c r="L73" s="163" t="str">
        <f t="shared" si="37"/>
        <v/>
      </c>
      <c r="M73" s="163" t="str">
        <f t="shared" si="37"/>
        <v/>
      </c>
      <c r="N73" s="163" t="str">
        <f t="shared" si="37"/>
        <v/>
      </c>
      <c r="O73" s="163" t="str">
        <f t="shared" si="37"/>
        <v/>
      </c>
      <c r="P73" s="163">
        <f t="shared" si="37"/>
        <v>44348</v>
      </c>
      <c r="Q73" s="163">
        <f t="shared" si="37"/>
        <v>44713</v>
      </c>
      <c r="R73" s="163">
        <f t="shared" si="37"/>
        <v>45078</v>
      </c>
      <c r="S73" s="163">
        <f t="shared" si="37"/>
        <v>45444</v>
      </c>
      <c r="T73" s="163">
        <f t="shared" si="37"/>
        <v>45809</v>
      </c>
      <c r="U73" s="29" t="str">
        <f>IF(RIGHT(U$4,2)&gt;=RIGHT('Input|General'!$G$13,2),IF(RIGHT(U$4,2)&lt;='Input|General'!$G$14,'Input|Reported opex'!T$4,""),"")</f>
        <v/>
      </c>
    </row>
    <row r="74" spans="3:23" outlineLevel="1">
      <c r="C74" s="111"/>
      <c r="G74" s="32"/>
      <c r="H74" s="32"/>
      <c r="K74" s="23"/>
      <c r="L74" s="23"/>
      <c r="M74" s="23"/>
      <c r="N74" s="23"/>
      <c r="O74" s="23"/>
    </row>
    <row r="75" spans="3:23" outlineLevel="1">
      <c r="C75" s="148" t="str">
        <f>C64</f>
        <v>Customer numbers (#)</v>
      </c>
      <c r="D75" s="30" t="s">
        <v>103</v>
      </c>
      <c r="E75" s="30" t="s">
        <v>18</v>
      </c>
      <c r="F75" s="30" t="s">
        <v>36</v>
      </c>
      <c r="G75" s="32"/>
      <c r="H75" s="32"/>
      <c r="J75" s="117" t="str">
        <f t="shared" ref="J75:M75" si="38">IF(ISBLANK(I64),"",IF(ISBLANK(J64),"",LN(J64)-LN(I64)))</f>
        <v/>
      </c>
      <c r="K75" s="117" t="str">
        <f t="shared" si="38"/>
        <v/>
      </c>
      <c r="L75" s="117" t="str">
        <f t="shared" si="38"/>
        <v/>
      </c>
      <c r="M75" s="117" t="str">
        <f t="shared" si="38"/>
        <v/>
      </c>
      <c r="N75" s="117" t="str">
        <f>IF(ISBLANK(M64),"",IF(ISBLANK(N64),"",LN(N64)-LN(M64)))</f>
        <v/>
      </c>
      <c r="O75" s="117" t="str">
        <f t="shared" ref="O75:T75" si="39">IF(ISBLANK(N64),"",IF(ISBLANK(O64),"",LN(O64)-LN(N64)))</f>
        <v/>
      </c>
      <c r="P75" s="117">
        <f t="shared" si="39"/>
        <v>1.3662110546968975E-2</v>
      </c>
      <c r="Q75" s="117">
        <f t="shared" si="39"/>
        <v>1.3355764012096927E-2</v>
      </c>
      <c r="R75" s="117">
        <f t="shared" si="39"/>
        <v>1.3585527582284485E-2</v>
      </c>
      <c r="S75" s="117">
        <f t="shared" si="39"/>
        <v>1.3464483470619015E-2</v>
      </c>
      <c r="T75" s="117">
        <f t="shared" si="39"/>
        <v>1.3495496660903328E-2</v>
      </c>
    </row>
    <row r="76" spans="3:23" outlineLevel="1">
      <c r="C76" s="148" t="str">
        <f t="shared" ref="C76:C80" si="40">C65</f>
        <v>Circuit Length (km)</v>
      </c>
      <c r="D76" s="30" t="s">
        <v>103</v>
      </c>
      <c r="E76" s="30" t="s">
        <v>18</v>
      </c>
      <c r="F76" s="30" t="s">
        <v>36</v>
      </c>
      <c r="G76" s="32"/>
      <c r="H76" s="32"/>
      <c r="J76" s="117" t="str">
        <f t="shared" ref="J76:T76" si="41">IF(ISBLANK(I65),"",IF(ISBLANK(J65),"",LN(J65)-LN(I65)))</f>
        <v/>
      </c>
      <c r="K76" s="117" t="str">
        <f t="shared" si="41"/>
        <v/>
      </c>
      <c r="L76" s="117" t="str">
        <f t="shared" si="41"/>
        <v/>
      </c>
      <c r="M76" s="117" t="str">
        <f t="shared" si="41"/>
        <v/>
      </c>
      <c r="N76" s="117" t="str">
        <f t="shared" si="41"/>
        <v/>
      </c>
      <c r="O76" s="117" t="str">
        <f t="shared" si="41"/>
        <v/>
      </c>
      <c r="P76" s="117">
        <f t="shared" si="41"/>
        <v>7.8826422079227854E-3</v>
      </c>
      <c r="Q76" s="117">
        <f t="shared" si="41"/>
        <v>8.9358760873938792E-3</v>
      </c>
      <c r="R76" s="117">
        <f t="shared" si="41"/>
        <v>8.1386272993899667E-3</v>
      </c>
      <c r="S76" s="117">
        <f t="shared" si="41"/>
        <v>8.2486526836387242E-3</v>
      </c>
      <c r="T76" s="117">
        <f t="shared" si="41"/>
        <v>8.7802854260612406E-3</v>
      </c>
    </row>
    <row r="77" spans="3:23" outlineLevel="1">
      <c r="C77" s="148" t="str">
        <f t="shared" si="40"/>
        <v>Ratcheted Maximum Demand (MW)</v>
      </c>
      <c r="D77" s="30" t="s">
        <v>103</v>
      </c>
      <c r="E77" s="30" t="s">
        <v>18</v>
      </c>
      <c r="F77" s="30" t="s">
        <v>36</v>
      </c>
      <c r="G77" s="32"/>
      <c r="H77" s="32"/>
      <c r="J77" s="117" t="str">
        <f t="shared" ref="J77:T77" si="42">IF(ISBLANK(I66),"",IF(ISBLANK(J66),"",LN(J66)-LN(I66)))</f>
        <v/>
      </c>
      <c r="K77" s="117" t="str">
        <f t="shared" si="42"/>
        <v/>
      </c>
      <c r="L77" s="117" t="str">
        <f t="shared" si="42"/>
        <v/>
      </c>
      <c r="M77" s="117" t="str">
        <f t="shared" si="42"/>
        <v/>
      </c>
      <c r="N77" s="117" t="str">
        <f t="shared" si="42"/>
        <v/>
      </c>
      <c r="O77" s="117" t="str">
        <f t="shared" si="42"/>
        <v/>
      </c>
      <c r="P77" s="117">
        <f t="shared" si="42"/>
        <v>1.0821551743177338E-2</v>
      </c>
      <c r="Q77" s="117">
        <f t="shared" si="42"/>
        <v>7.4088855182683488E-3</v>
      </c>
      <c r="R77" s="117">
        <f t="shared" si="42"/>
        <v>5.6174481858839442E-3</v>
      </c>
      <c r="S77" s="117">
        <f t="shared" si="42"/>
        <v>3.8557981065405755E-3</v>
      </c>
      <c r="T77" s="117">
        <f t="shared" si="42"/>
        <v>7.2853082961952254E-3</v>
      </c>
    </row>
    <row r="78" spans="3:23" outlineLevel="1">
      <c r="C78" s="148" t="str">
        <f t="shared" si="40"/>
        <v>Energy throughput (GWh)</v>
      </c>
      <c r="D78" s="30" t="s">
        <v>103</v>
      </c>
      <c r="E78" s="30" t="s">
        <v>18</v>
      </c>
      <c r="F78" s="30" t="s">
        <v>36</v>
      </c>
      <c r="G78" s="32"/>
      <c r="H78" s="32"/>
      <c r="J78" s="117" t="str">
        <f t="shared" ref="J78:T78" si="43">IF(ISBLANK(I67),"",IF(ISBLANK(J67),"",LN(J67)-LN(I67)))</f>
        <v/>
      </c>
      <c r="K78" s="117" t="str">
        <f t="shared" si="43"/>
        <v/>
      </c>
      <c r="L78" s="117" t="str">
        <f t="shared" si="43"/>
        <v/>
      </c>
      <c r="M78" s="117" t="str">
        <f t="shared" si="43"/>
        <v/>
      </c>
      <c r="N78" s="117" t="str">
        <f t="shared" si="43"/>
        <v/>
      </c>
      <c r="O78" s="117" t="str">
        <f t="shared" si="43"/>
        <v/>
      </c>
      <c r="P78" s="117">
        <f t="shared" si="43"/>
        <v>8.8638012847752634E-4</v>
      </c>
      <c r="Q78" s="117">
        <f t="shared" si="43"/>
        <v>3.3518024024701276E-3</v>
      </c>
      <c r="R78" s="117">
        <f t="shared" si="43"/>
        <v>-1.5348483281005798E-3</v>
      </c>
      <c r="S78" s="117">
        <f t="shared" si="43"/>
        <v>1.4418942473497509E-3</v>
      </c>
      <c r="T78" s="117">
        <f t="shared" si="43"/>
        <v>3.3409153621768439E-3</v>
      </c>
    </row>
    <row r="79" spans="3:23" outlineLevel="1">
      <c r="C79" s="148">
        <f t="shared" si="40"/>
        <v>0</v>
      </c>
      <c r="D79" s="30" t="s">
        <v>103</v>
      </c>
      <c r="E79" s="30" t="s">
        <v>18</v>
      </c>
      <c r="F79" s="30" t="s">
        <v>36</v>
      </c>
      <c r="G79" s="32"/>
      <c r="H79" s="32"/>
      <c r="J79" s="117" t="str">
        <f t="shared" ref="J79:T79" si="44">IF(ISBLANK(I68),"",IF(ISBLANK(J68),"",LN(J68)-LN(I68)))</f>
        <v/>
      </c>
      <c r="K79" s="117" t="str">
        <f t="shared" si="44"/>
        <v/>
      </c>
      <c r="L79" s="117" t="str">
        <f t="shared" si="44"/>
        <v/>
      </c>
      <c r="M79" s="117" t="str">
        <f t="shared" si="44"/>
        <v/>
      </c>
      <c r="N79" s="117" t="str">
        <f t="shared" si="44"/>
        <v/>
      </c>
      <c r="O79" s="117" t="str">
        <f t="shared" si="44"/>
        <v/>
      </c>
      <c r="P79" s="117" t="str">
        <f t="shared" si="44"/>
        <v/>
      </c>
      <c r="Q79" s="117" t="str">
        <f t="shared" si="44"/>
        <v/>
      </c>
      <c r="R79" s="117" t="str">
        <f t="shared" si="44"/>
        <v/>
      </c>
      <c r="S79" s="117" t="str">
        <f t="shared" si="44"/>
        <v/>
      </c>
      <c r="T79" s="117" t="str">
        <f t="shared" si="44"/>
        <v/>
      </c>
    </row>
    <row r="80" spans="3:23" outlineLevel="1">
      <c r="C80" s="148">
        <f t="shared" si="40"/>
        <v>0</v>
      </c>
      <c r="D80" s="30" t="s">
        <v>103</v>
      </c>
      <c r="E80" s="30" t="s">
        <v>18</v>
      </c>
      <c r="F80" s="30" t="s">
        <v>36</v>
      </c>
      <c r="G80" s="32"/>
      <c r="H80" s="32"/>
      <c r="J80" s="117" t="str">
        <f t="shared" ref="J80:T80" si="45">IF(ISBLANK(I69),"",IF(ISBLANK(J69),"",LN(J69)-LN(I69)))</f>
        <v/>
      </c>
      <c r="K80" s="117" t="str">
        <f t="shared" si="45"/>
        <v/>
      </c>
      <c r="L80" s="117" t="str">
        <f t="shared" si="45"/>
        <v/>
      </c>
      <c r="M80" s="117" t="str">
        <f t="shared" si="45"/>
        <v/>
      </c>
      <c r="N80" s="117" t="str">
        <f t="shared" si="45"/>
        <v/>
      </c>
      <c r="O80" s="117" t="str">
        <f t="shared" si="45"/>
        <v/>
      </c>
      <c r="P80" s="117" t="str">
        <f t="shared" si="45"/>
        <v/>
      </c>
      <c r="Q80" s="117" t="str">
        <f t="shared" si="45"/>
        <v/>
      </c>
      <c r="R80" s="117" t="str">
        <f t="shared" si="45"/>
        <v/>
      </c>
      <c r="S80" s="117" t="str">
        <f t="shared" si="45"/>
        <v/>
      </c>
      <c r="T80" s="117" t="str">
        <f t="shared" si="45"/>
        <v/>
      </c>
    </row>
    <row r="81" spans="3:23" outlineLevel="1">
      <c r="C81" s="111"/>
      <c r="G81" s="32"/>
      <c r="H81" s="32"/>
      <c r="K81" s="23"/>
      <c r="L81" s="23"/>
      <c r="M81" s="23"/>
      <c r="N81" s="23"/>
      <c r="O81" s="23"/>
    </row>
    <row r="82" spans="3:23" outlineLevel="1">
      <c r="C82" s="67" t="s">
        <v>184</v>
      </c>
      <c r="D82" s="32" t="s">
        <v>7</v>
      </c>
      <c r="E82" s="32" t="s">
        <v>8</v>
      </c>
      <c r="F82" s="32" t="s">
        <v>22</v>
      </c>
      <c r="G82" s="32"/>
      <c r="H82" s="126"/>
      <c r="I82" s="110"/>
      <c r="J82" s="211" t="s">
        <v>185</v>
      </c>
      <c r="K82" s="211" t="s">
        <v>186</v>
      </c>
      <c r="L82" s="211" t="s">
        <v>187</v>
      </c>
      <c r="M82" s="211" t="s">
        <v>188</v>
      </c>
      <c r="N82" s="163"/>
      <c r="O82" s="163"/>
      <c r="P82" s="163"/>
      <c r="Q82" s="163"/>
      <c r="R82" s="163"/>
      <c r="S82" s="163"/>
      <c r="T82" s="163"/>
    </row>
    <row r="83" spans="3:23" outlineLevel="1">
      <c r="C83" s="111"/>
      <c r="G83" s="32"/>
      <c r="H83" s="32"/>
      <c r="K83" s="23"/>
      <c r="L83" s="23"/>
      <c r="M83" s="23"/>
      <c r="N83" s="23"/>
      <c r="O83" s="107"/>
      <c r="P83" s="107"/>
      <c r="Q83" s="107"/>
      <c r="R83" s="107"/>
      <c r="S83" s="107"/>
      <c r="T83" s="107"/>
    </row>
    <row r="84" spans="3:23" outlineLevel="1">
      <c r="C84" s="148" t="str">
        <f>C64</f>
        <v>Customer numbers (#)</v>
      </c>
      <c r="D84" s="30" t="s">
        <v>106</v>
      </c>
      <c r="E84" s="30" t="s">
        <v>18</v>
      </c>
      <c r="F84" s="30" t="s">
        <v>36</v>
      </c>
      <c r="G84" s="32"/>
      <c r="H84" s="32"/>
      <c r="J84" s="60">
        <v>0.71710255491777608</v>
      </c>
      <c r="K84" s="60">
        <v>0.68712715761212573</v>
      </c>
      <c r="L84" s="60">
        <v>0.57738136830492559</v>
      </c>
      <c r="M84" s="60">
        <v>0.31</v>
      </c>
      <c r="N84" s="194"/>
      <c r="O84" s="194"/>
      <c r="P84" s="194"/>
      <c r="Q84" s="194"/>
      <c r="R84" s="194"/>
      <c r="S84" s="194"/>
      <c r="T84" s="194"/>
    </row>
    <row r="85" spans="3:23" outlineLevel="1">
      <c r="C85" s="148" t="str">
        <f t="shared" ref="C85:C89" si="46">C65</f>
        <v>Circuit Length (km)</v>
      </c>
      <c r="D85" s="30" t="s">
        <v>106</v>
      </c>
      <c r="E85" s="30" t="s">
        <v>18</v>
      </c>
      <c r="F85" s="30" t="s">
        <v>36</v>
      </c>
      <c r="G85" s="32"/>
      <c r="H85" s="32"/>
      <c r="J85" s="60">
        <v>0.12650862933930324</v>
      </c>
      <c r="K85" s="60">
        <v>0.10762084130593763</v>
      </c>
      <c r="L85" s="60">
        <v>0.1127492284952822</v>
      </c>
      <c r="M85" s="60">
        <v>0.28999999999999998</v>
      </c>
      <c r="N85" s="194"/>
      <c r="O85" s="194"/>
      <c r="P85" s="194"/>
      <c r="Q85" s="194"/>
      <c r="R85" s="194"/>
      <c r="S85" s="194"/>
      <c r="T85" s="194"/>
    </row>
    <row r="86" spans="3:23" outlineLevel="1">
      <c r="C86" s="148" t="str">
        <f t="shared" si="46"/>
        <v>Ratcheted Maximum Demand (MW)</v>
      </c>
      <c r="D86" s="30" t="s">
        <v>106</v>
      </c>
      <c r="E86" s="30" t="s">
        <v>18</v>
      </c>
      <c r="F86" s="30" t="s">
        <v>36</v>
      </c>
      <c r="G86" s="32"/>
      <c r="H86" s="32"/>
      <c r="J86" s="60">
        <v>0.15638881574292068</v>
      </c>
      <c r="K86" s="60">
        <v>0.20525200108193667</v>
      </c>
      <c r="L86" s="60">
        <v>0.30986940319979217</v>
      </c>
      <c r="M86" s="60">
        <v>0.28000000000000003</v>
      </c>
      <c r="N86" s="194"/>
      <c r="O86" s="194"/>
      <c r="P86" s="194"/>
      <c r="Q86" s="194"/>
      <c r="R86" s="194"/>
      <c r="S86" s="194"/>
      <c r="T86" s="194"/>
    </row>
    <row r="87" spans="3:23" outlineLevel="1">
      <c r="C87" s="148" t="str">
        <f t="shared" si="46"/>
        <v>Energy throughput (GWh)</v>
      </c>
      <c r="D87" s="30" t="s">
        <v>106</v>
      </c>
      <c r="E87" s="30" t="s">
        <v>18</v>
      </c>
      <c r="F87" s="30" t="s">
        <v>36</v>
      </c>
      <c r="G87" s="32"/>
      <c r="H87" s="32"/>
      <c r="J87" s="61"/>
      <c r="K87" s="61"/>
      <c r="L87" s="61"/>
      <c r="M87" s="60">
        <v>0.12</v>
      </c>
      <c r="N87" s="194"/>
      <c r="O87" s="194"/>
      <c r="P87" s="194"/>
      <c r="Q87" s="194"/>
      <c r="R87" s="194"/>
      <c r="S87" s="194"/>
      <c r="T87" s="194"/>
    </row>
    <row r="88" spans="3:23" outlineLevel="1">
      <c r="C88" s="148">
        <f t="shared" si="46"/>
        <v>0</v>
      </c>
      <c r="D88" s="30" t="s">
        <v>106</v>
      </c>
      <c r="E88" s="30" t="s">
        <v>18</v>
      </c>
      <c r="F88" s="30" t="s">
        <v>36</v>
      </c>
      <c r="G88" s="32"/>
      <c r="H88" s="32"/>
      <c r="J88" s="61"/>
      <c r="K88" s="61"/>
      <c r="L88" s="61"/>
      <c r="M88" s="61"/>
      <c r="N88" s="194"/>
      <c r="O88" s="194"/>
      <c r="P88" s="194"/>
      <c r="Q88" s="194"/>
      <c r="R88" s="194"/>
      <c r="S88" s="194"/>
      <c r="T88" s="194"/>
    </row>
    <row r="89" spans="3:23" outlineLevel="1">
      <c r="C89" s="148">
        <f t="shared" si="46"/>
        <v>0</v>
      </c>
      <c r="D89" s="30" t="s">
        <v>106</v>
      </c>
      <c r="E89" s="30" t="s">
        <v>18</v>
      </c>
      <c r="F89" s="30" t="s">
        <v>36</v>
      </c>
      <c r="G89" s="32"/>
      <c r="H89" s="32"/>
      <c r="J89" s="61"/>
      <c r="K89" s="61"/>
      <c r="L89" s="61"/>
      <c r="M89" s="61"/>
      <c r="N89" s="194"/>
      <c r="O89" s="194"/>
      <c r="P89" s="194"/>
      <c r="Q89" s="194"/>
      <c r="R89" s="194"/>
      <c r="S89" s="194"/>
      <c r="T89" s="194"/>
    </row>
    <row r="90" spans="3:23" outlineLevel="1">
      <c r="G90" s="32"/>
      <c r="H90" s="32"/>
    </row>
    <row r="91" spans="3:23" outlineLevel="1">
      <c r="C91" s="29" t="s">
        <v>40</v>
      </c>
      <c r="D91" s="30" t="s">
        <v>103</v>
      </c>
      <c r="E91" s="30" t="s">
        <v>28</v>
      </c>
      <c r="F91" s="30" t="s">
        <v>36</v>
      </c>
      <c r="J91" s="132" t="str">
        <f t="array" ref="J91">IF(ISBLANK(J84:J89),"",IF(SUM(J84:J89)=1,"Ok","Check"))</f>
        <v>Ok</v>
      </c>
      <c r="K91" s="132" t="str">
        <f t="array" ref="K91">IF(ISBLANK(K84:K89),"",IF(SUM(K84:K89)=1,"Ok","Check"))</f>
        <v>Ok</v>
      </c>
      <c r="L91" s="132" t="str">
        <f t="array" ref="L91">IF(ISBLANK(L84:L89),"",IF(SUM(L84:L89)=1,"Ok","Check"))</f>
        <v>Ok</v>
      </c>
      <c r="M91" s="132" t="str">
        <f t="array" ref="M91">IF(ISBLANK(M84:M89),"",IF(SUM(M84:M89)=1,"Ok","Check"))</f>
        <v>Ok</v>
      </c>
      <c r="N91" s="132" t="str">
        <f t="array" ref="N91">IF(ISBLANK(N84:N89),"",IF(SUM(N84:N89)=1,"Ok","Check"))</f>
        <v/>
      </c>
      <c r="O91" s="132" t="str">
        <f t="array" ref="O91">IF(ISBLANK(O84:O89),"",IF(SUM(O84:O89)=1,"Ok","Check"))</f>
        <v/>
      </c>
      <c r="P91" s="132" t="str">
        <f t="array" ref="P91">IF(ISBLANK(P84:P89),"",IF(SUM(P84:P89)=1,"Ok","Check"))</f>
        <v/>
      </c>
      <c r="Q91" s="132" t="str">
        <f t="array" ref="Q91">IF(ISBLANK(Q84:Q89),"",IF(SUM(Q84:Q89)=1,"Ok","Check"))</f>
        <v/>
      </c>
      <c r="R91" s="132" t="str">
        <f t="array" ref="R91">IF(ISBLANK(R84:R89),"",IF(SUM(R84:R89)=1,"Ok","Check"))</f>
        <v/>
      </c>
      <c r="S91" s="132" t="str">
        <f t="array" ref="S91">IF(ISBLANK(S84:S89),"",IF(SUM(S84:S89)=1,"Ok","Check"))</f>
        <v/>
      </c>
      <c r="T91" s="132" t="str">
        <f t="array" ref="T91">IF(ISBLANK(T84:T89),"",IF(SUM(T84:T89)=1,"Ok","Check"))</f>
        <v/>
      </c>
      <c r="U91" s="24"/>
      <c r="W91" s="131" t="str">
        <f>IF(COUNTIF(K91:T91,"Check")=0,"Ok","Check")</f>
        <v>Ok</v>
      </c>
    </row>
    <row r="92" spans="3:23" outlineLevel="1">
      <c r="J92" s="132"/>
      <c r="K92" s="132"/>
      <c r="L92" s="132"/>
      <c r="M92" s="132"/>
      <c r="N92" s="132"/>
      <c r="O92" s="132"/>
      <c r="P92" s="132"/>
      <c r="Q92" s="132"/>
      <c r="R92" s="132"/>
      <c r="S92" s="132"/>
      <c r="T92" s="132"/>
      <c r="U92" s="24"/>
      <c r="W92" s="132"/>
    </row>
    <row r="93" spans="3:23" outlineLevel="1">
      <c r="C93" s="67" t="s">
        <v>189</v>
      </c>
      <c r="D93" s="32" t="s">
        <v>7</v>
      </c>
      <c r="E93" s="32" t="s">
        <v>8</v>
      </c>
      <c r="F93" s="32" t="s">
        <v>22</v>
      </c>
      <c r="J93" s="163" t="str">
        <f t="shared" ref="J93:P93" si="47">IF(YEAR(J$4)&gt;=FPFirstYear,IF(YEAR(J$4)&lt;=FPLastYear,J$4,""),"")</f>
        <v/>
      </c>
      <c r="K93" s="163" t="str">
        <f t="shared" si="47"/>
        <v/>
      </c>
      <c r="L93" s="163" t="str">
        <f t="shared" si="47"/>
        <v/>
      </c>
      <c r="M93" s="163" t="str">
        <f t="shared" si="47"/>
        <v/>
      </c>
      <c r="N93" s="163" t="str">
        <f t="shared" si="47"/>
        <v/>
      </c>
      <c r="O93" s="163" t="str">
        <f t="shared" si="47"/>
        <v/>
      </c>
      <c r="P93" s="163">
        <f t="shared" si="47"/>
        <v>44348</v>
      </c>
      <c r="Q93" s="163">
        <f>IF(YEAR(Q$4)&gt;FPFirstYear,IF(YEAR(Q$4)&lt;=FPLastYear,Q$4,""),"")</f>
        <v>44713</v>
      </c>
      <c r="R93" s="163">
        <f>IF(YEAR(R$4)&gt;FPFirstYear,IF(YEAR(R$4)&lt;=FPLastYear,R$4,""),"")</f>
        <v>45078</v>
      </c>
      <c r="S93" s="163">
        <f>IF(YEAR(S$4)&gt;FPFirstYear,IF(YEAR(S$4)&lt;=FPLastYear,S$4,""),"")</f>
        <v>45444</v>
      </c>
      <c r="T93" s="163">
        <f>IF(YEAR(T$4)&gt;FPFirstYear,IF(YEAR(T$4)&lt;=FPLastYear,T$4,""),"")</f>
        <v>45809</v>
      </c>
      <c r="U93" s="24"/>
      <c r="W93" s="132"/>
    </row>
    <row r="94" spans="3:23" outlineLevel="1">
      <c r="J94" s="132"/>
      <c r="K94" s="132"/>
      <c r="L94" s="132"/>
      <c r="M94" s="132"/>
      <c r="N94" s="132"/>
      <c r="O94" s="132"/>
      <c r="P94" s="132"/>
      <c r="Q94" s="132"/>
      <c r="R94" s="132"/>
      <c r="S94" s="132"/>
      <c r="T94" s="132"/>
      <c r="U94" s="24"/>
      <c r="W94" s="132"/>
    </row>
    <row r="95" spans="3:23" outlineLevel="1">
      <c r="C95" s="148" t="str">
        <f t="array" ref="C95:C98">TRANSPOSE(J82:M82)</f>
        <v>SFA CD</v>
      </c>
      <c r="D95" s="30" t="s">
        <v>103</v>
      </c>
      <c r="E95" s="30" t="s">
        <v>18</v>
      </c>
      <c r="F95" s="30" t="s">
        <v>36</v>
      </c>
      <c r="J95" s="117" t="str">
        <f t="shared" ref="J95:S95" si="48">IF(J$93=J$4,SUMPRODUCT(J$75:J$80,$J$84:$J$89),"")</f>
        <v/>
      </c>
      <c r="K95" s="117" t="str">
        <f t="shared" si="48"/>
        <v/>
      </c>
      <c r="L95" s="117" t="str">
        <f t="shared" si="48"/>
        <v/>
      </c>
      <c r="M95" s="117" t="str">
        <f t="shared" si="48"/>
        <v/>
      </c>
      <c r="N95" s="117" t="str">
        <f t="shared" si="48"/>
        <v/>
      </c>
      <c r="O95" s="117" t="str">
        <f t="shared" si="48"/>
        <v/>
      </c>
      <c r="P95" s="117">
        <f t="shared" si="48"/>
        <v>1.2486726301713241E-2</v>
      </c>
      <c r="Q95" s="117">
        <f t="shared" si="48"/>
        <v>1.1866584763892511E-2</v>
      </c>
      <c r="R95" s="117">
        <f t="shared" si="48"/>
        <v>1.165032919279899E-2</v>
      </c>
      <c r="S95" s="117">
        <f t="shared" si="48"/>
        <v>1.1301944941957838E-2</v>
      </c>
      <c r="T95" s="117">
        <f>IF(T$93=T$4,SUMPRODUCT(T$75:T$80,$J$84:$J$89),"")</f>
        <v>1.1927777746641006E-2</v>
      </c>
      <c r="U95" s="24"/>
      <c r="W95" s="132"/>
    </row>
    <row r="96" spans="3:23" outlineLevel="1">
      <c r="C96" s="148" t="str">
        <v>LSE CD</v>
      </c>
      <c r="D96" s="30" t="s">
        <v>103</v>
      </c>
      <c r="E96" s="30" t="s">
        <v>18</v>
      </c>
      <c r="F96" s="30" t="s">
        <v>36</v>
      </c>
      <c r="J96" s="117" t="str">
        <f t="shared" ref="J96:S96" si="49">IF(J$93=J$4,SUMPRODUCT(J$75:J$80,$K$84:$K$89),"")</f>
        <v/>
      </c>
      <c r="K96" s="117" t="str">
        <f t="shared" si="49"/>
        <v/>
      </c>
      <c r="L96" s="117" t="str">
        <f t="shared" si="49"/>
        <v/>
      </c>
      <c r="M96" s="117" t="str">
        <f t="shared" si="49"/>
        <v/>
      </c>
      <c r="N96" s="117" t="str">
        <f t="shared" si="49"/>
        <v/>
      </c>
      <c r="O96" s="117" t="str">
        <f t="shared" si="49"/>
        <v/>
      </c>
      <c r="P96" s="117">
        <f t="shared" si="49"/>
        <v>1.2457088923350648E-2</v>
      </c>
      <c r="Q96" s="117">
        <f t="shared" si="49"/>
        <v>1.1659483244112982E-2</v>
      </c>
      <c r="R96" s="117">
        <f t="shared" si="49"/>
        <v>1.1363863350438866E-2</v>
      </c>
      <c r="S96" s="117">
        <f t="shared" si="49"/>
        <v>1.0930949474470968E-2</v>
      </c>
      <c r="T96" s="117">
        <f>IF(T$93=T$4,SUMPRODUCT(T$75:T$80,$K$84:$K$89),"")</f>
        <v>1.1713388071922315E-2</v>
      </c>
      <c r="U96" s="24"/>
      <c r="W96" s="132"/>
    </row>
    <row r="97" spans="1:50" outlineLevel="1">
      <c r="C97" s="148" t="str">
        <v>LSE TLG</v>
      </c>
      <c r="D97" s="30" t="s">
        <v>103</v>
      </c>
      <c r="E97" s="30" t="s">
        <v>18</v>
      </c>
      <c r="F97" s="30" t="s">
        <v>36</v>
      </c>
      <c r="J97" s="117" t="str">
        <f t="shared" ref="J97:S97" si="50">IF(J$93=J$4,SUMPRODUCT(J$75:J$80,$L$84:$L$89),"")</f>
        <v/>
      </c>
      <c r="K97" s="117" t="str">
        <f t="shared" si="50"/>
        <v/>
      </c>
      <c r="L97" s="117" t="str">
        <f t="shared" si="50"/>
        <v/>
      </c>
      <c r="M97" s="117" t="str">
        <f t="shared" si="50"/>
        <v/>
      </c>
      <c r="N97" s="117" t="str">
        <f t="shared" si="50"/>
        <v/>
      </c>
      <c r="O97" s="117" t="str">
        <f t="shared" si="50"/>
        <v/>
      </c>
      <c r="P97" s="117">
        <f t="shared" si="50"/>
        <v>1.2130277689343775E-2</v>
      </c>
      <c r="Q97" s="117">
        <f t="shared" si="50"/>
        <v>1.1014669368766702E-2</v>
      </c>
      <c r="R97" s="117">
        <f t="shared" si="50"/>
        <v>1.0502329770486197E-2</v>
      </c>
      <c r="S97" s="117">
        <f t="shared" si="50"/>
        <v>9.8989649741234829E-3</v>
      </c>
      <c r="T97" s="117">
        <f>IF(T$93=T$4,SUMPRODUCT(T$75:T$80,$L$84:$L$89),"")</f>
        <v>1.1039512869652201E-2</v>
      </c>
      <c r="U97" s="24"/>
      <c r="W97" s="132"/>
    </row>
    <row r="98" spans="1:50" outlineLevel="1">
      <c r="C98" s="148" t="str">
        <v>MPFP</v>
      </c>
      <c r="D98" s="30" t="s">
        <v>103</v>
      </c>
      <c r="E98" s="30" t="s">
        <v>18</v>
      </c>
      <c r="F98" s="30" t="s">
        <v>36</v>
      </c>
      <c r="J98" s="117" t="str">
        <f t="shared" ref="J98:S98" si="51">IF(J$93=J$4,SUMPRODUCT(J$75:J$80,$M$84:$M$89),"")</f>
        <v/>
      </c>
      <c r="K98" s="117" t="str">
        <f t="shared" si="51"/>
        <v/>
      </c>
      <c r="L98" s="117" t="str">
        <f t="shared" si="51"/>
        <v/>
      </c>
      <c r="M98" s="117" t="str">
        <f t="shared" si="51"/>
        <v/>
      </c>
      <c r="N98" s="117" t="str">
        <f t="shared" si="51"/>
        <v/>
      </c>
      <c r="O98" s="117" t="str">
        <f t="shared" si="51"/>
        <v/>
      </c>
      <c r="P98" s="117">
        <f t="shared" si="51"/>
        <v>9.6576206133649478E-3</v>
      </c>
      <c r="Q98" s="117">
        <f t="shared" si="51"/>
        <v>9.2083951425058243E-3</v>
      </c>
      <c r="R98" s="117">
        <f t="shared" si="51"/>
        <v>7.960419160006716E-3</v>
      </c>
      <c r="S98" s="117">
        <f t="shared" si="51"/>
        <v>7.8187499336604561E-3</v>
      </c>
      <c r="T98" s="117">
        <f>IF(T$93=T$4,SUMPRODUCT(T$75:T$80,$M$84:$M$89),"")</f>
        <v>9.1706829048336744E-3</v>
      </c>
      <c r="U98" s="24"/>
      <c r="W98" s="132"/>
    </row>
    <row r="99" spans="1:50" outlineLevel="1">
      <c r="C99" s="111"/>
      <c r="G99" s="32"/>
      <c r="H99" s="32"/>
      <c r="K99" s="23"/>
      <c r="L99" s="23"/>
      <c r="M99" s="23"/>
      <c r="N99" s="23"/>
      <c r="O99" s="23"/>
    </row>
    <row r="100" spans="1:50" s="103" customFormat="1" ht="12.75">
      <c r="A100" s="94"/>
      <c r="B100" s="95" t="s">
        <v>82</v>
      </c>
      <c r="C100" s="94"/>
      <c r="D100" s="94"/>
      <c r="E100" s="94"/>
      <c r="F100" s="96"/>
      <c r="G100" s="96"/>
      <c r="H100" s="96"/>
      <c r="I100" s="96"/>
      <c r="J100" s="96"/>
      <c r="K100" s="97"/>
      <c r="L100" s="98"/>
      <c r="M100" s="97"/>
      <c r="N100" s="98"/>
      <c r="O100" s="97"/>
      <c r="P100" s="97"/>
      <c r="Q100" s="97"/>
      <c r="R100" s="97"/>
      <c r="S100" s="97"/>
      <c r="T100" s="97"/>
      <c r="U100" s="97"/>
      <c r="V100" s="97"/>
      <c r="W100" s="98"/>
      <c r="X100" s="99"/>
      <c r="Y100" s="99"/>
      <c r="Z100" s="99"/>
      <c r="AA100" s="99"/>
      <c r="AB100" s="99"/>
      <c r="AC100" s="99"/>
      <c r="AD100" s="99"/>
      <c r="AE100" s="100"/>
      <c r="AF100" s="101"/>
      <c r="AG100" s="101"/>
      <c r="AH100" s="102"/>
      <c r="AI100" s="102"/>
      <c r="AJ100" s="102"/>
      <c r="AK100" s="102"/>
      <c r="AL100" s="102"/>
      <c r="AM100" s="102"/>
      <c r="AN100" s="102"/>
      <c r="AO100" s="102"/>
      <c r="AP100" s="102"/>
      <c r="AQ100" s="102"/>
      <c r="AR100" s="102"/>
      <c r="AS100" s="102"/>
      <c r="AT100" s="102"/>
      <c r="AU100" s="102"/>
      <c r="AV100" s="102"/>
      <c r="AW100" s="102"/>
      <c r="AX100" s="102"/>
    </row>
    <row r="101" spans="1:50" outlineLevel="1">
      <c r="G101" s="32"/>
      <c r="H101" s="32"/>
    </row>
    <row r="102" spans="1:50" outlineLevel="1">
      <c r="C102" s="67" t="s">
        <v>48</v>
      </c>
      <c r="D102" s="32" t="s">
        <v>7</v>
      </c>
      <c r="E102" s="32" t="s">
        <v>8</v>
      </c>
      <c r="F102" s="32" t="s">
        <v>22</v>
      </c>
      <c r="G102" s="32"/>
      <c r="H102" s="32"/>
      <c r="J102" s="163" t="str">
        <f t="shared" ref="J102:T102" si="52">IF(YEAR(J$4)&gt;=FPFirstYear,IF(YEAR(J$4)&lt;=FPLastYear,J$4,""),"")</f>
        <v/>
      </c>
      <c r="K102" s="163" t="str">
        <f t="shared" si="52"/>
        <v/>
      </c>
      <c r="L102" s="163" t="str">
        <f t="shared" si="52"/>
        <v/>
      </c>
      <c r="M102" s="163" t="str">
        <f t="shared" si="52"/>
        <v/>
      </c>
      <c r="N102" s="163" t="str">
        <f t="shared" si="52"/>
        <v/>
      </c>
      <c r="O102" s="163" t="str">
        <f t="shared" si="52"/>
        <v/>
      </c>
      <c r="P102" s="163">
        <f t="shared" si="52"/>
        <v>44348</v>
      </c>
      <c r="Q102" s="163">
        <f t="shared" si="52"/>
        <v>44713</v>
      </c>
      <c r="R102" s="163">
        <f t="shared" si="52"/>
        <v>45078</v>
      </c>
      <c r="S102" s="163">
        <f t="shared" si="52"/>
        <v>45444</v>
      </c>
      <c r="T102" s="163">
        <f t="shared" si="52"/>
        <v>45809</v>
      </c>
    </row>
    <row r="103" spans="1:50" outlineLevel="1">
      <c r="C103" s="111"/>
      <c r="G103" s="32"/>
      <c r="H103" s="32"/>
      <c r="K103" s="23"/>
      <c r="L103" s="23"/>
      <c r="M103" s="23"/>
      <c r="N103" s="23"/>
      <c r="O103" s="23"/>
    </row>
    <row r="104" spans="1:50" outlineLevel="1">
      <c r="C104" s="111" t="s">
        <v>48</v>
      </c>
      <c r="D104" s="30" t="s">
        <v>106</v>
      </c>
      <c r="E104" s="30" t="str">
        <f>percent</f>
        <v>Per cent</v>
      </c>
      <c r="F104" s="30" t="s">
        <v>36</v>
      </c>
      <c r="G104" s="32"/>
      <c r="H104" s="32"/>
      <c r="J104" s="206"/>
      <c r="K104" s="195"/>
      <c r="L104" s="195"/>
      <c r="M104" s="195"/>
      <c r="N104" s="195"/>
      <c r="O104" s="170"/>
      <c r="P104" s="170">
        <v>5.0000000000000001E-3</v>
      </c>
      <c r="Q104" s="170">
        <f>P104</f>
        <v>5.0000000000000001E-3</v>
      </c>
      <c r="R104" s="170">
        <f t="shared" ref="R104:T104" si="53">Q104</f>
        <v>5.0000000000000001E-3</v>
      </c>
      <c r="S104" s="170">
        <f t="shared" si="53"/>
        <v>5.0000000000000001E-3</v>
      </c>
      <c r="T104" s="170">
        <f t="shared" si="53"/>
        <v>5.0000000000000001E-3</v>
      </c>
    </row>
    <row r="105" spans="1:50" outlineLevel="1">
      <c r="C105" s="111"/>
      <c r="G105" s="32"/>
      <c r="H105" s="32"/>
      <c r="J105" s="169"/>
      <c r="K105" s="23"/>
      <c r="L105" s="23"/>
      <c r="M105" s="23"/>
      <c r="N105" s="23"/>
      <c r="O105" s="23"/>
      <c r="P105" s="193"/>
      <c r="Q105" s="193"/>
      <c r="R105" s="193"/>
      <c r="S105" s="193"/>
      <c r="T105" s="193"/>
    </row>
    <row r="106" spans="1:50" outlineLevel="1">
      <c r="C106" s="29" t="s">
        <v>40</v>
      </c>
      <c r="D106" s="30" t="s">
        <v>103</v>
      </c>
      <c r="E106" s="30" t="s">
        <v>28</v>
      </c>
      <c r="F106" s="30" t="s">
        <v>36</v>
      </c>
      <c r="J106" s="132" t="str">
        <f t="shared" ref="J106:S106" si="54">IF(J102=J$4,IF(ISBLANK(J104),"Check","Ok"),"")</f>
        <v/>
      </c>
      <c r="K106" s="132" t="str">
        <f t="shared" si="54"/>
        <v/>
      </c>
      <c r="L106" s="132" t="str">
        <f t="shared" si="54"/>
        <v/>
      </c>
      <c r="M106" s="132" t="str">
        <f t="shared" si="54"/>
        <v/>
      </c>
      <c r="N106" s="132" t="str">
        <f t="shared" si="54"/>
        <v/>
      </c>
      <c r="O106" s="132" t="str">
        <f t="shared" si="54"/>
        <v/>
      </c>
      <c r="P106" s="132" t="str">
        <f t="shared" si="54"/>
        <v>Ok</v>
      </c>
      <c r="Q106" s="132" t="str">
        <f t="shared" si="54"/>
        <v>Ok</v>
      </c>
      <c r="R106" s="132" t="str">
        <f t="shared" si="54"/>
        <v>Ok</v>
      </c>
      <c r="S106" s="132" t="str">
        <f t="shared" si="54"/>
        <v>Ok</v>
      </c>
      <c r="T106" s="132" t="str">
        <f>IF(T102=T$4,IF(ISBLANK(T104),"Check","Ok"),"")</f>
        <v>Ok</v>
      </c>
      <c r="U106" s="24"/>
      <c r="W106" s="131" t="str">
        <f>IF(COUNTIF(J106:T106,"Check")=0,"Ok","Check")</f>
        <v>Ok</v>
      </c>
    </row>
    <row r="107" spans="1:50" outlineLevel="1">
      <c r="C107" s="111"/>
      <c r="G107" s="32"/>
      <c r="H107" s="32"/>
      <c r="K107" s="23"/>
      <c r="L107" s="23"/>
      <c r="M107" s="23"/>
      <c r="N107" s="23"/>
      <c r="O107" s="23"/>
    </row>
    <row r="108" spans="1:50" s="103" customFormat="1" ht="12.75">
      <c r="A108" s="94"/>
      <c r="B108" s="95" t="s">
        <v>21</v>
      </c>
      <c r="C108" s="94"/>
      <c r="D108" s="94"/>
      <c r="E108" s="94"/>
      <c r="F108" s="96"/>
      <c r="G108" s="96"/>
      <c r="H108" s="96"/>
      <c r="I108" s="96"/>
      <c r="J108" s="96"/>
      <c r="K108" s="97"/>
      <c r="L108" s="98"/>
      <c r="M108" s="97"/>
      <c r="N108" s="98"/>
      <c r="O108" s="97"/>
      <c r="P108" s="97"/>
      <c r="Q108" s="97"/>
      <c r="R108" s="97"/>
      <c r="S108" s="97"/>
      <c r="T108" s="97"/>
      <c r="U108" s="97"/>
      <c r="V108" s="97"/>
      <c r="W108" s="98"/>
      <c r="X108" s="99"/>
      <c r="Y108" s="99"/>
      <c r="Z108" s="99"/>
      <c r="AA108" s="99"/>
      <c r="AB108" s="99"/>
      <c r="AC108" s="99"/>
      <c r="AD108" s="99"/>
      <c r="AE108" s="100"/>
      <c r="AF108" s="101"/>
      <c r="AG108" s="101"/>
      <c r="AH108" s="102"/>
      <c r="AI108" s="102"/>
      <c r="AJ108" s="102"/>
      <c r="AK108" s="102"/>
      <c r="AL108" s="102"/>
      <c r="AM108" s="102"/>
      <c r="AN108" s="102"/>
      <c r="AO108" s="102"/>
      <c r="AP108" s="102"/>
      <c r="AQ108" s="102"/>
      <c r="AR108" s="102"/>
      <c r="AS108" s="102"/>
      <c r="AT108" s="102"/>
      <c r="AU108" s="102"/>
      <c r="AV108" s="102"/>
      <c r="AW108" s="102"/>
      <c r="AX108" s="102"/>
    </row>
    <row r="109" spans="1:50" hidden="1"/>
    <row r="110" spans="1:50" hidden="1"/>
    <row r="111" spans="1:50" hidden="1"/>
    <row r="112" spans="1:50" hidden="1"/>
    <row r="113" hidden="1"/>
    <row r="114" hidden="1"/>
    <row r="115" hidden="1"/>
    <row r="116" hidden="1"/>
    <row r="117" hidden="1"/>
    <row r="118" hidden="1"/>
    <row r="119" hidden="1"/>
    <row r="120" hidden="1"/>
    <row r="121" hidden="1"/>
    <row r="122" hidden="1"/>
    <row r="123" hidden="1"/>
    <row r="124" hidden="1"/>
    <row r="125" hidden="1"/>
    <row r="126" hidden="1"/>
    <row r="127" hidden="1"/>
    <row r="128" hidden="1"/>
    <row r="129" hidden="1"/>
    <row r="130" hidden="1"/>
    <row r="131" hidden="1"/>
    <row r="132" hidden="1"/>
    <row r="133" hidden="1"/>
    <row r="134" hidden="1"/>
    <row r="135" hidden="1"/>
    <row r="136" hidden="1"/>
    <row r="137" hidden="1"/>
    <row r="138" hidden="1"/>
    <row r="139" hidden="1"/>
    <row r="140" hidden="1"/>
    <row r="141" hidden="1"/>
    <row r="142" hidden="1"/>
    <row r="143" hidden="1"/>
    <row r="144" hidden="1"/>
    <row r="145" hidden="1"/>
    <row r="146" hidden="1"/>
    <row r="147" hidden="1"/>
    <row r="148" hidden="1"/>
    <row r="149" hidden="1"/>
    <row r="150" hidden="1"/>
    <row r="151" hidden="1"/>
    <row r="152" hidden="1"/>
    <row r="153" hidden="1"/>
    <row r="154" hidden="1"/>
    <row r="155" hidden="1"/>
    <row r="156" hidden="1"/>
    <row r="157" hidden="1"/>
    <row r="158" hidden="1"/>
    <row r="159" hidden="1"/>
    <row r="160" hidden="1"/>
    <row r="161" hidden="1"/>
    <row r="162" hidden="1"/>
    <row r="163" hidden="1"/>
    <row r="164" hidden="1"/>
    <row r="165" hidden="1"/>
    <row r="166" hidden="1"/>
    <row r="167" hidden="1"/>
    <row r="168" hidden="1"/>
    <row r="169" hidden="1"/>
    <row r="170" hidden="1"/>
    <row r="171" hidden="1"/>
    <row r="172" hidden="1"/>
    <row r="173" hidden="1"/>
    <row r="174" hidden="1"/>
    <row r="175" hidden="1"/>
    <row r="176" hidden="1"/>
    <row r="177" hidden="1"/>
    <row r="178" hidden="1"/>
    <row r="179" hidden="1"/>
    <row r="180" hidden="1"/>
    <row r="181" hidden="1"/>
    <row r="182" hidden="1"/>
    <row r="183" hidden="1"/>
    <row r="184" hidden="1"/>
  </sheetData>
  <mergeCells count="2">
    <mergeCell ref="K3:M3"/>
    <mergeCell ref="O3:T3"/>
  </mergeCells>
  <conditionalFormatting sqref="W1">
    <cfRule type="cellIs" dxfId="152" priority="111" operator="equal">
      <formula>"Check"</formula>
    </cfRule>
    <cfRule type="cellIs" dxfId="151" priority="112" operator="equal">
      <formula>"Ok"</formula>
    </cfRule>
  </conditionalFormatting>
  <conditionalFormatting sqref="T1">
    <cfRule type="cellIs" dxfId="150" priority="75" operator="equal">
      <formula>"Check"</formula>
    </cfRule>
    <cfRule type="cellIs" dxfId="149" priority="76" operator="equal">
      <formula>"Ok"</formula>
    </cfRule>
  </conditionalFormatting>
  <conditionalFormatting sqref="W58">
    <cfRule type="cellIs" dxfId="148" priority="63" operator="equal">
      <formula>"Check"</formula>
    </cfRule>
    <cfRule type="cellIs" dxfId="147" priority="64" operator="equal">
      <formula>"Ok"</formula>
    </cfRule>
  </conditionalFormatting>
  <conditionalFormatting sqref="J58:T58">
    <cfRule type="cellIs" dxfId="146" priority="55" operator="equal">
      <formula>"Check"</formula>
    </cfRule>
    <cfRule type="cellIs" dxfId="145" priority="56" operator="equal">
      <formula>"Ok"</formula>
    </cfRule>
  </conditionalFormatting>
  <conditionalFormatting sqref="J34:T34">
    <cfRule type="expression" dxfId="144" priority="46">
      <formula>J$34=J$4</formula>
    </cfRule>
  </conditionalFormatting>
  <conditionalFormatting sqref="J36:T43">
    <cfRule type="expression" dxfId="143" priority="44">
      <formula>J$34=J$4</formula>
    </cfRule>
  </conditionalFormatting>
  <conditionalFormatting sqref="J49:T56">
    <cfRule type="expression" dxfId="142" priority="43">
      <formula>J$47=J$4</formula>
    </cfRule>
  </conditionalFormatting>
  <conditionalFormatting sqref="W106">
    <cfRule type="cellIs" dxfId="141" priority="37" operator="equal">
      <formula>"Check"</formula>
    </cfRule>
    <cfRule type="cellIs" dxfId="140" priority="38" operator="equal">
      <formula>"Ok"</formula>
    </cfRule>
  </conditionalFormatting>
  <conditionalFormatting sqref="J106:T106">
    <cfRule type="cellIs" dxfId="139" priority="35" operator="equal">
      <formula>"Check"</formula>
    </cfRule>
    <cfRule type="cellIs" dxfId="138" priority="36" operator="equal">
      <formula>"Ok"</formula>
    </cfRule>
  </conditionalFormatting>
  <conditionalFormatting sqref="W45">
    <cfRule type="cellIs" dxfId="137" priority="33" operator="equal">
      <formula>"Check"</formula>
    </cfRule>
    <cfRule type="cellIs" dxfId="136" priority="34" operator="equal">
      <formula>"Ok"</formula>
    </cfRule>
  </conditionalFormatting>
  <conditionalFormatting sqref="J45:T45">
    <cfRule type="cellIs" dxfId="135" priority="31" operator="equal">
      <formula>"Check"</formula>
    </cfRule>
    <cfRule type="cellIs" dxfId="134" priority="32" operator="equal">
      <formula>"Ok"</formula>
    </cfRule>
  </conditionalFormatting>
  <conditionalFormatting sqref="W71">
    <cfRule type="cellIs" dxfId="133" priority="29" operator="equal">
      <formula>"Check"</formula>
    </cfRule>
    <cfRule type="cellIs" dxfId="132" priority="30" operator="equal">
      <formula>"Ok"</formula>
    </cfRule>
  </conditionalFormatting>
  <conditionalFormatting sqref="M71:T71">
    <cfRule type="cellIs" dxfId="131" priority="27" operator="equal">
      <formula>"Check"</formula>
    </cfRule>
    <cfRule type="cellIs" dxfId="130" priority="28" operator="equal">
      <formula>"Ok"</formula>
    </cfRule>
  </conditionalFormatting>
  <conditionalFormatting sqref="J62:T62">
    <cfRule type="expression" dxfId="129" priority="21">
      <formula>J$62=J$4</formula>
    </cfRule>
  </conditionalFormatting>
  <conditionalFormatting sqref="J64:T64 J66:T66 M65:T65 J68:T68 M67:T67 M69:T69">
    <cfRule type="expression" dxfId="128" priority="19">
      <formula>J$62=J$4</formula>
    </cfRule>
  </conditionalFormatting>
  <conditionalFormatting sqref="J47:T47">
    <cfRule type="expression" dxfId="127" priority="16">
      <formula>J$34=J$4</formula>
    </cfRule>
  </conditionalFormatting>
  <conditionalFormatting sqref="J73:T73">
    <cfRule type="expression" dxfId="126" priority="15">
      <formula>J$34=J$4</formula>
    </cfRule>
  </conditionalFormatting>
  <conditionalFormatting sqref="J102:T102">
    <cfRule type="expression" dxfId="125" priority="14">
      <formula>J$34=J$4</formula>
    </cfRule>
  </conditionalFormatting>
  <conditionalFormatting sqref="J25:T30">
    <cfRule type="cellIs" dxfId="124" priority="12" operator="equal">
      <formula>0</formula>
    </cfRule>
  </conditionalFormatting>
  <conditionalFormatting sqref="J16:T21">
    <cfRule type="cellIs" dxfId="123" priority="11" operator="equal">
      <formula>0</formula>
    </cfRule>
  </conditionalFormatting>
  <conditionalFormatting sqref="W91:W98">
    <cfRule type="cellIs" dxfId="122" priority="7" operator="equal">
      <formula>"Check"</formula>
    </cfRule>
    <cfRule type="cellIs" dxfId="121" priority="8" operator="equal">
      <formula>"Ok"</formula>
    </cfRule>
  </conditionalFormatting>
  <conditionalFormatting sqref="K88:M89">
    <cfRule type="expression" dxfId="120" priority="6">
      <formula>K$82=K$4</formula>
    </cfRule>
  </conditionalFormatting>
  <conditionalFormatting sqref="J91:T92 J94:T94">
    <cfRule type="cellIs" dxfId="119" priority="4" operator="equal">
      <formula>"Check"</formula>
    </cfRule>
    <cfRule type="cellIs" dxfId="118" priority="5" operator="equal">
      <formula>"Ok"</formula>
    </cfRule>
  </conditionalFormatting>
  <conditionalFormatting sqref="J93:T93">
    <cfRule type="expression" dxfId="117" priority="3">
      <formula>J$93=J$4</formula>
    </cfRule>
  </conditionalFormatting>
  <conditionalFormatting sqref="J104:T104">
    <cfRule type="expression" dxfId="116" priority="116">
      <formula>J$102=J$4</formula>
    </cfRule>
  </conditionalFormatting>
  <conditionalFormatting sqref="K84:M87">
    <cfRule type="expression" dxfId="115" priority="2">
      <formula>K$82=K$4</formula>
    </cfRule>
  </conditionalFormatting>
  <dataValidations disablePrompts="1" count="2">
    <dataValidation type="list" allowBlank="1" showInputMessage="1" showErrorMessage="1" sqref="F107 F72 F99" xr:uid="{00000000-0002-0000-0400-000000000000}">
      <formula1>#REF!</formula1>
    </dataValidation>
    <dataValidation type="list" allowBlank="1" showInputMessage="1" showErrorMessage="1" sqref="F83 F81" xr:uid="{00000000-0002-0000-0400-000001000000}">
      <formula1>#REF!</formula1>
    </dataValidation>
  </dataValidations>
  <hyperlinks>
    <hyperlink ref="K1" location="Index!A1" display="Back to Index" xr:uid="{00000000-0004-0000-0400-000000000000}"/>
    <hyperlink ref="V1" location="'Check|List'!A1" display="Overall Check:" xr:uid="{00000000-0004-0000-0400-000001000000}"/>
  </hyperlinks>
  <pageMargins left="0.7" right="0.7" top="0.75" bottom="0.75" header="0.3" footer="0.3"/>
  <pageSetup paperSize="9" orientation="portrait" verticalDpi="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>
    <tabColor rgb="FFFFFF99"/>
  </sheetPr>
  <dimension ref="A1:AU52"/>
  <sheetViews>
    <sheetView showGridLines="0" workbookViewId="0">
      <selection activeCell="O38" sqref="O38"/>
    </sheetView>
  </sheetViews>
  <sheetFormatPr defaultColWidth="0" defaultRowHeight="11.25" zeroHeight="1" outlineLevelRow="1"/>
  <cols>
    <col min="1" max="2" width="1.5" style="29" customWidth="1"/>
    <col min="3" max="3" width="48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16" width="10.83203125" style="29" customWidth="1"/>
    <col min="17" max="17" width="11.5" style="29" bestFit="1" customWidth="1"/>
    <col min="18" max="23" width="10.83203125" style="29" customWidth="1"/>
    <col min="24" max="47" width="10.5" style="29" hidden="1" customWidth="1"/>
    <col min="48" max="16384" width="0" style="29" hidden="1"/>
  </cols>
  <sheetData>
    <row r="1" spans="1:47" s="69" customFormat="1" ht="15.75">
      <c r="B1" s="70" t="str">
        <f>Index!$B$1</f>
        <v>AER opex model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R1" s="72" t="s">
        <v>86</v>
      </c>
      <c r="S1" s="76" t="str">
        <f>IF(COUNTA($W$8:$W$235)=COUNTIF($W$8:$W$235,"OK"),"OK","Check")</f>
        <v>OK</v>
      </c>
      <c r="U1" s="188" t="s">
        <v>24</v>
      </c>
      <c r="V1" s="76" t="str">
        <f>'Check|List'!$S$1</f>
        <v>Ok</v>
      </c>
    </row>
    <row r="2" spans="1:47" s="77" customFormat="1" ht="13.5" thickBot="1">
      <c r="B2" s="78" t="str">
        <f>Index!$C$11</f>
        <v>Input | Step changes</v>
      </c>
      <c r="C2" s="78"/>
      <c r="D2" s="78"/>
      <c r="E2" s="78"/>
      <c r="F2" s="79"/>
      <c r="G2" s="79"/>
      <c r="H2" s="79"/>
      <c r="I2" s="79"/>
    </row>
    <row r="3" spans="1:47" s="80" customFormat="1">
      <c r="C3" s="81"/>
      <c r="D3" s="183"/>
      <c r="E3" s="183"/>
      <c r="F3" s="183"/>
      <c r="G3" s="183"/>
      <c r="H3" s="183"/>
      <c r="I3" s="183"/>
      <c r="J3" s="158" t="s">
        <v>126</v>
      </c>
      <c r="K3" s="173"/>
      <c r="L3" s="173"/>
      <c r="M3" s="183"/>
      <c r="N3" s="233"/>
      <c r="O3" s="233"/>
      <c r="P3" s="233"/>
      <c r="Q3" s="233"/>
      <c r="R3" s="233"/>
      <c r="S3" s="233"/>
      <c r="T3" s="82"/>
      <c r="U3" s="82"/>
      <c r="V3" s="82"/>
      <c r="W3" s="82"/>
      <c r="X3" s="82"/>
      <c r="Y3" s="82"/>
      <c r="Z3" s="82"/>
    </row>
    <row r="4" spans="1:47" s="103" customFormat="1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156">
        <f>DATE(PPFirstYear,MONTH('Input|General'!$G$9),1)</f>
        <v>42522</v>
      </c>
      <c r="K4" s="156">
        <f>DATE(PPFirstYear+1,MONTH('Input|General'!$G$9),1)</f>
        <v>42887</v>
      </c>
      <c r="L4" s="156">
        <f>DATE(PPFirstYear+2,MONTH('Input|General'!$G$9),1)</f>
        <v>43252</v>
      </c>
      <c r="M4" s="156">
        <f>DATE(PPFirstYear+3,MONTH('Input|General'!$G$9),1)</f>
        <v>43617</v>
      </c>
      <c r="N4" s="156">
        <f>DATE(PPFirstYear+4,MONTH('Input|General'!$G$9),1)</f>
        <v>43983</v>
      </c>
      <c r="O4" s="156">
        <f>DATE(PPFirstYear+5,MONTH('Input|General'!$G$9),1)</f>
        <v>44348</v>
      </c>
      <c r="P4" s="156">
        <f>DATE(PPFirstYear+6,MONTH('Input|General'!$G$9),1)</f>
        <v>44713</v>
      </c>
      <c r="Q4" s="156">
        <f>DATE(PPFirstYear+7,MONTH('Input|General'!$G$9),1)</f>
        <v>45078</v>
      </c>
      <c r="R4" s="156">
        <f>DATE(PPFirstYear+8,MONTH('Input|General'!$G$9),1)</f>
        <v>45444</v>
      </c>
      <c r="S4" s="156">
        <f>DATE(PPFirstYear+9,MONTH('Input|General'!$G$9),1)</f>
        <v>45809</v>
      </c>
      <c r="T4" s="87"/>
      <c r="U4" s="87"/>
      <c r="V4" s="88"/>
      <c r="W4" s="88"/>
    </row>
    <row r="5" spans="1:47" s="27" customFormat="1" ht="3" customHeight="1">
      <c r="D5" s="28"/>
      <c r="E5" s="28"/>
      <c r="F5" s="28"/>
      <c r="G5" s="28"/>
      <c r="H5" s="28"/>
      <c r="I5" s="28"/>
    </row>
    <row r="6" spans="1:47" s="27" customFormat="1" ht="9" customHeight="1">
      <c r="D6" s="28"/>
      <c r="E6" s="28"/>
      <c r="F6" s="28"/>
      <c r="G6" s="28"/>
      <c r="H6" s="28"/>
      <c r="I6" s="28"/>
    </row>
    <row r="7" spans="1:47" s="27" customFormat="1" ht="3" customHeight="1">
      <c r="D7" s="28"/>
      <c r="E7" s="28"/>
      <c r="F7" s="28"/>
      <c r="G7" s="28"/>
      <c r="H7" s="28"/>
      <c r="I7" s="28"/>
    </row>
    <row r="8" spans="1:47" s="103" customFormat="1" ht="12.75">
      <c r="A8" s="94"/>
      <c r="B8" s="95" t="s">
        <v>50</v>
      </c>
      <c r="C8" s="94"/>
      <c r="D8" s="94"/>
      <c r="E8" s="94"/>
      <c r="F8" s="96"/>
      <c r="G8" s="96"/>
      <c r="H8" s="96"/>
      <c r="I8" s="96"/>
      <c r="J8" s="97"/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8"/>
      <c r="W8" s="98"/>
      <c r="X8" s="99"/>
      <c r="Y8" s="99"/>
      <c r="Z8" s="99"/>
      <c r="AA8" s="99"/>
      <c r="AB8" s="100"/>
      <c r="AC8" s="101"/>
      <c r="AD8" s="101"/>
      <c r="AE8" s="102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</row>
    <row r="9" spans="1:47" outlineLevel="1">
      <c r="G9" s="32"/>
      <c r="H9" s="32"/>
    </row>
    <row r="10" spans="1:47" outlineLevel="1">
      <c r="C10" s="67" t="s">
        <v>83</v>
      </c>
      <c r="D10" s="32" t="s">
        <v>7</v>
      </c>
      <c r="E10" s="32" t="s">
        <v>8</v>
      </c>
      <c r="F10" s="32" t="s">
        <v>22</v>
      </c>
      <c r="G10" s="32"/>
      <c r="H10" s="32"/>
      <c r="I10" s="163"/>
      <c r="J10" s="163" t="str">
        <f t="shared" ref="J10:S10" si="0">IF(YEAR(J$4)&gt;=FPFirstYear,IF(YEAR(J$4)&lt;=FPLastYear,J$4,""),"")</f>
        <v/>
      </c>
      <c r="K10" s="163" t="str">
        <f t="shared" si="0"/>
        <v/>
      </c>
      <c r="L10" s="163" t="str">
        <f t="shared" si="0"/>
        <v/>
      </c>
      <c r="M10" s="163" t="str">
        <f t="shared" si="0"/>
        <v/>
      </c>
      <c r="N10" s="163" t="str">
        <f t="shared" si="0"/>
        <v/>
      </c>
      <c r="O10" s="163">
        <f t="shared" si="0"/>
        <v>44348</v>
      </c>
      <c r="P10" s="163">
        <f t="shared" si="0"/>
        <v>44713</v>
      </c>
      <c r="Q10" s="163">
        <f t="shared" si="0"/>
        <v>45078</v>
      </c>
      <c r="R10" s="163">
        <f t="shared" si="0"/>
        <v>45444</v>
      </c>
      <c r="S10" s="163">
        <f t="shared" si="0"/>
        <v>45809</v>
      </c>
    </row>
    <row r="11" spans="1:47" outlineLevel="1">
      <c r="G11" s="32"/>
      <c r="H11" s="32"/>
    </row>
    <row r="12" spans="1:47" outlineLevel="1">
      <c r="C12" s="61" t="s">
        <v>210</v>
      </c>
      <c r="D12" s="30" t="s">
        <v>73</v>
      </c>
      <c r="E12" s="150" t="s">
        <v>15</v>
      </c>
      <c r="F12" s="172">
        <v>43983</v>
      </c>
      <c r="G12" s="32"/>
      <c r="H12" s="32"/>
      <c r="J12" s="152"/>
      <c r="K12" s="152"/>
      <c r="L12" s="152"/>
      <c r="M12" s="152"/>
      <c r="N12" s="152"/>
      <c r="O12" s="228">
        <v>0</v>
      </c>
      <c r="P12" s="228">
        <v>0</v>
      </c>
      <c r="Q12" s="228">
        <v>-0.17227945998150371</v>
      </c>
      <c r="R12" s="228">
        <v>-0.89566601496420195</v>
      </c>
      <c r="S12" s="228">
        <v>-0.88371799291941355</v>
      </c>
    </row>
    <row r="13" spans="1:47" outlineLevel="1">
      <c r="C13" s="61" t="s">
        <v>211</v>
      </c>
      <c r="D13" s="30" t="s">
        <v>73</v>
      </c>
      <c r="E13" s="150" t="s">
        <v>15</v>
      </c>
      <c r="F13" s="172">
        <v>43983</v>
      </c>
      <c r="G13" s="32"/>
      <c r="H13" s="32"/>
      <c r="J13" s="152"/>
      <c r="K13" s="152"/>
      <c r="L13" s="152"/>
      <c r="M13" s="152"/>
      <c r="N13" s="152"/>
      <c r="O13" s="171">
        <v>0</v>
      </c>
      <c r="P13" s="171">
        <v>-4.7199676405662722E-2</v>
      </c>
      <c r="Q13" s="171">
        <v>-1.0207177530025957</v>
      </c>
      <c r="R13" s="171">
        <v>-2.5754067379235299</v>
      </c>
      <c r="S13" s="171">
        <v>-3.5843243384838899</v>
      </c>
    </row>
    <row r="14" spans="1:47" outlineLevel="1">
      <c r="C14" s="61"/>
      <c r="D14" s="30" t="s">
        <v>73</v>
      </c>
      <c r="E14" s="150" t="s">
        <v>15</v>
      </c>
      <c r="F14" s="172">
        <v>42522</v>
      </c>
      <c r="G14" s="32"/>
      <c r="H14" s="32"/>
      <c r="J14" s="152"/>
      <c r="K14" s="152"/>
      <c r="L14" s="152"/>
      <c r="M14" s="152"/>
      <c r="N14" s="152"/>
      <c r="O14" s="171"/>
      <c r="P14" s="171"/>
      <c r="Q14" s="171"/>
      <c r="R14" s="171"/>
      <c r="S14" s="171"/>
    </row>
    <row r="15" spans="1:47" outlineLevel="1">
      <c r="C15" s="61"/>
      <c r="D15" s="30" t="s">
        <v>73</v>
      </c>
      <c r="E15" s="150" t="s">
        <v>15</v>
      </c>
      <c r="F15" s="172">
        <v>42522</v>
      </c>
      <c r="G15" s="32"/>
      <c r="H15" s="32"/>
      <c r="J15" s="152"/>
      <c r="K15" s="152"/>
      <c r="L15" s="152"/>
      <c r="M15" s="152"/>
      <c r="N15" s="152"/>
      <c r="O15" s="171"/>
      <c r="P15" s="171"/>
      <c r="Q15" s="171"/>
      <c r="R15" s="171"/>
      <c r="S15" s="171"/>
    </row>
    <row r="16" spans="1:47" outlineLevel="1">
      <c r="C16" s="61"/>
      <c r="D16" s="30" t="s">
        <v>73</v>
      </c>
      <c r="E16" s="150" t="s">
        <v>15</v>
      </c>
      <c r="F16" s="172">
        <v>42522</v>
      </c>
      <c r="G16" s="32"/>
      <c r="H16" s="32"/>
      <c r="J16" s="152"/>
      <c r="K16" s="152"/>
      <c r="L16" s="152"/>
      <c r="M16" s="152"/>
      <c r="N16" s="152"/>
      <c r="O16" s="171"/>
      <c r="P16" s="171"/>
      <c r="Q16" s="171"/>
      <c r="R16" s="171"/>
      <c r="S16" s="171"/>
    </row>
    <row r="17" spans="1:47" outlineLevel="1">
      <c r="C17" s="61"/>
      <c r="D17" s="30" t="s">
        <v>73</v>
      </c>
      <c r="E17" s="150" t="s">
        <v>15</v>
      </c>
      <c r="F17" s="172">
        <v>42522</v>
      </c>
      <c r="G17" s="32"/>
      <c r="H17" s="32"/>
      <c r="J17" s="152"/>
      <c r="K17" s="152"/>
      <c r="L17" s="152"/>
      <c r="M17" s="152"/>
      <c r="N17" s="152"/>
      <c r="O17" s="171"/>
      <c r="P17" s="171"/>
      <c r="Q17" s="171"/>
      <c r="R17" s="171"/>
      <c r="S17" s="171"/>
    </row>
    <row r="18" spans="1:47" outlineLevel="1">
      <c r="C18" s="61"/>
      <c r="D18" s="30" t="s">
        <v>73</v>
      </c>
      <c r="E18" s="150" t="s">
        <v>15</v>
      </c>
      <c r="F18" s="172">
        <v>42522</v>
      </c>
      <c r="G18" s="32"/>
      <c r="H18" s="32"/>
      <c r="J18" s="152"/>
      <c r="K18" s="152"/>
      <c r="L18" s="152"/>
      <c r="M18" s="152"/>
      <c r="N18" s="152"/>
      <c r="O18" s="171"/>
      <c r="P18" s="171"/>
      <c r="Q18" s="171"/>
      <c r="R18" s="171"/>
      <c r="S18" s="171"/>
    </row>
    <row r="19" spans="1:47" outlineLevel="1">
      <c r="C19" s="61"/>
      <c r="D19" s="30" t="s">
        <v>73</v>
      </c>
      <c r="E19" s="150" t="s">
        <v>15</v>
      </c>
      <c r="F19" s="172">
        <v>42522</v>
      </c>
      <c r="G19" s="32"/>
      <c r="H19" s="32"/>
      <c r="J19" s="152"/>
      <c r="K19" s="152"/>
      <c r="L19" s="152"/>
      <c r="M19" s="152"/>
      <c r="N19" s="152"/>
      <c r="O19" s="171"/>
      <c r="P19" s="171"/>
      <c r="Q19" s="171"/>
      <c r="R19" s="171"/>
      <c r="S19" s="171"/>
    </row>
    <row r="20" spans="1:47" outlineLevel="1">
      <c r="C20" s="61"/>
      <c r="D20" s="30" t="s">
        <v>73</v>
      </c>
      <c r="E20" s="150" t="s">
        <v>15</v>
      </c>
      <c r="F20" s="172">
        <v>42522</v>
      </c>
      <c r="G20" s="32"/>
      <c r="H20" s="32"/>
      <c r="J20" s="152"/>
      <c r="K20" s="152"/>
      <c r="L20" s="152"/>
      <c r="M20" s="152"/>
      <c r="N20" s="152"/>
      <c r="O20" s="171"/>
      <c r="P20" s="171"/>
      <c r="Q20" s="171"/>
      <c r="R20" s="171"/>
      <c r="S20" s="171"/>
    </row>
    <row r="21" spans="1:47" outlineLevel="1">
      <c r="G21" s="32"/>
      <c r="H21" s="32"/>
    </row>
    <row r="22" spans="1:47" outlineLevel="1">
      <c r="C22" s="29" t="s">
        <v>40</v>
      </c>
      <c r="D22" s="30" t="s">
        <v>103</v>
      </c>
      <c r="E22" s="30" t="s">
        <v>28</v>
      </c>
      <c r="F22" s="30" t="s">
        <v>36</v>
      </c>
      <c r="J22" s="132" t="str">
        <f t="shared" ref="J22:S22" si="1">IF(J10=J4,IF(COUNTA($C12:$C20)=COUNT(J12:J20),"Ok","Check"),"")</f>
        <v/>
      </c>
      <c r="K22" s="132" t="str">
        <f t="shared" si="1"/>
        <v/>
      </c>
      <c r="L22" s="132" t="str">
        <f t="shared" si="1"/>
        <v/>
      </c>
      <c r="M22" s="132" t="str">
        <f t="shared" si="1"/>
        <v/>
      </c>
      <c r="N22" s="132" t="str">
        <f t="shared" si="1"/>
        <v/>
      </c>
      <c r="O22" s="132" t="str">
        <f t="shared" si="1"/>
        <v>Ok</v>
      </c>
      <c r="P22" s="132" t="str">
        <f t="shared" si="1"/>
        <v>Ok</v>
      </c>
      <c r="Q22" s="132" t="str">
        <f t="shared" si="1"/>
        <v>Ok</v>
      </c>
      <c r="R22" s="132" t="str">
        <f t="shared" si="1"/>
        <v>Ok</v>
      </c>
      <c r="S22" s="132" t="str">
        <f t="shared" si="1"/>
        <v>Ok</v>
      </c>
      <c r="T22" s="132"/>
      <c r="U22" s="24"/>
      <c r="W22" s="131" t="str">
        <f>IF(COUNTIF(J22:T22,"Check")=0,"Ok","Check")</f>
        <v>Ok</v>
      </c>
    </row>
    <row r="23" spans="1:47">
      <c r="G23" s="32"/>
      <c r="H23" s="32"/>
    </row>
    <row r="24" spans="1:47" s="103" customFormat="1" ht="12.75">
      <c r="A24" s="94"/>
      <c r="B24" s="95" t="s">
        <v>121</v>
      </c>
      <c r="C24" s="94"/>
      <c r="D24" s="94"/>
      <c r="E24" s="94"/>
      <c r="F24" s="96"/>
      <c r="G24" s="96"/>
      <c r="H24" s="96"/>
      <c r="I24" s="96"/>
      <c r="J24" s="97"/>
      <c r="K24" s="98"/>
      <c r="L24" s="97"/>
      <c r="M24" s="98"/>
      <c r="N24" s="97"/>
      <c r="O24" s="97"/>
      <c r="P24" s="97"/>
      <c r="Q24" s="97"/>
      <c r="R24" s="97"/>
      <c r="S24" s="97"/>
      <c r="T24" s="97"/>
      <c r="U24" s="97"/>
      <c r="V24" s="98"/>
      <c r="W24" s="98"/>
      <c r="X24" s="99"/>
      <c r="Y24" s="99"/>
      <c r="Z24" s="99"/>
      <c r="AA24" s="99"/>
      <c r="AB24" s="100"/>
      <c r="AC24" s="101"/>
      <c r="AD24" s="101"/>
      <c r="AE24" s="102"/>
      <c r="AF24" s="102"/>
      <c r="AG24" s="102"/>
      <c r="AH24" s="102"/>
      <c r="AI24" s="102"/>
      <c r="AJ24" s="102"/>
      <c r="AK24" s="102"/>
      <c r="AL24" s="102"/>
      <c r="AM24" s="102"/>
      <c r="AN24" s="102"/>
      <c r="AO24" s="102"/>
      <c r="AP24" s="102"/>
      <c r="AQ24" s="102"/>
      <c r="AR24" s="102"/>
      <c r="AS24" s="102"/>
      <c r="AT24" s="102"/>
      <c r="AU24" s="102"/>
    </row>
    <row r="25" spans="1:47" outlineLevel="1">
      <c r="G25" s="32"/>
      <c r="H25" s="32"/>
    </row>
    <row r="26" spans="1:47" outlineLevel="1">
      <c r="C26" s="67" t="s">
        <v>115</v>
      </c>
      <c r="D26" s="32" t="s">
        <v>7</v>
      </c>
      <c r="E26" s="32" t="s">
        <v>8</v>
      </c>
      <c r="F26" s="32" t="s">
        <v>22</v>
      </c>
      <c r="G26" s="32"/>
      <c r="H26" s="32"/>
      <c r="J26" s="163" t="str">
        <f t="shared" ref="J26:S26" si="2">IF(YEAR(J$4)&gt;=FPFirstYear,IF(YEAR(J$4)&lt;=FPLastYear,J$4,""),"")</f>
        <v/>
      </c>
      <c r="K26" s="163" t="str">
        <f t="shared" si="2"/>
        <v/>
      </c>
      <c r="L26" s="163" t="str">
        <f t="shared" si="2"/>
        <v/>
      </c>
      <c r="M26" s="163" t="str">
        <f t="shared" si="2"/>
        <v/>
      </c>
      <c r="N26" s="163" t="str">
        <f t="shared" si="2"/>
        <v/>
      </c>
      <c r="O26" s="163">
        <f t="shared" si="2"/>
        <v>44348</v>
      </c>
      <c r="P26" s="163">
        <f t="shared" si="2"/>
        <v>44713</v>
      </c>
      <c r="Q26" s="163">
        <f t="shared" si="2"/>
        <v>45078</v>
      </c>
      <c r="R26" s="163">
        <f t="shared" si="2"/>
        <v>45444</v>
      </c>
      <c r="S26" s="163">
        <f t="shared" si="2"/>
        <v>45809</v>
      </c>
    </row>
    <row r="27" spans="1:47" outlineLevel="1">
      <c r="G27" s="32"/>
      <c r="H27" s="32"/>
    </row>
    <row r="28" spans="1:47" outlineLevel="1">
      <c r="C28" s="61"/>
      <c r="D28" s="30" t="s">
        <v>73</v>
      </c>
      <c r="E28" s="150" t="s">
        <v>15</v>
      </c>
      <c r="F28" s="172">
        <v>42522</v>
      </c>
      <c r="G28" s="32"/>
      <c r="H28" s="32"/>
      <c r="J28" s="152"/>
      <c r="K28" s="152"/>
      <c r="L28" s="152"/>
      <c r="M28" s="152"/>
      <c r="N28" s="171"/>
      <c r="O28" s="171"/>
      <c r="P28" s="171"/>
      <c r="Q28" s="171"/>
      <c r="R28" s="171"/>
      <c r="S28" s="171"/>
    </row>
    <row r="29" spans="1:47" outlineLevel="1">
      <c r="C29" s="61"/>
      <c r="D29" s="30" t="s">
        <v>73</v>
      </c>
      <c r="E29" s="150" t="s">
        <v>15</v>
      </c>
      <c r="F29" s="172">
        <v>42522</v>
      </c>
      <c r="G29" s="32"/>
      <c r="H29" s="32"/>
      <c r="J29" s="152"/>
      <c r="K29" s="152"/>
      <c r="L29" s="152"/>
      <c r="M29" s="152"/>
      <c r="N29" s="171"/>
      <c r="O29" s="171"/>
      <c r="P29" s="171"/>
      <c r="Q29" s="171"/>
      <c r="R29" s="171"/>
      <c r="S29" s="171"/>
    </row>
    <row r="30" spans="1:47" outlineLevel="1">
      <c r="C30" s="61"/>
      <c r="D30" s="30" t="s">
        <v>73</v>
      </c>
      <c r="E30" s="150" t="s">
        <v>15</v>
      </c>
      <c r="F30" s="172">
        <v>42522</v>
      </c>
      <c r="G30" s="32"/>
      <c r="H30" s="32"/>
      <c r="J30" s="152"/>
      <c r="K30" s="152"/>
      <c r="L30" s="152"/>
      <c r="M30" s="152"/>
      <c r="N30" s="171"/>
      <c r="O30" s="171"/>
      <c r="P30" s="171"/>
      <c r="Q30" s="171"/>
      <c r="R30" s="171"/>
      <c r="S30" s="171"/>
    </row>
    <row r="31" spans="1:47" outlineLevel="1">
      <c r="G31" s="32"/>
      <c r="H31" s="32"/>
    </row>
    <row r="32" spans="1:47" outlineLevel="1">
      <c r="C32" s="29" t="s">
        <v>40</v>
      </c>
      <c r="D32" s="30" t="s">
        <v>103</v>
      </c>
      <c r="E32" s="30" t="s">
        <v>28</v>
      </c>
      <c r="F32" s="30" t="s">
        <v>36</v>
      </c>
      <c r="J32" s="132" t="str">
        <f t="shared" ref="J32:R32" si="3">IF(J26=J4,IF(COUNTA($C28:$C30)=COUNT(J28:J30),"Ok","Check"),"")</f>
        <v/>
      </c>
      <c r="K32" s="132" t="str">
        <f t="shared" si="3"/>
        <v/>
      </c>
      <c r="L32" s="132" t="str">
        <f t="shared" si="3"/>
        <v/>
      </c>
      <c r="M32" s="132" t="str">
        <f t="shared" si="3"/>
        <v/>
      </c>
      <c r="N32" s="132" t="str">
        <f t="shared" si="3"/>
        <v/>
      </c>
      <c r="O32" s="132" t="str">
        <f t="shared" si="3"/>
        <v>Ok</v>
      </c>
      <c r="P32" s="132" t="str">
        <f t="shared" si="3"/>
        <v>Ok</v>
      </c>
      <c r="Q32" s="132" t="str">
        <f t="shared" si="3"/>
        <v>Ok</v>
      </c>
      <c r="R32" s="132" t="str">
        <f t="shared" si="3"/>
        <v>Ok</v>
      </c>
      <c r="S32" s="132" t="str">
        <f>IF(S26=S4,IF(COUNTA($C28:$C30)=COUNT(S28:S30),"Ok","Check"),"")</f>
        <v>Ok</v>
      </c>
      <c r="T32" s="132"/>
      <c r="U32" s="24"/>
      <c r="W32" s="131" t="str">
        <f>IF(COUNTIF(J32:T32,"Check")=0,"Ok","Check")</f>
        <v>Ok</v>
      </c>
    </row>
    <row r="33" spans="1:47">
      <c r="G33" s="32"/>
      <c r="H33" s="32"/>
    </row>
    <row r="34" spans="1:47" s="103" customFormat="1" ht="12.75">
      <c r="A34" s="94"/>
      <c r="B34" s="95" t="s">
        <v>44</v>
      </c>
      <c r="C34" s="94"/>
      <c r="D34" s="94"/>
      <c r="E34" s="94"/>
      <c r="F34" s="96"/>
      <c r="G34" s="96"/>
      <c r="H34" s="96"/>
      <c r="I34" s="96"/>
      <c r="J34" s="97"/>
      <c r="K34" s="98"/>
      <c r="L34" s="97"/>
      <c r="M34" s="98"/>
      <c r="N34" s="97"/>
      <c r="O34" s="97"/>
      <c r="P34" s="97"/>
      <c r="Q34" s="97"/>
      <c r="R34" s="97"/>
      <c r="S34" s="97"/>
      <c r="T34" s="97"/>
      <c r="U34" s="97"/>
      <c r="V34" s="98"/>
      <c r="W34" s="98"/>
      <c r="X34" s="99"/>
      <c r="Y34" s="99"/>
      <c r="Z34" s="99"/>
      <c r="AA34" s="99"/>
      <c r="AB34" s="100"/>
      <c r="AC34" s="101"/>
      <c r="AD34" s="101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</row>
    <row r="35" spans="1:47" outlineLevel="1">
      <c r="G35" s="32"/>
      <c r="H35" s="32"/>
    </row>
    <row r="36" spans="1:47" outlineLevel="1">
      <c r="C36" s="67" t="s">
        <v>32</v>
      </c>
      <c r="D36" s="32" t="s">
        <v>7</v>
      </c>
      <c r="E36" s="32" t="s">
        <v>8</v>
      </c>
      <c r="F36" s="32" t="s">
        <v>22</v>
      </c>
      <c r="G36" s="32"/>
      <c r="H36" s="32"/>
      <c r="J36" s="163" t="str">
        <f t="shared" ref="J36:S36" si="4">IF(YEAR(J$4)&gt;=FPFirstYear,IF(YEAR(J$4)&lt;=FPLastYear,J$4,""),"")</f>
        <v/>
      </c>
      <c r="K36" s="163" t="str">
        <f t="shared" si="4"/>
        <v/>
      </c>
      <c r="L36" s="163" t="str">
        <f t="shared" si="4"/>
        <v/>
      </c>
      <c r="M36" s="163" t="str">
        <f t="shared" si="4"/>
        <v/>
      </c>
      <c r="N36" s="163" t="str">
        <f t="shared" si="4"/>
        <v/>
      </c>
      <c r="O36" s="163">
        <f t="shared" si="4"/>
        <v>44348</v>
      </c>
      <c r="P36" s="163">
        <f t="shared" si="4"/>
        <v>44713</v>
      </c>
      <c r="Q36" s="163">
        <f t="shared" si="4"/>
        <v>45078</v>
      </c>
      <c r="R36" s="163">
        <f t="shared" si="4"/>
        <v>45444</v>
      </c>
      <c r="S36" s="163">
        <f t="shared" si="4"/>
        <v>45809</v>
      </c>
    </row>
    <row r="37" spans="1:47" outlineLevel="1">
      <c r="G37" s="32"/>
      <c r="H37" s="32"/>
    </row>
    <row r="38" spans="1:47" outlineLevel="1">
      <c r="C38" s="111" t="s">
        <v>39</v>
      </c>
      <c r="D38" s="30" t="s">
        <v>76</v>
      </c>
      <c r="E38" s="30" t="s">
        <v>15</v>
      </c>
      <c r="F38" s="210">
        <f>DATE(PPLastYear,MONTH('Input|General'!$G$9),1)</f>
        <v>43983</v>
      </c>
      <c r="G38" s="32"/>
      <c r="H38" s="32"/>
      <c r="J38" s="171"/>
      <c r="K38" s="171"/>
      <c r="L38" s="171"/>
      <c r="M38" s="171"/>
      <c r="N38" s="171"/>
      <c r="O38" s="171">
        <v>4.1858421523337768</v>
      </c>
      <c r="P38" s="171">
        <v>4.1788390948706668</v>
      </c>
      <c r="Q38" s="171">
        <v>4.1730573249949581</v>
      </c>
      <c r="R38" s="171">
        <v>4.1628177905523049</v>
      </c>
      <c r="S38" s="171">
        <v>4.1429069572356605</v>
      </c>
    </row>
    <row r="39" spans="1:47" outlineLevel="1">
      <c r="G39" s="32"/>
      <c r="H39" s="32"/>
    </row>
    <row r="40" spans="1:47" outlineLevel="1">
      <c r="C40" s="29" t="s">
        <v>40</v>
      </c>
      <c r="D40" s="30" t="s">
        <v>103</v>
      </c>
      <c r="E40" s="30" t="s">
        <v>28</v>
      </c>
      <c r="F40" s="30" t="s">
        <v>36</v>
      </c>
      <c r="J40" s="132" t="str">
        <f t="shared" ref="J40:R40" si="5">IF(J36=J4,IF(ISBLANK(J38),"Check","Ok"),"")</f>
        <v/>
      </c>
      <c r="K40" s="132" t="str">
        <f t="shared" si="5"/>
        <v/>
      </c>
      <c r="L40" s="132" t="str">
        <f t="shared" si="5"/>
        <v/>
      </c>
      <c r="M40" s="132" t="str">
        <f t="shared" si="5"/>
        <v/>
      </c>
      <c r="N40" s="132" t="str">
        <f t="shared" si="5"/>
        <v/>
      </c>
      <c r="O40" s="132" t="str">
        <f t="shared" si="5"/>
        <v>Ok</v>
      </c>
      <c r="P40" s="132" t="str">
        <f t="shared" si="5"/>
        <v>Ok</v>
      </c>
      <c r="Q40" s="132" t="str">
        <f t="shared" si="5"/>
        <v>Ok</v>
      </c>
      <c r="R40" s="132" t="str">
        <f t="shared" si="5"/>
        <v>Ok</v>
      </c>
      <c r="S40" s="132" t="str">
        <f>IF(S36=S4,IF(ISBLANK(S38),"Check","Ok"),"")</f>
        <v>Ok</v>
      </c>
      <c r="T40" s="132"/>
      <c r="U40" s="24"/>
      <c r="W40" s="131" t="str">
        <f>IF(COUNTIF(J40:T40,"Check")=0,"Ok","Check")</f>
        <v>Ok</v>
      </c>
    </row>
    <row r="41" spans="1:47">
      <c r="G41" s="32"/>
      <c r="H41" s="32"/>
    </row>
    <row r="42" spans="1:47" s="103" customFormat="1" ht="12.75">
      <c r="A42" s="94"/>
      <c r="B42" s="95" t="s">
        <v>21</v>
      </c>
      <c r="C42" s="94"/>
      <c r="D42" s="94"/>
      <c r="E42" s="94"/>
      <c r="F42" s="96"/>
      <c r="G42" s="96"/>
      <c r="H42" s="96"/>
      <c r="I42" s="96"/>
      <c r="J42" s="97"/>
      <c r="K42" s="98"/>
      <c r="L42" s="97"/>
      <c r="M42" s="98"/>
      <c r="N42" s="97"/>
      <c r="O42" s="97"/>
      <c r="P42" s="97"/>
      <c r="Q42" s="97"/>
      <c r="R42" s="97"/>
      <c r="S42" s="97"/>
      <c r="T42" s="97"/>
      <c r="U42" s="97"/>
      <c r="V42" s="98"/>
      <c r="W42" s="98"/>
      <c r="X42" s="99"/>
      <c r="Y42" s="99"/>
      <c r="Z42" s="99"/>
      <c r="AA42" s="99"/>
      <c r="AB42" s="100"/>
      <c r="AC42" s="101"/>
      <c r="AD42" s="101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</row>
    <row r="43" spans="1:47" hidden="1">
      <c r="G43" s="32"/>
      <c r="H43" s="32"/>
    </row>
    <row r="44" spans="1:47" hidden="1">
      <c r="G44" s="32"/>
      <c r="H44" s="32"/>
    </row>
    <row r="45" spans="1:47" hidden="1">
      <c r="G45" s="32"/>
      <c r="H45" s="32"/>
    </row>
    <row r="46" spans="1:47" hidden="1">
      <c r="G46" s="32"/>
      <c r="H46" s="32"/>
    </row>
    <row r="47" spans="1:47" hidden="1">
      <c r="G47" s="32"/>
      <c r="H47" s="32"/>
    </row>
    <row r="48" spans="1:47" hidden="1">
      <c r="G48" s="32"/>
      <c r="H48" s="32"/>
    </row>
    <row r="49" spans="7:8" hidden="1">
      <c r="G49" s="32"/>
      <c r="H49" s="32"/>
    </row>
    <row r="50" spans="7:8" hidden="1">
      <c r="G50" s="32"/>
      <c r="H50" s="32"/>
    </row>
    <row r="51" spans="7:8" hidden="1">
      <c r="G51" s="32"/>
      <c r="H51" s="32"/>
    </row>
    <row r="52" spans="7:8" hidden="1">
      <c r="G52" s="32"/>
      <c r="H52" s="32"/>
    </row>
  </sheetData>
  <mergeCells count="1">
    <mergeCell ref="N3:S3"/>
  </mergeCells>
  <conditionalFormatting sqref="S1">
    <cfRule type="cellIs" dxfId="114" priority="26" operator="equal">
      <formula>"Check"</formula>
    </cfRule>
    <cfRule type="cellIs" dxfId="113" priority="27" operator="equal">
      <formula>"Ok"</formula>
    </cfRule>
  </conditionalFormatting>
  <conditionalFormatting sqref="V1">
    <cfRule type="cellIs" dxfId="112" priority="28" operator="equal">
      <formula>"Check"</formula>
    </cfRule>
    <cfRule type="cellIs" dxfId="111" priority="29" operator="equal">
      <formula>"Ok"</formula>
    </cfRule>
  </conditionalFormatting>
  <conditionalFormatting sqref="J10:S10">
    <cfRule type="expression" dxfId="110" priority="24">
      <formula>J$10=J$4</formula>
    </cfRule>
  </conditionalFormatting>
  <conditionalFormatting sqref="J12:S20">
    <cfRule type="expression" dxfId="109" priority="23">
      <formula>J$10=J$4</formula>
    </cfRule>
  </conditionalFormatting>
  <conditionalFormatting sqref="W22">
    <cfRule type="cellIs" dxfId="108" priority="19" operator="equal">
      <formula>"Check"</formula>
    </cfRule>
    <cfRule type="cellIs" dxfId="107" priority="20" operator="equal">
      <formula>"Ok"</formula>
    </cfRule>
  </conditionalFormatting>
  <conditionalFormatting sqref="J22:T22">
    <cfRule type="cellIs" dxfId="106" priority="17" operator="equal">
      <formula>"Check"</formula>
    </cfRule>
    <cfRule type="cellIs" dxfId="105" priority="18" operator="equal">
      <formula>"Ok"</formula>
    </cfRule>
  </conditionalFormatting>
  <conditionalFormatting sqref="W32">
    <cfRule type="cellIs" dxfId="104" priority="15" operator="equal">
      <formula>"Check"</formula>
    </cfRule>
    <cfRule type="cellIs" dxfId="103" priority="16" operator="equal">
      <formula>"Ok"</formula>
    </cfRule>
  </conditionalFormatting>
  <conditionalFormatting sqref="J32:T32">
    <cfRule type="cellIs" dxfId="102" priority="13" operator="equal">
      <formula>"Check"</formula>
    </cfRule>
    <cfRule type="cellIs" dxfId="101" priority="14" operator="equal">
      <formula>"Ok"</formula>
    </cfRule>
  </conditionalFormatting>
  <conditionalFormatting sqref="J28:M30 O29:S30">
    <cfRule type="expression" dxfId="100" priority="12">
      <formula>J$26=J$4</formula>
    </cfRule>
  </conditionalFormatting>
  <conditionalFormatting sqref="W40">
    <cfRule type="cellIs" dxfId="99" priority="10" operator="equal">
      <formula>"Check"</formula>
    </cfRule>
    <cfRule type="cellIs" dxfId="98" priority="11" operator="equal">
      <formula>"Ok"</formula>
    </cfRule>
  </conditionalFormatting>
  <conditionalFormatting sqref="J40:T40">
    <cfRule type="cellIs" dxfId="97" priority="8" operator="equal">
      <formula>"Check"</formula>
    </cfRule>
    <cfRule type="cellIs" dxfId="96" priority="9" operator="equal">
      <formula>"Ok"</formula>
    </cfRule>
  </conditionalFormatting>
  <conditionalFormatting sqref="O28:S28">
    <cfRule type="expression" dxfId="95" priority="7">
      <formula>O$10=O$4</formula>
    </cfRule>
  </conditionalFormatting>
  <conditionalFormatting sqref="N28:N30">
    <cfRule type="expression" dxfId="94" priority="6">
      <formula>N$10=N$4</formula>
    </cfRule>
  </conditionalFormatting>
  <conditionalFormatting sqref="J38:S38">
    <cfRule type="expression" dxfId="93" priority="3">
      <formula>J$36=J$4</formula>
    </cfRule>
  </conditionalFormatting>
  <conditionalFormatting sqref="J26:S26">
    <cfRule type="expression" dxfId="92" priority="2">
      <formula>J$10=J$4</formula>
    </cfRule>
  </conditionalFormatting>
  <conditionalFormatting sqref="J36:S36">
    <cfRule type="expression" dxfId="91" priority="1">
      <formula>J$10=J$4</formula>
    </cfRule>
  </conditionalFormatting>
  <dataValidations count="2">
    <dataValidation type="list" allowBlank="1" showInputMessage="1" showErrorMessage="1" sqref="F23 F31 F33 F41" xr:uid="{00000000-0002-0000-0500-000000000000}">
      <formula1>"Real 2010,Real 2011,Real 2012,Real 2013,Real 2014,Real 2015,Nominal"</formula1>
    </dataValidation>
    <dataValidation type="list" allowBlank="1" showInputMessage="1" showErrorMessage="1" sqref="U28:U31 I38 U23 I23 U12:U21 I28:I31 U33 I33 U41 I41" xr:uid="{00000000-0002-0000-0500-000001000000}">
      <formula1>#REF!</formula1>
    </dataValidation>
  </dataValidations>
  <hyperlinks>
    <hyperlink ref="J1" location="Index!A1" display="Back to Index" xr:uid="{00000000-0004-0000-0500-000000000000}"/>
    <hyperlink ref="U1" location="'Check|List'!A1" display="Overall Check:" xr:uid="{00000000-0004-0000-0500-000001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500-000002000000}">
          <x14:formula1>
            <xm:f>'Lookup|Tables'!$G$10:$G$12</xm:f>
          </x14:formula1>
          <xm:sqref>E38 E28:E30 E12:E21</xm:sqref>
        </x14:dataValidation>
        <x14:dataValidation type="list" allowBlank="1" showInputMessage="1" showErrorMessage="1" xr:uid="{00000000-0002-0000-0500-000003000000}">
          <x14:formula1>
            <xm:f>'Lookup|Tables'!$C$66:$C$74</xm:f>
          </x14:formula1>
          <xm:sqref>F21</xm:sqref>
        </x14:dataValidation>
        <x14:dataValidation type="list" allowBlank="1" showInputMessage="1" showErrorMessage="1" xr:uid="{00000000-0002-0000-0500-000004000000}">
          <x14:formula1>
            <xm:f>'Lookup|Tables'!$H$41:$H$60</xm:f>
          </x14:formula1>
          <xm:sqref>F12:F20 F28:F30 F38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tabColor rgb="FFCCFFCC"/>
  </sheetPr>
  <dimension ref="A1:AU189"/>
  <sheetViews>
    <sheetView showGridLines="0" topLeftCell="B46" workbookViewId="0">
      <selection activeCell="F108" sqref="F108"/>
    </sheetView>
  </sheetViews>
  <sheetFormatPr defaultColWidth="0" defaultRowHeight="11.25" outlineLevelRow="1"/>
  <cols>
    <col min="1" max="2" width="1.5" style="29" customWidth="1"/>
    <col min="3" max="3" width="76.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5" style="30" customWidth="1"/>
    <col min="10" max="23" width="10.83203125" style="29" customWidth="1"/>
    <col min="24" max="38" width="10.5" style="29" hidden="1" customWidth="1"/>
    <col min="39" max="16384" width="10.5" style="29" hidden="1"/>
  </cols>
  <sheetData>
    <row r="1" spans="1:47" s="69" customFormat="1" ht="15.75">
      <c r="B1" s="70" t="str">
        <f>Index!$B$1</f>
        <v>AER opex model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R1" s="72" t="s">
        <v>86</v>
      </c>
      <c r="S1" s="76" t="s">
        <v>36</v>
      </c>
      <c r="U1" s="188" t="s">
        <v>24</v>
      </c>
      <c r="V1" s="76" t="str">
        <f>'Check|List'!$S$1</f>
        <v>Ok</v>
      </c>
    </row>
    <row r="2" spans="1:47" s="77" customFormat="1" ht="13.5" thickBot="1">
      <c r="B2" s="78" t="str">
        <f>Index!$C$12</f>
        <v>Calc | Opex Forecast</v>
      </c>
      <c r="C2" s="78"/>
      <c r="D2" s="78"/>
      <c r="E2" s="78"/>
      <c r="F2" s="79"/>
      <c r="G2" s="79"/>
      <c r="H2" s="79"/>
      <c r="I2" s="79"/>
    </row>
    <row r="3" spans="1:47" s="80" customFormat="1">
      <c r="C3" s="81"/>
      <c r="D3" s="183"/>
      <c r="E3" s="183"/>
      <c r="F3" s="183"/>
      <c r="G3" s="183"/>
      <c r="H3" s="183"/>
      <c r="I3" s="183"/>
      <c r="J3" s="173" t="s">
        <v>126</v>
      </c>
      <c r="K3" s="173"/>
      <c r="L3" s="173"/>
      <c r="M3" s="183"/>
      <c r="N3" s="233"/>
      <c r="O3" s="233"/>
      <c r="P3" s="233"/>
      <c r="Q3" s="233"/>
      <c r="R3" s="233"/>
      <c r="S3" s="233"/>
      <c r="T3" s="82"/>
      <c r="U3" s="82"/>
      <c r="V3" s="82"/>
      <c r="W3" s="82"/>
      <c r="X3" s="82"/>
      <c r="Y3" s="82"/>
      <c r="Z3" s="82"/>
    </row>
    <row r="4" spans="1:47" s="103" customFormat="1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156">
        <f>DATE(PPFirstYear,MONTH('Input|General'!$G$9),1)</f>
        <v>42522</v>
      </c>
      <c r="K4" s="156">
        <f>DATE(PPFirstYear+1,MONTH('Input|General'!$G$9),1)</f>
        <v>42887</v>
      </c>
      <c r="L4" s="156">
        <f>DATE(PPFirstYear+2,MONTH('Input|General'!$G$9),1)</f>
        <v>43252</v>
      </c>
      <c r="M4" s="156">
        <f>DATE(PPFirstYear+3,MONTH('Input|General'!$G$9),1)</f>
        <v>43617</v>
      </c>
      <c r="N4" s="156">
        <f>DATE(PPFirstYear+4,MONTH('Input|General'!$G$9),1)</f>
        <v>43983</v>
      </c>
      <c r="O4" s="156">
        <f>DATE(PPFirstYear+5,MONTH('Input|General'!$G$9),1)</f>
        <v>44348</v>
      </c>
      <c r="P4" s="156">
        <f>DATE(PPFirstYear+6,MONTH('Input|General'!$G$9),1)</f>
        <v>44713</v>
      </c>
      <c r="Q4" s="156">
        <f>DATE(PPFirstYear+7,MONTH('Input|General'!$G$9),1)</f>
        <v>45078</v>
      </c>
      <c r="R4" s="156">
        <f>DATE(PPFirstYear+8,MONTH('Input|General'!$G$9),1)</f>
        <v>45444</v>
      </c>
      <c r="S4" s="156">
        <f>DATE(PPFirstYear+9,MONTH('Input|General'!$G$9),1)</f>
        <v>45809</v>
      </c>
      <c r="T4" s="87"/>
      <c r="U4" s="87"/>
      <c r="V4" s="88"/>
      <c r="W4" s="88"/>
    </row>
    <row r="5" spans="1:47" s="27" customFormat="1" ht="3" customHeight="1">
      <c r="D5" s="28"/>
      <c r="E5" s="28"/>
      <c r="F5" s="28"/>
      <c r="G5" s="28"/>
      <c r="H5" s="28"/>
      <c r="I5" s="28"/>
    </row>
    <row r="6" spans="1:47" s="27" customFormat="1" ht="9" customHeight="1">
      <c r="D6" s="28"/>
      <c r="E6" s="28"/>
      <c r="F6" s="28"/>
      <c r="G6" s="28"/>
      <c r="H6" s="28"/>
      <c r="I6" s="28"/>
    </row>
    <row r="7" spans="1:47" s="27" customFormat="1" ht="3" customHeight="1">
      <c r="D7" s="28"/>
      <c r="E7" s="28"/>
      <c r="F7" s="28"/>
      <c r="G7" s="28"/>
      <c r="H7" s="28"/>
      <c r="I7" s="28"/>
    </row>
    <row r="8" spans="1:47" s="103" customFormat="1" ht="12.75">
      <c r="A8" s="94"/>
      <c r="B8" s="95" t="s">
        <v>90</v>
      </c>
      <c r="C8" s="94"/>
      <c r="D8" s="94"/>
      <c r="E8" s="68" t="s">
        <v>15</v>
      </c>
      <c r="F8" s="207">
        <f>DATE(PPLastYear,MONTH('Input|General'!$G$9),1)</f>
        <v>43983</v>
      </c>
      <c r="G8" s="96"/>
      <c r="H8" s="96"/>
      <c r="I8" s="96"/>
      <c r="J8" s="97"/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8"/>
      <c r="W8" s="98"/>
      <c r="X8" s="99"/>
      <c r="Y8" s="99"/>
      <c r="Z8" s="99"/>
      <c r="AA8" s="99"/>
      <c r="AB8" s="100"/>
      <c r="AC8" s="101"/>
      <c r="AD8" s="101"/>
      <c r="AE8" s="102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</row>
    <row r="9" spans="1:47" outlineLevel="1"/>
    <row r="10" spans="1:47" outlineLevel="1">
      <c r="C10" s="104"/>
      <c r="D10" s="32" t="s">
        <v>7</v>
      </c>
      <c r="E10" s="32" t="s">
        <v>8</v>
      </c>
      <c r="F10" s="32" t="s">
        <v>22</v>
      </c>
      <c r="G10" s="105"/>
      <c r="H10" s="105"/>
      <c r="I10" s="105"/>
      <c r="J10" s="163">
        <f t="shared" ref="J10:S10" si="0">IF(YEAR(J$4)&lt;=PPLastYear,J$4,"")</f>
        <v>42522</v>
      </c>
      <c r="K10" s="163">
        <f t="shared" si="0"/>
        <v>42887</v>
      </c>
      <c r="L10" s="163">
        <f t="shared" si="0"/>
        <v>43252</v>
      </c>
      <c r="M10" s="163">
        <f t="shared" si="0"/>
        <v>43617</v>
      </c>
      <c r="N10" s="163">
        <f t="shared" si="0"/>
        <v>43983</v>
      </c>
      <c r="O10" s="163" t="str">
        <f t="shared" si="0"/>
        <v/>
      </c>
      <c r="P10" s="163" t="str">
        <f t="shared" si="0"/>
        <v/>
      </c>
      <c r="Q10" s="163" t="str">
        <f t="shared" si="0"/>
        <v/>
      </c>
      <c r="R10" s="163" t="str">
        <f t="shared" si="0"/>
        <v/>
      </c>
      <c r="S10" s="163" t="str">
        <f t="shared" si="0"/>
        <v/>
      </c>
    </row>
    <row r="11" spans="1:47" outlineLevel="1">
      <c r="C11" s="106"/>
      <c r="J11" s="107"/>
      <c r="K11" s="107"/>
      <c r="L11" s="107"/>
      <c r="M11" s="107"/>
      <c r="N11" s="107"/>
      <c r="O11" s="107"/>
      <c r="P11" s="107"/>
      <c r="Q11" s="107"/>
      <c r="R11" s="107"/>
      <c r="S11" s="107"/>
    </row>
    <row r="12" spans="1:47" outlineLevel="1">
      <c r="C12" s="106" t="s">
        <v>168</v>
      </c>
      <c r="D12" s="108" t="s">
        <v>96</v>
      </c>
      <c r="E12" s="30" t="str">
        <f>'Input|Reported opex'!E56</f>
        <v>$millions</v>
      </c>
      <c r="F12" s="161" t="str">
        <f>'Input|Reported opex'!F56</f>
        <v>nominal</v>
      </c>
      <c r="J12" s="109">
        <f>IF(YEAR(J$4)=BaseYear,'Input|Reported opex'!J47,0)</f>
        <v>0</v>
      </c>
      <c r="K12" s="109">
        <f>IF(YEAR(K$4)=BaseYear,'Input|Reported opex'!K47,0)</f>
        <v>0</v>
      </c>
      <c r="L12" s="109">
        <f>IF(YEAR(L$4)=BaseYear,'Input|Reported opex'!L47,0)</f>
        <v>0</v>
      </c>
      <c r="M12" s="109">
        <f>IF(YEAR(M$4)=BaseYear,'Input|Reported opex'!M47,0)</f>
        <v>351.89239499999996</v>
      </c>
      <c r="N12" s="109">
        <f>IF(YEAR(N$4)=BaseYear,'Input|Reported opex'!N47,0)</f>
        <v>0</v>
      </c>
      <c r="O12" s="109">
        <f>IF(YEAR(O$4)=BaseYear,'Input|Reported opex'!O47,0)</f>
        <v>0</v>
      </c>
      <c r="P12" s="109">
        <f>IF(YEAR(P$4)=BaseYear,'Input|Reported opex'!P47,0)</f>
        <v>0</v>
      </c>
      <c r="Q12" s="109">
        <f>IF(YEAR(Q$4)=BaseYear,'Input|Reported opex'!Q47,0)</f>
        <v>0</v>
      </c>
      <c r="R12" s="109">
        <f>IF(YEAR(R$4)=BaseYear,'Input|Reported opex'!R47,0)</f>
        <v>0</v>
      </c>
      <c r="S12" s="109">
        <f>IF(YEAR(S$4)=BaseYear,'Input|Reported opex'!S47,0)</f>
        <v>0</v>
      </c>
    </row>
    <row r="13" spans="1:47" outlineLevel="1">
      <c r="C13" s="106" t="s">
        <v>168</v>
      </c>
      <c r="D13" s="110" t="s">
        <v>30</v>
      </c>
      <c r="E13" s="30" t="str">
        <f>$E$8</f>
        <v>$millions</v>
      </c>
      <c r="F13" s="161">
        <f>$F$8</f>
        <v>43983</v>
      </c>
      <c r="J13" s="109">
        <f>J12*IF($F12="nominal",LOOKUP($F13,Nominal_to_Real,'Input|Rate of change'!K$25:K$30),INDEX('Input|Rate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K13" s="109">
        <f>K12*IF($F12="nominal",LOOKUP($F13,Nominal_to_Real,'Input|Rate of change'!L$25:L$30),INDEX('Input|Rate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L13" s="109">
        <f>L12*IF($F12="nominal",LOOKUP($F13,Nominal_to_Real,'Input|Rate of change'!M$25:M$30),INDEX('Input|Rate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M13" s="109">
        <f>M12*IF($F12="nominal",LOOKUP($F13,Nominal_to_Real,'Input|Rate of change'!N$25:N$30),INDEX('Input|Rate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360.71363276418066</v>
      </c>
      <c r="N13" s="109">
        <f>N12*IF($F12="nominal",LOOKUP($F13,Nominal_to_Real,'Input|Rate of change'!O$25:O$30),INDEX('Input|Rate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O13" s="109">
        <f>O12*IF($F12="nominal",LOOKUP($F13,Nominal_to_Real,'Input|Rate of change'!P$25:P$30),INDEX('Input|Rate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P13" s="109">
        <f>P12*IF($F12="nominal",LOOKUP($F13,Nominal_to_Real,'Input|Rate of change'!Q$25:Q$30),INDEX('Input|Rate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Q13" s="109">
        <f>Q12*IF($F12="nominal",LOOKUP($F13,Nominal_to_Real,'Input|Rate of change'!R$25:R$30),INDEX('Input|Rate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R13" s="109">
        <f>R12*IF($F12="nominal",LOOKUP($F13,Nominal_to_Real,'Input|Rate of change'!S$25:S$30),INDEX('Input|Rate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S13" s="109">
        <f>S12*IF($F12="nominal",LOOKUP($F13,Nominal_to_Real,'Input|Rate of change'!T$25:T$30),INDEX('Input|Rate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</row>
    <row r="14" spans="1:47" outlineLevel="1">
      <c r="C14" s="111" t="s">
        <v>169</v>
      </c>
      <c r="D14" s="108" t="s">
        <v>96</v>
      </c>
      <c r="E14" s="30" t="str">
        <f>'Input|Reported opex'!E15</f>
        <v>$millions</v>
      </c>
      <c r="F14" s="161">
        <f>'Input|Reported opex'!F15</f>
        <v>42156</v>
      </c>
      <c r="J14" s="109">
        <f>IF(YEAR(J$4)=BaseYear,'Input|Reported opex'!J15,0)</f>
        <v>0</v>
      </c>
      <c r="K14" s="109">
        <f>IF(YEAR(K$4)=BaseYear,'Input|Reported opex'!K15,0)</f>
        <v>0</v>
      </c>
      <c r="L14" s="109">
        <f>IF(YEAR(L$4)=BaseYear,'Input|Reported opex'!L15,0)</f>
        <v>0</v>
      </c>
      <c r="M14" s="109">
        <f>IF(YEAR(M$4)=BaseYear,'Input|Reported opex'!M15,0)</f>
        <v>355.00227054753572</v>
      </c>
      <c r="N14" s="109">
        <f>IF(YEAR(N$4)=BaseYear,'Input|Reported opex'!N15,0)</f>
        <v>0</v>
      </c>
      <c r="O14" s="109">
        <f>IF(YEAR(O$4)=BaseYear,'Input|Reported opex'!O15,0)</f>
        <v>0</v>
      </c>
      <c r="P14" s="109">
        <f>IF(YEAR(P$4)=BaseYear,'Input|Reported opex'!P15,0)</f>
        <v>0</v>
      </c>
      <c r="Q14" s="109">
        <f>IF(YEAR(Q$4)=BaseYear,'Input|Reported opex'!Q15,0)</f>
        <v>0</v>
      </c>
      <c r="R14" s="109">
        <f>IF(YEAR(R$4)=BaseYear,'Input|Reported opex'!R15,0)</f>
        <v>0</v>
      </c>
      <c r="S14" s="109">
        <f>IF(YEAR(S$4)=BaseYear,'Input|Reported opex'!S15,0)</f>
        <v>0</v>
      </c>
    </row>
    <row r="15" spans="1:47" outlineLevel="1">
      <c r="C15" s="111" t="s">
        <v>169</v>
      </c>
      <c r="D15" s="110" t="s">
        <v>30</v>
      </c>
      <c r="E15" s="30" t="str">
        <f>$E$8</f>
        <v>$millions</v>
      </c>
      <c r="F15" s="161">
        <f>$F$8</f>
        <v>43983</v>
      </c>
      <c r="J15" s="109">
        <f>J14*IF($F14="nominal",LOOKUP($F15,Nominal_to_Real,'Input|Rate of change'!K$25:K$30),INDEX('Input|Rate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K15" s="109">
        <f>K14*IF($F14="nominal",LOOKUP($F15,Nominal_to_Real,'Input|Rate of change'!L$25:L$30),INDEX('Input|Rate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L15" s="109">
        <f>L14*IF($F14="nominal",LOOKUP($F15,Nominal_to_Real,'Input|Rate of change'!M$25:M$30),INDEX('Input|Rate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M15" s="109">
        <f>M14*IF($F14="nominal",LOOKUP($F15,Nominal_to_Real,'Input|Rate of change'!N$25:N$30),INDEX('Input|Rate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385.55426130286202</v>
      </c>
      <c r="N15" s="109">
        <f>N14*IF($F14="nominal",LOOKUP($F15,Nominal_to_Real,'Input|Rate of change'!O$25:O$30),INDEX('Input|Rate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O15" s="109">
        <f>O14*IF($F14="nominal",LOOKUP($F15,Nominal_to_Real,'Input|Rate of change'!P$25:P$30),INDEX('Input|Rate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P15" s="109">
        <f>P14*IF($F14="nominal",LOOKUP($F15,Nominal_to_Real,'Input|Rate of change'!Q$25:Q$30),INDEX('Input|Rate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Q15" s="109">
        <f>Q14*IF($F14="nominal",LOOKUP($F15,Nominal_to_Real,'Input|Rate of change'!R$25:R$30),INDEX('Input|Rate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R15" s="109">
        <f>R14*IF($F14="nominal",LOOKUP($F15,Nominal_to_Real,'Input|Rate of change'!S$25:S$30),INDEX('Input|Rate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S15" s="109">
        <f>S14*IF($F14="nominal",LOOKUP($F15,Nominal_to_Real,'Input|Rate of change'!T$25:T$30),INDEX('Input|Rate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</row>
    <row r="16" spans="1:47" outlineLevel="1">
      <c r="C16" s="111" t="s">
        <v>170</v>
      </c>
      <c r="D16" s="108" t="s">
        <v>96</v>
      </c>
      <c r="E16" s="30" t="str">
        <f>'Input|Reported opex'!E15</f>
        <v>$millions</v>
      </c>
      <c r="F16" s="161">
        <f>'Input|Reported opex'!F15</f>
        <v>42156</v>
      </c>
      <c r="J16" s="109">
        <f>IF(YEAR(J$4)=PPLastYear,'Input|Reported opex'!J15,0)</f>
        <v>0</v>
      </c>
      <c r="K16" s="109">
        <f>IF(YEAR(K$4)=PPLastYear,'Input|Reported opex'!K15,0)</f>
        <v>0</v>
      </c>
      <c r="L16" s="109">
        <f>IF(YEAR(L$4)=PPLastYear,'Input|Reported opex'!L15,0)</f>
        <v>0</v>
      </c>
      <c r="M16" s="109">
        <f>IF(YEAR(M$4)=PPLastYear,'Input|Reported opex'!M15,0)</f>
        <v>0</v>
      </c>
      <c r="N16" s="109">
        <f>IF(YEAR(N$4)=PPLastYear,'Input|Reported opex'!N15,0)</f>
        <v>357.17743063607014</v>
      </c>
      <c r="O16" s="109">
        <f>IF(YEAR(O$4)=PPLastYear,'Input|Reported opex'!O15,0)</f>
        <v>0</v>
      </c>
      <c r="P16" s="109">
        <f>IF(YEAR(P$4)=PPLastYear,'Input|Reported opex'!P15,0)</f>
        <v>0</v>
      </c>
      <c r="Q16" s="109">
        <f>IF(YEAR(Q$4)=PPLastYear,'Input|Reported opex'!Q15,0)</f>
        <v>0</v>
      </c>
      <c r="R16" s="109">
        <f>IF(YEAR(R$4)=PPLastYear,'Input|Reported opex'!R15,0)</f>
        <v>0</v>
      </c>
      <c r="S16" s="109">
        <f>IF(YEAR(S$4)=PPLastYear,'Input|Reported opex'!S15,0)</f>
        <v>0</v>
      </c>
    </row>
    <row r="17" spans="3:19" outlineLevel="1">
      <c r="C17" s="111" t="s">
        <v>170</v>
      </c>
      <c r="D17" s="110" t="s">
        <v>30</v>
      </c>
      <c r="E17" s="30" t="str">
        <f>$E$8</f>
        <v>$millions</v>
      </c>
      <c r="F17" s="161">
        <f>$F$8</f>
        <v>43983</v>
      </c>
      <c r="J17" s="109">
        <f>J16*IF($F16="nominal",LOOKUP($F17,Nominal_to_Real,'Input|Rate of change'!K$25:K$30),INDEX('Input|Rate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K17" s="109">
        <f>K16*IF($F16="nominal",LOOKUP($F17,Nominal_to_Real,'Input|Rate of change'!L$25:L$30),INDEX('Input|Rate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L17" s="109">
        <f>L16*IF($F16="nominal",LOOKUP($F17,Nominal_to_Real,'Input|Rate of change'!M$25:M$30),INDEX('Input|Rate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M17" s="109">
        <f>M16*IF($F16="nominal",LOOKUP($F17,Nominal_to_Real,'Input|Rate of change'!N$25:N$30),INDEX('Input|Rate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N17" s="109">
        <f>N16*IF($F16="nominal",LOOKUP($F17,Nominal_to_Real,'Input|Rate of change'!O$25:O$30),INDEX('Input|Rate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387.91661870372286</v>
      </c>
      <c r="O17" s="109">
        <f>O16*IF($F16="nominal",LOOKUP($F17,Nominal_to_Real,'Input|Rate of change'!P$25:P$30),INDEX('Input|Rate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P17" s="109">
        <f>P16*IF($F16="nominal",LOOKUP($F17,Nominal_to_Real,'Input|Rate of change'!Q$25:Q$30),INDEX('Input|Rate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Q17" s="109">
        <f>Q16*IF($F16="nominal",LOOKUP($F17,Nominal_to_Real,'Input|Rate of change'!R$25:R$30),INDEX('Input|Rate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R17" s="109">
        <f>R16*IF($F16="nominal",LOOKUP($F17,Nominal_to_Real,'Input|Rate of change'!S$25:S$30),INDEX('Input|Rate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S17" s="109">
        <f>S16*IF($F16="nominal",LOOKUP($F17,Nominal_to_Real,'Input|Rate of change'!T$25:T$30),INDEX('Input|Rate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</row>
    <row r="18" spans="3:19" outlineLevel="1">
      <c r="C18" s="111"/>
      <c r="D18" s="110"/>
      <c r="F18" s="161"/>
      <c r="J18" s="109"/>
      <c r="K18" s="109"/>
      <c r="L18" s="109"/>
      <c r="M18" s="109"/>
      <c r="N18" s="109"/>
      <c r="O18" s="109"/>
      <c r="P18" s="109"/>
      <c r="Q18" s="109"/>
      <c r="R18" s="109"/>
      <c r="S18" s="109"/>
    </row>
    <row r="19" spans="3:19" outlineLevel="1">
      <c r="C19" s="106" t="s">
        <v>171</v>
      </c>
      <c r="D19" s="108" t="s">
        <v>96</v>
      </c>
      <c r="E19" s="30" t="str">
        <f>'Input|Reported opex'!E63</f>
        <v>$millions</v>
      </c>
      <c r="F19" s="161" t="str">
        <f>'Input|Reported opex'!F56</f>
        <v>nominal</v>
      </c>
      <c r="J19" s="109">
        <f>IF(YEAR(J$4)=BaseYear,'Input|Reported opex'!J56,0)</f>
        <v>0</v>
      </c>
      <c r="K19" s="109">
        <f>IF(YEAR(K$4)=BaseYear,'Input|Reported opex'!K56,0)</f>
        <v>0</v>
      </c>
      <c r="L19" s="109">
        <f>IF(YEAR(L$4)=BaseYear,'Input|Reported opex'!L56,0)</f>
        <v>0</v>
      </c>
      <c r="M19" s="109">
        <f>IF(YEAR(M$4)=BaseYear,'Input|Reported opex'!M56,0)</f>
        <v>0</v>
      </c>
      <c r="N19" s="109">
        <f>IF(YEAR(N$4)=BaseYear,'Input|Reported opex'!N56,0)</f>
        <v>0</v>
      </c>
      <c r="O19" s="109">
        <f>IF(YEAR(O$4)=BaseYear,'Input|Reported opex'!O56,0)</f>
        <v>0</v>
      </c>
      <c r="P19" s="109">
        <f>IF(YEAR(P$4)=BaseYear,'Input|Reported opex'!P56,0)</f>
        <v>0</v>
      </c>
      <c r="Q19" s="109">
        <f>IF(YEAR(Q$4)=BaseYear,'Input|Reported opex'!Q56,0)</f>
        <v>0</v>
      </c>
      <c r="R19" s="109">
        <f>IF(YEAR(R$4)=BaseYear,'Input|Reported opex'!R56,0)</f>
        <v>0</v>
      </c>
      <c r="S19" s="109">
        <f>IF(YEAR(S$4)=BaseYear,'Input|Reported opex'!S56,0)</f>
        <v>0</v>
      </c>
    </row>
    <row r="20" spans="3:19" outlineLevel="1">
      <c r="C20" s="106" t="s">
        <v>171</v>
      </c>
      <c r="D20" s="110" t="s">
        <v>30</v>
      </c>
      <c r="E20" s="30" t="str">
        <f>$E$8</f>
        <v>$millions</v>
      </c>
      <c r="F20" s="161">
        <f>$F$8</f>
        <v>43983</v>
      </c>
      <c r="J20" s="109">
        <f>J19*IF($F19="nominal",LOOKUP($F20,Nominal_to_Real,'Input|Rate of change'!K$25:K$30),INDEX('Input|Rate of change'!$C$14:$O$21,MATCH('Calc|Opex forecast'!$F19,'Input|Rate of change'!$C$14:$C$21,0),MATCH('Calc|Opex forecast'!$F20,'Input|Rate of change'!$C$14:$O$14,0)))*IF($E19="$millions",1000000,IF($E19="$000",1000,1))/IF($E20="$millions",1000000,IF($E20="$000",1000,1))</f>
        <v>0</v>
      </c>
      <c r="K20" s="109">
        <f>K19*IF($F19="nominal",LOOKUP($F20,Nominal_to_Real,'Input|Rate of change'!L$25:L$30),INDEX('Input|Rate of change'!$C$14:$O$21,MATCH('Calc|Opex forecast'!$F19,'Input|Rate of change'!$C$14:$C$21,0),MATCH('Calc|Opex forecast'!$F20,'Input|Rate of change'!$C$14:$O$14,0)))*IF($E19="$millions",1000000,IF($E19="$000",1000,1))/IF($E20="$millions",1000000,IF($E20="$000",1000,1))</f>
        <v>0</v>
      </c>
      <c r="L20" s="109">
        <f>L19*IF($F19="nominal",LOOKUP($F20,Nominal_to_Real,'Input|Rate of change'!M$25:M$30),INDEX('Input|Rate of change'!$C$14:$O$21,MATCH('Calc|Opex forecast'!$F19,'Input|Rate of change'!$C$14:$C$21,0),MATCH('Calc|Opex forecast'!$F20,'Input|Rate of change'!$C$14:$O$14,0)))*IF($E19="$millions",1000000,IF($E19="$000",1000,1))/IF($E20="$millions",1000000,IF($E20="$000",1000,1))</f>
        <v>0</v>
      </c>
      <c r="M20" s="109">
        <f>M19*IF($F19="nominal",LOOKUP($F20,Nominal_to_Real,'Input|Rate of change'!N$25:N$30),INDEX('Input|Rate of change'!$C$14:$O$21,MATCH('Calc|Opex forecast'!$F19,'Input|Rate of change'!$C$14:$C$21,0),MATCH('Calc|Opex forecast'!$F20,'Input|Rate of change'!$C$14:$O$14,0)))*IF($E19="$millions",1000000,IF($E19="$000",1000,1))/IF($E20="$millions",1000000,IF($E20="$000",1000,1))</f>
        <v>0</v>
      </c>
      <c r="N20" s="109">
        <f>N19*IF($F19="nominal",LOOKUP($F20,Nominal_to_Real,'Input|Rate of change'!O$25:O$30),INDEX('Input|Rate of change'!$C$14:$O$21,MATCH('Calc|Opex forecast'!$F19,'Input|Rate of change'!$C$14:$C$21,0),MATCH('Calc|Opex forecast'!$F20,'Input|Rate of change'!$C$14:$O$14,0)))*IF($E19="$millions",1000000,IF($E19="$000",1000,1))/IF($E20="$millions",1000000,IF($E20="$000",1000,1))</f>
        <v>0</v>
      </c>
      <c r="O20" s="109">
        <f>O19*IF($F19="nominal",LOOKUP($F20,Nominal_to_Real,'Input|Rate of change'!P$25:P$30),INDEX('Input|Rate of change'!$C$14:$O$21,MATCH('Calc|Opex forecast'!$F19,'Input|Rate of change'!$C$14:$C$21,0),MATCH('Calc|Opex forecast'!$F20,'Input|Rate of change'!$C$14:$O$14,0)))*IF($E19="$millions",1000000,IF($E19="$000",1000,1))/IF($E20="$millions",1000000,IF($E20="$000",1000,1))</f>
        <v>0</v>
      </c>
      <c r="P20" s="109">
        <f>P19*IF($F19="nominal",LOOKUP($F20,Nominal_to_Real,'Input|Rate of change'!Q$25:Q$30),INDEX('Input|Rate of change'!$C$14:$O$21,MATCH('Calc|Opex forecast'!$F19,'Input|Rate of change'!$C$14:$C$21,0),MATCH('Calc|Opex forecast'!$F20,'Input|Rate of change'!$C$14:$O$14,0)))*IF($E19="$millions",1000000,IF($E19="$000",1000,1))/IF($E20="$millions",1000000,IF($E20="$000",1000,1))</f>
        <v>0</v>
      </c>
      <c r="Q20" s="109">
        <f>Q19*IF($F19="nominal",LOOKUP($F20,Nominal_to_Real,'Input|Rate of change'!R$25:R$30),INDEX('Input|Rate of change'!$C$14:$O$21,MATCH('Calc|Opex forecast'!$F19,'Input|Rate of change'!$C$14:$C$21,0),MATCH('Calc|Opex forecast'!$F20,'Input|Rate of change'!$C$14:$O$14,0)))*IF($E19="$millions",1000000,IF($E19="$000",1000,1))/IF($E20="$millions",1000000,IF($E20="$000",1000,1))</f>
        <v>0</v>
      </c>
      <c r="R20" s="109">
        <f>R19*IF($F19="nominal",LOOKUP($F20,Nominal_to_Real,'Input|Rate of change'!S$25:S$30),INDEX('Input|Rate of change'!$C$14:$O$21,MATCH('Calc|Opex forecast'!$F19,'Input|Rate of change'!$C$14:$C$21,0),MATCH('Calc|Opex forecast'!$F20,'Input|Rate of change'!$C$14:$O$14,0)))*IF($E19="$millions",1000000,IF($E19="$000",1000,1))/IF($E20="$millions",1000000,IF($E20="$000",1000,1))</f>
        <v>0</v>
      </c>
      <c r="S20" s="109">
        <f>S19*IF($F19="nominal",LOOKUP($F20,Nominal_to_Real,'Input|Rate of change'!T$25:T$30),INDEX('Input|Rate of change'!$C$14:$O$21,MATCH('Calc|Opex forecast'!$F19,'Input|Rate of change'!$C$14:$C$21,0),MATCH('Calc|Opex forecast'!$F20,'Input|Rate of change'!$C$14:$O$14,0)))*IF($E19="$millions",1000000,IF($E19="$000",1000,1))/IF($E20="$millions",1000000,IF($E20="$000",1000,1))</f>
        <v>0</v>
      </c>
    </row>
    <row r="21" spans="3:19" outlineLevel="1">
      <c r="C21" s="111" t="s">
        <v>172</v>
      </c>
      <c r="D21" s="108" t="s">
        <v>96</v>
      </c>
      <c r="E21" s="30" t="str">
        <f>'Input|Reported opex'!E22</f>
        <v>$millions</v>
      </c>
      <c r="F21" s="161">
        <f>'Input|Reported opex'!F29</f>
        <v>42156</v>
      </c>
      <c r="J21" s="109">
        <f>IF(YEAR(J$4)=BaseYear,'Input|Reported opex'!J29,0)</f>
        <v>0</v>
      </c>
      <c r="K21" s="109">
        <f>IF(YEAR(K$4)=BaseYear,'Input|Reported opex'!K29,0)</f>
        <v>0</v>
      </c>
      <c r="L21" s="109">
        <f>IF(YEAR(L$4)=BaseYear,'Input|Reported opex'!L29,0)</f>
        <v>0</v>
      </c>
      <c r="M21" s="109">
        <f>IF(YEAR(M$4)=BaseYear,'Input|Reported opex'!M29,0)</f>
        <v>7.0382705475357392</v>
      </c>
      <c r="N21" s="109">
        <f>IF(YEAR(N$4)=BaseYear,'Input|Reported opex'!N29,0)</f>
        <v>0</v>
      </c>
      <c r="O21" s="109">
        <f>IF(YEAR(O$4)=BaseYear,'Input|Reported opex'!O29,0)</f>
        <v>0</v>
      </c>
      <c r="P21" s="109">
        <f>IF(YEAR(P$4)=BaseYear,'Input|Reported opex'!P29,0)</f>
        <v>0</v>
      </c>
      <c r="Q21" s="109">
        <f>IF(YEAR(Q$4)=BaseYear,'Input|Reported opex'!Q29,0)</f>
        <v>0</v>
      </c>
      <c r="R21" s="109">
        <f>IF(YEAR(R$4)=BaseYear,'Input|Reported opex'!R29,0)</f>
        <v>0</v>
      </c>
      <c r="S21" s="109">
        <f>IF(YEAR(S$4)=BaseYear,'Input|Reported opex'!S29,0)</f>
        <v>0</v>
      </c>
    </row>
    <row r="22" spans="3:19" outlineLevel="1">
      <c r="C22" s="111" t="s">
        <v>172</v>
      </c>
      <c r="D22" s="110" t="s">
        <v>30</v>
      </c>
      <c r="E22" s="30" t="str">
        <f>$E$8</f>
        <v>$millions</v>
      </c>
      <c r="F22" s="161">
        <f>$F$8</f>
        <v>43983</v>
      </c>
      <c r="J22" s="109">
        <f>J21*IF($F21="nominal",LOOKUP($F22,Nominal_to_Real,'Input|Rate of change'!K$25:K$30),INDEX('Input|Rate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K22" s="109">
        <f>K21*IF($F21="nominal",LOOKUP($F22,Nominal_to_Real,'Input|Rate of change'!L$25:L$30),INDEX('Input|Rate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L22" s="109">
        <f>L21*IF($F21="nominal",LOOKUP($F22,Nominal_to_Real,'Input|Rate of change'!M$25:M$30),INDEX('Input|Rate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M22" s="109">
        <f>M21*IF($F21="nominal",LOOKUP($F22,Nominal_to_Real,'Input|Rate of change'!N$25:N$30),INDEX('Input|Rate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7.6439939316992893</v>
      </c>
      <c r="N22" s="109">
        <f>N21*IF($F21="nominal",LOOKUP($F22,Nominal_to_Real,'Input|Rate of change'!O$25:O$30),INDEX('Input|Rate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O22" s="109">
        <f>O21*IF($F21="nominal",LOOKUP($F22,Nominal_to_Real,'Input|Rate of change'!P$25:P$30),INDEX('Input|Rate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P22" s="109">
        <f>P21*IF($F21="nominal",LOOKUP($F22,Nominal_to_Real,'Input|Rate of change'!Q$25:Q$30),INDEX('Input|Rate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Q22" s="109">
        <f>Q21*IF($F21="nominal",LOOKUP($F22,Nominal_to_Real,'Input|Rate of change'!R$25:R$30),INDEX('Input|Rate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R22" s="109">
        <f>R21*IF($F21="nominal",LOOKUP($F22,Nominal_to_Real,'Input|Rate of change'!S$25:S$30),INDEX('Input|Rate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S22" s="109">
        <f>S21*IF($F21="nominal",LOOKUP($F22,Nominal_to_Real,'Input|Rate of change'!T$25:T$30),INDEX('Input|Rate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</row>
    <row r="23" spans="3:19" outlineLevel="1">
      <c r="C23" s="111" t="s">
        <v>173</v>
      </c>
      <c r="D23" s="108" t="s">
        <v>96</v>
      </c>
      <c r="E23" s="30" t="str">
        <f>'Input|Reported opex'!E22</f>
        <v>$millions</v>
      </c>
      <c r="F23" s="161">
        <f>'Input|Reported opex'!F29</f>
        <v>42156</v>
      </c>
      <c r="J23" s="109">
        <f>IF(YEAR(J$4)=PPLastYear,'Input|Reported opex'!J29,0)</f>
        <v>0</v>
      </c>
      <c r="K23" s="109">
        <f>IF(YEAR(K$4)=PPLastYear,'Input|Reported opex'!K29,0)</f>
        <v>0</v>
      </c>
      <c r="L23" s="109">
        <f>IF(YEAR(L$4)=PPLastYear,'Input|Reported opex'!L29,0)</f>
        <v>0</v>
      </c>
      <c r="M23" s="109">
        <f>IF(YEAR(M$4)=PPLastYear,'Input|Reported opex'!M29,0)</f>
        <v>0</v>
      </c>
      <c r="N23" s="109">
        <f>IF(YEAR(N$4)=PPLastYear,'Input|Reported opex'!N29,0)</f>
        <v>7.1554306360701716</v>
      </c>
      <c r="O23" s="109">
        <f>IF(YEAR(O$4)=PPLastYear,'Input|Reported opex'!O29,0)</f>
        <v>0</v>
      </c>
      <c r="P23" s="109">
        <f>IF(YEAR(P$4)=PPLastYear,'Input|Reported opex'!P29,0)</f>
        <v>0</v>
      </c>
      <c r="Q23" s="109">
        <f>IF(YEAR(Q$4)=PPLastYear,'Input|Reported opex'!Q29,0)</f>
        <v>0</v>
      </c>
      <c r="R23" s="109">
        <f>IF(YEAR(R$4)=PPLastYear,'Input|Reported opex'!R29,0)</f>
        <v>0</v>
      </c>
      <c r="S23" s="109">
        <f>IF(YEAR(S$4)=PPLastYear,'Input|Reported opex'!S29,0)</f>
        <v>0</v>
      </c>
    </row>
    <row r="24" spans="3:19" outlineLevel="1">
      <c r="C24" s="111" t="s">
        <v>173</v>
      </c>
      <c r="D24" s="110" t="s">
        <v>30</v>
      </c>
      <c r="E24" s="30" t="str">
        <f>$E$8</f>
        <v>$millions</v>
      </c>
      <c r="F24" s="161">
        <f>$F$8</f>
        <v>43983</v>
      </c>
      <c r="J24" s="109">
        <f>J23*IF($F23="nominal",LOOKUP($F24,Nominal_to_Real,'Input|Rate of change'!K$25:K$30),INDEX('Input|Rate of change'!$C$14:$O$21,MATCH('Calc|Opex forecast'!$F23,'Input|Rate of change'!$C$14:$C$21,0),MATCH('Calc|Opex forecast'!$F24,'Input|Rate of change'!$C$14:$O$14,0)))*IF($E23="$millions",1000000,IF($E23="$000",1000,1))/IF($E24="$millions",1000000,IF($E24="$000",1000,1))</f>
        <v>0</v>
      </c>
      <c r="K24" s="109">
        <f>K23*IF($F23="nominal",LOOKUP($F24,Nominal_to_Real,'Input|Rate of change'!L$25:L$30),INDEX('Input|Rate of change'!$C$14:$O$21,MATCH('Calc|Opex forecast'!$F23,'Input|Rate of change'!$C$14:$C$21,0),MATCH('Calc|Opex forecast'!$F24,'Input|Rate of change'!$C$14:$O$14,0)))*IF($E23="$millions",1000000,IF($E23="$000",1000,1))/IF($E24="$millions",1000000,IF($E24="$000",1000,1))</f>
        <v>0</v>
      </c>
      <c r="L24" s="109">
        <f>L23*IF($F23="nominal",LOOKUP($F24,Nominal_to_Real,'Input|Rate of change'!M$25:M$30),INDEX('Input|Rate of change'!$C$14:$O$21,MATCH('Calc|Opex forecast'!$F23,'Input|Rate of change'!$C$14:$C$21,0),MATCH('Calc|Opex forecast'!$F24,'Input|Rate of change'!$C$14:$O$14,0)))*IF($E23="$millions",1000000,IF($E23="$000",1000,1))/IF($E24="$millions",1000000,IF($E24="$000",1000,1))</f>
        <v>0</v>
      </c>
      <c r="M24" s="109">
        <f>M23*IF($F23="nominal",LOOKUP($F24,Nominal_to_Real,'Input|Rate of change'!N$25:N$30),INDEX('Input|Rate of change'!$C$14:$O$21,MATCH('Calc|Opex forecast'!$F23,'Input|Rate of change'!$C$14:$C$21,0),MATCH('Calc|Opex forecast'!$F24,'Input|Rate of change'!$C$14:$O$14,0)))*IF($E23="$millions",1000000,IF($E23="$000",1000,1))/IF($E24="$millions",1000000,IF($E24="$000",1000,1))</f>
        <v>0</v>
      </c>
      <c r="N24" s="109">
        <f>N23*IF($F23="nominal",LOOKUP($F24,Nominal_to_Real,'Input|Rate of change'!O$25:O$30),INDEX('Input|Rate of change'!$C$14:$O$21,MATCH('Calc|Opex forecast'!$F23,'Input|Rate of change'!$C$14:$C$21,0),MATCH('Calc|Opex forecast'!$F24,'Input|Rate of change'!$C$14:$O$14,0)))*IF($E23="$millions",1000000,IF($E23="$000",1000,1))/IF($E24="$millions",1000000,IF($E24="$000",1000,1))</f>
        <v>7.771236980932188</v>
      </c>
      <c r="O24" s="109">
        <f>O23*IF($F23="nominal",LOOKUP($F24,Nominal_to_Real,'Input|Rate of change'!P$25:P$30),INDEX('Input|Rate of change'!$C$14:$O$21,MATCH('Calc|Opex forecast'!$F23,'Input|Rate of change'!$C$14:$C$21,0),MATCH('Calc|Opex forecast'!$F24,'Input|Rate of change'!$C$14:$O$14,0)))*IF($E23="$millions",1000000,IF($E23="$000",1000,1))/IF($E24="$millions",1000000,IF($E24="$000",1000,1))</f>
        <v>0</v>
      </c>
      <c r="P24" s="109">
        <f>P23*IF($F23="nominal",LOOKUP($F24,Nominal_to_Real,'Input|Rate of change'!Q$25:Q$30),INDEX('Input|Rate of change'!$C$14:$O$21,MATCH('Calc|Opex forecast'!$F23,'Input|Rate of change'!$C$14:$C$21,0),MATCH('Calc|Opex forecast'!$F24,'Input|Rate of change'!$C$14:$O$14,0)))*IF($E23="$millions",1000000,IF($E23="$000",1000,1))/IF($E24="$millions",1000000,IF($E24="$000",1000,1))</f>
        <v>0</v>
      </c>
      <c r="Q24" s="109">
        <f>Q23*IF($F23="nominal",LOOKUP($F24,Nominal_to_Real,'Input|Rate of change'!R$25:R$30),INDEX('Input|Rate of change'!$C$14:$O$21,MATCH('Calc|Opex forecast'!$F23,'Input|Rate of change'!$C$14:$C$21,0),MATCH('Calc|Opex forecast'!$F24,'Input|Rate of change'!$C$14:$O$14,0)))*IF($E23="$millions",1000000,IF($E23="$000",1000,1))/IF($E24="$millions",1000000,IF($E24="$000",1000,1))</f>
        <v>0</v>
      </c>
      <c r="R24" s="109">
        <f>R23*IF($F23="nominal",LOOKUP($F24,Nominal_to_Real,'Input|Rate of change'!S$25:S$30),INDEX('Input|Rate of change'!$C$14:$O$21,MATCH('Calc|Opex forecast'!$F23,'Input|Rate of change'!$C$14:$C$21,0),MATCH('Calc|Opex forecast'!$F24,'Input|Rate of change'!$C$14:$O$14,0)))*IF($E23="$millions",1000000,IF($E23="$000",1000,1))/IF($E24="$millions",1000000,IF($E24="$000",1000,1))</f>
        <v>0</v>
      </c>
      <c r="S24" s="109">
        <f>S23*IF($F23="nominal",LOOKUP($F24,Nominal_to_Real,'Input|Rate of change'!T$25:T$30),INDEX('Input|Rate of change'!$C$14:$O$21,MATCH('Calc|Opex forecast'!$F23,'Input|Rate of change'!$C$14:$C$21,0),MATCH('Calc|Opex forecast'!$F24,'Input|Rate of change'!$C$14:$O$14,0)))*IF($E23="$millions",1000000,IF($E23="$000",1000,1))/IF($E24="$millions",1000000,IF($E24="$000",1000,1))</f>
        <v>0</v>
      </c>
    </row>
    <row r="25" spans="3:19" outlineLevel="1">
      <c r="C25" s="111"/>
      <c r="F25" s="112"/>
      <c r="J25" s="174"/>
      <c r="K25" s="174"/>
      <c r="L25" s="174"/>
      <c r="M25" s="174"/>
      <c r="N25" s="174"/>
      <c r="O25" s="174"/>
      <c r="P25" s="174"/>
      <c r="Q25" s="174"/>
      <c r="R25" s="174"/>
      <c r="S25" s="174"/>
    </row>
    <row r="26" spans="3:19" outlineLevel="1">
      <c r="C26" s="113" t="s">
        <v>144</v>
      </c>
      <c r="D26" s="114" t="s">
        <v>30</v>
      </c>
      <c r="E26" s="114" t="str">
        <f>$E$8</f>
        <v>$millions</v>
      </c>
      <c r="F26" s="161">
        <f>$F$8</f>
        <v>43983</v>
      </c>
      <c r="J26" s="115">
        <f>J13</f>
        <v>0</v>
      </c>
      <c r="K26" s="115">
        <f t="shared" ref="K26:S26" si="1">K13</f>
        <v>0</v>
      </c>
      <c r="L26" s="115">
        <f t="shared" si="1"/>
        <v>0</v>
      </c>
      <c r="M26" s="115">
        <f t="shared" si="1"/>
        <v>360.71363276418066</v>
      </c>
      <c r="N26" s="115">
        <f t="shared" si="1"/>
        <v>0</v>
      </c>
      <c r="O26" s="115">
        <f t="shared" si="1"/>
        <v>0</v>
      </c>
      <c r="P26" s="115">
        <f t="shared" si="1"/>
        <v>0</v>
      </c>
      <c r="Q26" s="115">
        <f t="shared" si="1"/>
        <v>0</v>
      </c>
      <c r="R26" s="115">
        <f t="shared" si="1"/>
        <v>0</v>
      </c>
      <c r="S26" s="115">
        <f t="shared" si="1"/>
        <v>0</v>
      </c>
    </row>
    <row r="27" spans="3:19" outlineLevel="1">
      <c r="C27" s="123"/>
      <c r="D27" s="110"/>
      <c r="E27" s="110"/>
      <c r="F27" s="161"/>
      <c r="J27" s="115"/>
      <c r="K27" s="115"/>
      <c r="L27" s="115"/>
      <c r="M27" s="115"/>
      <c r="N27" s="115"/>
      <c r="O27" s="115"/>
      <c r="P27" s="115"/>
      <c r="Q27" s="115"/>
      <c r="R27" s="115"/>
      <c r="S27" s="115"/>
    </row>
    <row r="28" spans="3:19" outlineLevel="1">
      <c r="C28" s="123" t="s">
        <v>166</v>
      </c>
      <c r="D28" s="108" t="s">
        <v>96</v>
      </c>
      <c r="E28" s="110" t="str">
        <f>'Input|Reported opex'!E68</f>
        <v>$millions</v>
      </c>
      <c r="F28" s="161">
        <f>'Input|Reported opex'!F68</f>
        <v>42522</v>
      </c>
      <c r="J28" s="115">
        <f>IF('Input|Reported opex'!J$60='Input|Reported opex'!J$10,'Input|Reported opex'!J68,0)</f>
        <v>0</v>
      </c>
      <c r="K28" s="115">
        <f>IF('Input|Reported opex'!K$60='Input|Reported opex'!K$10,'Input|Reported opex'!K68,0)</f>
        <v>0</v>
      </c>
      <c r="L28" s="115">
        <f>IF('Input|Reported opex'!L$60='Input|Reported opex'!L$10,'Input|Reported opex'!L68,0)</f>
        <v>0</v>
      </c>
      <c r="M28" s="115">
        <f>IF('Input|Reported opex'!M$60='Input|Reported opex'!M$10,'Input|Reported opex'!M68,0)</f>
        <v>0</v>
      </c>
      <c r="N28" s="115">
        <f>IF('Input|Reported opex'!N$60='Input|Reported opex'!N$10,'Input|Reported opex'!N68,0)</f>
        <v>0</v>
      </c>
      <c r="O28" s="115">
        <f>IF('Input|Reported opex'!O$60='Input|Reported opex'!O$10,'Input|Reported opex'!O68,0)</f>
        <v>0</v>
      </c>
      <c r="P28" s="115">
        <f>IF('Input|Reported opex'!P$60='Input|Reported opex'!P$10,'Input|Reported opex'!P68,0)</f>
        <v>0</v>
      </c>
      <c r="Q28" s="115">
        <f>IF('Input|Reported opex'!Q$60='Input|Reported opex'!Q$10,'Input|Reported opex'!Q68,0)</f>
        <v>0</v>
      </c>
      <c r="R28" s="115">
        <f>IF('Input|Reported opex'!R$60='Input|Reported opex'!R$10,'Input|Reported opex'!R68,0)</f>
        <v>0</v>
      </c>
      <c r="S28" s="115">
        <f>IF('Input|Reported opex'!S$60='Input|Reported opex'!S$10,'Input|Reported opex'!S68,0)</f>
        <v>0</v>
      </c>
    </row>
    <row r="29" spans="3:19" outlineLevel="1">
      <c r="C29" s="123" t="str">
        <f>C28</f>
        <v>Add back non-recurrent efficiency gains in the base year</v>
      </c>
      <c r="D29" s="110" t="s">
        <v>30</v>
      </c>
      <c r="E29" s="110" t="str">
        <f>$E$8</f>
        <v>$millions</v>
      </c>
      <c r="F29" s="161">
        <f>$F$8</f>
        <v>43983</v>
      </c>
      <c r="J29" s="115">
        <f>J28*IF($F28="nominal",LOOKUP($F29,Nominal_to_Real,'Input|Rate of change'!K$25:K$30),INDEX('Input|Rate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K29" s="115">
        <f>K28*IF($F28="nominal",LOOKUP($F29,Nominal_to_Real,'Input|Rate of change'!L$25:L$30),INDEX('Input|Rate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L29" s="115">
        <f>L28*IF($F28="nominal",LOOKUP($F29,Nominal_to_Real,'Input|Rate of change'!M$25:M$30),INDEX('Input|Rate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M29" s="115">
        <f>M28*IF($F28="nominal",LOOKUP($F29,Nominal_to_Real,'Input|Rate of change'!N$25:N$30),INDEX('Input|Rate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N29" s="115">
        <f>N28*IF($F28="nominal",LOOKUP($F29,Nominal_to_Real,'Input|Rate of change'!O$25:O$30),INDEX('Input|Rate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O29" s="115">
        <f>O28*IF($F28="nominal",LOOKUP($F29,Nominal_to_Real,'Input|Rate of change'!P$25:P$30),INDEX('Input|Rate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P29" s="115">
        <f>P28*IF($F28="nominal",LOOKUP($F29,Nominal_to_Real,'Input|Rate of change'!Q$25:Q$30),INDEX('Input|Rate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Q29" s="115">
        <f>Q28*IF($F28="nominal",LOOKUP($F29,Nominal_to_Real,'Input|Rate of change'!R$25:R$30),INDEX('Input|Rate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R29" s="115">
        <f>R28*IF($F28="nominal",LOOKUP($F29,Nominal_to_Real,'Input|Rate of change'!S$25:S$30),INDEX('Input|Rate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S29" s="115">
        <f>S28*IF($F28="nominal",LOOKUP($F29,Nominal_to_Real,'Input|Rate of change'!T$25:T$30),INDEX('Input|Rate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</row>
    <row r="30" spans="3:19" outlineLevel="1">
      <c r="C30" s="123"/>
      <c r="D30" s="110"/>
      <c r="E30" s="110"/>
      <c r="F30" s="161"/>
      <c r="J30" s="115"/>
      <c r="K30" s="115"/>
      <c r="L30" s="115"/>
      <c r="M30" s="115"/>
      <c r="N30" s="115"/>
      <c r="O30" s="115"/>
      <c r="P30" s="115"/>
      <c r="Q30" s="115"/>
      <c r="R30" s="115"/>
      <c r="S30" s="115"/>
    </row>
    <row r="31" spans="3:19" outlineLevel="1">
      <c r="C31" s="123" t="s">
        <v>164</v>
      </c>
      <c r="D31" s="110" t="s">
        <v>30</v>
      </c>
      <c r="E31" s="110" t="str">
        <f>$E$8</f>
        <v>$millions</v>
      </c>
      <c r="F31" s="161">
        <f>$F$8</f>
        <v>43983</v>
      </c>
      <c r="G31" s="110"/>
      <c r="H31" s="110"/>
      <c r="I31" s="110"/>
      <c r="J31" s="178">
        <f t="shared" ref="J31:S31" si="2">IF(YEAR(J$4)=PPLastYear,-SUM($J15:$S15)+SUM($J17:$S17),0)</f>
        <v>0</v>
      </c>
      <c r="K31" s="178">
        <f t="shared" si="2"/>
        <v>0</v>
      </c>
      <c r="L31" s="178">
        <f t="shared" si="2"/>
        <v>0</v>
      </c>
      <c r="M31" s="178">
        <f t="shared" si="2"/>
        <v>0</v>
      </c>
      <c r="N31" s="178">
        <f t="shared" si="2"/>
        <v>2.3623574008608443</v>
      </c>
      <c r="O31" s="178">
        <f t="shared" si="2"/>
        <v>0</v>
      </c>
      <c r="P31" s="178">
        <f t="shared" si="2"/>
        <v>0</v>
      </c>
      <c r="Q31" s="178">
        <f t="shared" si="2"/>
        <v>0</v>
      </c>
      <c r="R31" s="178">
        <f t="shared" si="2"/>
        <v>0</v>
      </c>
      <c r="S31" s="178">
        <f t="shared" si="2"/>
        <v>0</v>
      </c>
    </row>
    <row r="32" spans="3:19" outlineLevel="1">
      <c r="C32" s="123"/>
      <c r="D32" s="110"/>
      <c r="E32" s="110"/>
      <c r="F32" s="161"/>
      <c r="G32" s="110"/>
      <c r="H32" s="110"/>
      <c r="I32" s="110"/>
      <c r="J32" s="178"/>
      <c r="K32" s="178"/>
      <c r="L32" s="178"/>
      <c r="M32" s="178"/>
      <c r="N32" s="178"/>
      <c r="O32" s="178"/>
      <c r="P32" s="178"/>
      <c r="Q32" s="178"/>
      <c r="R32" s="178"/>
      <c r="S32" s="178"/>
    </row>
    <row r="33" spans="3:19" outlineLevel="1">
      <c r="C33" s="123" t="s">
        <v>110</v>
      </c>
      <c r="D33" s="110" t="s">
        <v>30</v>
      </c>
      <c r="E33" s="110" t="str">
        <f>$E$8</f>
        <v>$millions</v>
      </c>
      <c r="F33" s="161">
        <f>$F$8</f>
        <v>43983</v>
      </c>
      <c r="J33" s="178">
        <f t="shared" ref="J33:S33" si="3">IF(YEAR(J$4)=PPLastYear,SUM($J26:$S26,$J29:$S29,$J31:$S31),0)</f>
        <v>0</v>
      </c>
      <c r="K33" s="178">
        <f t="shared" si="3"/>
        <v>0</v>
      </c>
      <c r="L33" s="178">
        <f t="shared" si="3"/>
        <v>0</v>
      </c>
      <c r="M33" s="178">
        <f t="shared" si="3"/>
        <v>0</v>
      </c>
      <c r="N33" s="178">
        <f t="shared" si="3"/>
        <v>363.0759901650415</v>
      </c>
      <c r="O33" s="178">
        <f t="shared" si="3"/>
        <v>0</v>
      </c>
      <c r="P33" s="178">
        <f t="shared" si="3"/>
        <v>0</v>
      </c>
      <c r="Q33" s="178">
        <f t="shared" si="3"/>
        <v>0</v>
      </c>
      <c r="R33" s="178">
        <f t="shared" si="3"/>
        <v>0</v>
      </c>
      <c r="S33" s="178">
        <f t="shared" si="3"/>
        <v>0</v>
      </c>
    </row>
    <row r="34" spans="3:19" outlineLevel="1">
      <c r="C34" s="123"/>
      <c r="D34" s="110"/>
      <c r="E34" s="110"/>
      <c r="F34" s="161"/>
      <c r="J34" s="178"/>
      <c r="K34" s="178"/>
      <c r="L34" s="178"/>
      <c r="M34" s="178"/>
      <c r="N34" s="178"/>
      <c r="O34" s="178"/>
      <c r="P34" s="178"/>
      <c r="Q34" s="178"/>
      <c r="R34" s="178"/>
      <c r="S34" s="178"/>
    </row>
    <row r="35" spans="3:19" outlineLevel="1">
      <c r="C35" s="123" t="s">
        <v>174</v>
      </c>
      <c r="D35" s="110" t="s">
        <v>30</v>
      </c>
      <c r="E35" s="110" t="str">
        <f>$E$8</f>
        <v>$millions</v>
      </c>
      <c r="F35" s="161">
        <f>$F$8</f>
        <v>43983</v>
      </c>
      <c r="J35" s="115">
        <f t="shared" ref="J35:S35" si="4">IF(YEAR(J$4)=PPLastYear,-(SUM($J20:$S20)-SUM($J22:$S22)+SUM($J24:$S24)),0)</f>
        <v>0</v>
      </c>
      <c r="K35" s="115">
        <f t="shared" si="4"/>
        <v>0</v>
      </c>
      <c r="L35" s="115">
        <f t="shared" si="4"/>
        <v>0</v>
      </c>
      <c r="M35" s="115">
        <f t="shared" si="4"/>
        <v>0</v>
      </c>
      <c r="N35" s="115">
        <f t="shared" si="4"/>
        <v>-0.12724304923289864</v>
      </c>
      <c r="O35" s="115">
        <f t="shared" si="4"/>
        <v>0</v>
      </c>
      <c r="P35" s="115">
        <f t="shared" si="4"/>
        <v>0</v>
      </c>
      <c r="Q35" s="115">
        <f t="shared" si="4"/>
        <v>0</v>
      </c>
      <c r="R35" s="115">
        <f t="shared" si="4"/>
        <v>0</v>
      </c>
      <c r="S35" s="115">
        <f t="shared" si="4"/>
        <v>0</v>
      </c>
    </row>
    <row r="36" spans="3:19" outlineLevel="1">
      <c r="C36" s="123"/>
      <c r="D36" s="110"/>
      <c r="E36" s="110"/>
      <c r="F36" s="161"/>
      <c r="J36" s="115"/>
      <c r="K36" s="115"/>
      <c r="L36" s="115"/>
      <c r="M36" s="115"/>
      <c r="N36" s="115"/>
      <c r="O36" s="115"/>
      <c r="P36" s="115"/>
      <c r="Q36" s="115"/>
      <c r="R36" s="115"/>
      <c r="S36" s="115"/>
    </row>
    <row r="37" spans="3:19" outlineLevel="1">
      <c r="C37" s="123" t="str">
        <f>'Input|Reported opex'!$C$62</f>
        <v>Cost allocation method adjustment</v>
      </c>
      <c r="D37" s="108" t="s">
        <v>96</v>
      </c>
      <c r="E37" s="110" t="str">
        <f>'Input|Reported opex'!E62</f>
        <v>$millions</v>
      </c>
      <c r="F37" s="225">
        <f>'Input|Reported opex'!F62</f>
        <v>43983</v>
      </c>
      <c r="J37" s="109">
        <f>IF(YEAR(J$4)=PPLastYear,'Input|Reported opex'!J62,0)</f>
        <v>0</v>
      </c>
      <c r="K37" s="109">
        <f>IF(YEAR(K$4)=PPLastYear,'Input|Reported opex'!K62,0)</f>
        <v>0</v>
      </c>
      <c r="L37" s="109">
        <f>IF(YEAR(L$4)=PPLastYear,'Input|Reported opex'!L62,0)</f>
        <v>0</v>
      </c>
      <c r="M37" s="109">
        <f>IF(YEAR(M$4)=PPLastYear,'Input|Reported opex'!M62,0)</f>
        <v>0</v>
      </c>
      <c r="N37" s="109">
        <f>IF(YEAR(N$4)=PPLastYear,'Input|Reported opex'!N62,0)</f>
        <v>2.9869467975120516</v>
      </c>
      <c r="O37" s="109">
        <f>IF(YEAR(O$4)=PPLastYear,'Input|Reported opex'!O62,0)</f>
        <v>0</v>
      </c>
      <c r="P37" s="109">
        <f>IF(YEAR(P$4)=PPLastYear,'Input|Reported opex'!P62,0)</f>
        <v>0</v>
      </c>
      <c r="Q37" s="109">
        <f>IF(YEAR(Q$4)=PPLastYear,'Input|Reported opex'!Q62,0)</f>
        <v>0</v>
      </c>
      <c r="R37" s="109">
        <f>IF(YEAR(R$4)=PPLastYear,'Input|Reported opex'!R63,0)</f>
        <v>0</v>
      </c>
      <c r="S37" s="109">
        <f>IF(YEAR(S$4)=PPLastYear,'Input|Reported opex'!S62,0)</f>
        <v>0</v>
      </c>
    </row>
    <row r="38" spans="3:19" outlineLevel="1">
      <c r="C38" s="123" t="str">
        <f>C37</f>
        <v>Cost allocation method adjustment</v>
      </c>
      <c r="D38" s="110" t="s">
        <v>30</v>
      </c>
      <c r="E38" s="30" t="str">
        <f>$E$8</f>
        <v>$millions</v>
      </c>
      <c r="F38" s="161">
        <f>$F$8</f>
        <v>43983</v>
      </c>
      <c r="J38" s="115">
        <f>J37*IF($F37="nominal",LOOKUP($F38,Nominal_to_Real,'Input|Rate of change'!K$25:K$30),INDEX('Input|Rate of change'!$C$14:$O$21,MATCH('Calc|Opex forecast'!$F37,'Input|Rate of change'!$C$14:$C$21,0),MATCH('Calc|Opex forecast'!$F38,'Input|Rate of change'!$C$14:$O$14,0)))*IF($E37="$millions",1000000,IF($E37="$000",1000,1))/IF($E38="$millions",1000000,IF($E38="$000",1000,1))</f>
        <v>0</v>
      </c>
      <c r="K38" s="115">
        <f>K37*IF($F37="nominal",LOOKUP($F38,Nominal_to_Real,'Input|Rate of change'!L$25:L$30),INDEX('Input|Rate of change'!$C$14:$O$21,MATCH('Calc|Opex forecast'!$F37,'Input|Rate of change'!$C$14:$C$21,0),MATCH('Calc|Opex forecast'!$F38,'Input|Rate of change'!$C$14:$O$14,0)))*IF($E37="$millions",1000000,IF($E37="$000",1000,1))/IF($E38="$millions",1000000,IF($E38="$000",1000,1))</f>
        <v>0</v>
      </c>
      <c r="L38" s="115">
        <f>L37*IF($F37="nominal",LOOKUP($F38,Nominal_to_Real,'Input|Rate of change'!M$25:M$30),INDEX('Input|Rate of change'!$C$14:$O$21,MATCH('Calc|Opex forecast'!$F37,'Input|Rate of change'!$C$14:$C$21,0),MATCH('Calc|Opex forecast'!$F38,'Input|Rate of change'!$C$14:$O$14,0)))*IF($E37="$millions",1000000,IF($E37="$000",1000,1))/IF($E38="$millions",1000000,IF($E38="$000",1000,1))</f>
        <v>0</v>
      </c>
      <c r="M38" s="115">
        <f>M37*IF($F37="nominal",LOOKUP($F38,Nominal_to_Real,'Input|Rate of change'!N$25:N$30),INDEX('Input|Rate of change'!$C$14:$O$21,MATCH('Calc|Opex forecast'!$F37,'Input|Rate of change'!$C$14:$C$21,0),MATCH('Calc|Opex forecast'!$F38,'Input|Rate of change'!$C$14:$O$14,0)))*IF($E37="$millions",1000000,IF($E37="$000",1000,1))/IF($E38="$millions",1000000,IF($E38="$000",1000,1))</f>
        <v>0</v>
      </c>
      <c r="N38" s="153">
        <f>N37*IF($F37="nominal",LOOKUP($F38,Nominal_to_Real,'Input|Rate of change'!O$25:O$30),INDEX('Input|Rate of change'!$C$14:$O$21,MATCH('Calc|Opex forecast'!$F37,'Input|Rate of change'!$C$14:$C$21,0),MATCH('Calc|Opex forecast'!$F38,'Input|Rate of change'!$C$14:$O$14,0)))*IF($E37="$millions",1000000,IF($E37="$000",1000,1))/IF($E38="$millions",1000000,IF($E38="$000",1000,1))</f>
        <v>2.9869467975120516</v>
      </c>
      <c r="O38" s="115">
        <f>O37*IF($F37="nominal",LOOKUP($F38,Nominal_to_Real,'Input|Rate of change'!P$25:P$30),INDEX('Input|Rate of change'!$C$14:$O$21,MATCH('Calc|Opex forecast'!$F37,'Input|Rate of change'!$C$14:$C$21,0),MATCH('Calc|Opex forecast'!$F38,'Input|Rate of change'!$C$14:$O$14,0)))*IF($E37="$millions",1000000,IF($E37="$000",1000,1))/IF($E38="$millions",1000000,IF($E38="$000",1000,1))</f>
        <v>0</v>
      </c>
      <c r="P38" s="115">
        <f>P37*IF($F37="nominal",LOOKUP($F38,Nominal_to_Real,'Input|Rate of change'!Q$25:Q$30),INDEX('Input|Rate of change'!$C$14:$O$21,MATCH('Calc|Opex forecast'!$F37,'Input|Rate of change'!$C$14:$C$21,0),MATCH('Calc|Opex forecast'!$F38,'Input|Rate of change'!$C$14:$O$14,0)))*IF($E37="$millions",1000000,IF($E37="$000",1000,1))/IF($E38="$millions",1000000,IF($E38="$000",1000,1))</f>
        <v>0</v>
      </c>
      <c r="Q38" s="115">
        <f>Q37*IF($F37="nominal",LOOKUP($F38,Nominal_to_Real,'Input|Rate of change'!R$25:R$30),INDEX('Input|Rate of change'!$C$14:$O$21,MATCH('Calc|Opex forecast'!$F37,'Input|Rate of change'!$C$14:$C$21,0),MATCH('Calc|Opex forecast'!$F38,'Input|Rate of change'!$C$14:$O$14,0)))*IF($E37="$millions",1000000,IF($E37="$000",1000,1))/IF($E38="$millions",1000000,IF($E38="$000",1000,1))</f>
        <v>0</v>
      </c>
      <c r="R38" s="115">
        <f>R37*IF($F37="nominal",LOOKUP($F38,Nominal_to_Real,'Input|Rate of change'!S$25:S$30),INDEX('Input|Rate of change'!$C$14:$O$21,MATCH('Calc|Opex forecast'!$F37,'Input|Rate of change'!$C$14:$C$21,0),MATCH('Calc|Opex forecast'!$F38,'Input|Rate of change'!$C$14:$O$14,0)))*IF($E37="$millions",1000000,IF($E37="$000",1000,1))/IF($E38="$millions",1000000,IF($E38="$000",1000,1))</f>
        <v>0</v>
      </c>
      <c r="S38" s="115">
        <f>S37*IF($F37="nominal",LOOKUP($F38,Nominal_to_Real,'Input|Rate of change'!T$25:T$30),INDEX('Input|Rate of change'!$C$14:$O$21,MATCH('Calc|Opex forecast'!$F37,'Input|Rate of change'!$C$14:$C$21,0),MATCH('Calc|Opex forecast'!$F38,'Input|Rate of change'!$C$14:$O$14,0)))*IF($E37="$millions",1000000,IF($E37="$000",1000,1))/IF($E38="$millions",1000000,IF($E38="$000",1000,1))</f>
        <v>0</v>
      </c>
    </row>
    <row r="39" spans="3:19" outlineLevel="1">
      <c r="C39" s="123"/>
      <c r="D39" s="110"/>
      <c r="F39" s="161"/>
      <c r="J39" s="115"/>
      <c r="K39" s="115"/>
      <c r="L39" s="115"/>
      <c r="M39" s="115"/>
      <c r="N39" s="115"/>
      <c r="O39" s="115"/>
      <c r="P39" s="115"/>
      <c r="Q39" s="115"/>
      <c r="R39" s="109"/>
      <c r="S39" s="109"/>
    </row>
    <row r="40" spans="3:19" outlineLevel="1">
      <c r="C40" s="123" t="str">
        <f>'Input|Reported opex'!$C$63</f>
        <v>Service classification adjustment</v>
      </c>
      <c r="D40" s="108" t="s">
        <v>96</v>
      </c>
      <c r="E40" s="30" t="str">
        <f>'Input|Reported opex'!$E$63</f>
        <v>$millions</v>
      </c>
      <c r="F40" s="225">
        <f>F37</f>
        <v>43983</v>
      </c>
      <c r="J40" s="109">
        <f>IF(YEAR(J$4)=PPLastYear,'Input|Reported opex'!J63,0)</f>
        <v>0</v>
      </c>
      <c r="K40" s="109">
        <f>IF(YEAR(K$4)=PPLastYear,'Input|Reported opex'!K63,0)</f>
        <v>0</v>
      </c>
      <c r="L40" s="109">
        <f>IF(YEAR(L$4)=PPLastYear,'Input|Reported opex'!L63,0)</f>
        <v>0</v>
      </c>
      <c r="M40" s="109">
        <f>IF(YEAR(M$4)=PPLastYear,'Input|Reported opex'!M63,0)</f>
        <v>0</v>
      </c>
      <c r="N40" s="109">
        <f>IF(YEAR(N$4)=PPLastYear,'Input|Reported opex'!N63,0)</f>
        <v>1.4264106454174759</v>
      </c>
      <c r="O40" s="109">
        <f>IF(YEAR(O$4)=PPLastYear,'Input|Reported opex'!O63,0)</f>
        <v>0</v>
      </c>
      <c r="P40" s="109">
        <f>IF(YEAR(P$4)=PPLastYear,'Input|Reported opex'!P63,0)</f>
        <v>0</v>
      </c>
      <c r="Q40" s="109">
        <f>IF(YEAR(Q$4)=PPLastYear,'Input|Reported opex'!Q63,0)</f>
        <v>0</v>
      </c>
      <c r="R40" s="109">
        <f>IF(YEAR(R$4)=PPLastYear,'Input|Reported opex'!#REF!,0)</f>
        <v>0</v>
      </c>
      <c r="S40" s="109">
        <f>IF(YEAR(S$4)=PPLastYear,'Input|Reported opex'!S63,0)</f>
        <v>0</v>
      </c>
    </row>
    <row r="41" spans="3:19" outlineLevel="1">
      <c r="C41" s="123" t="str">
        <f>C40</f>
        <v>Service classification adjustment</v>
      </c>
      <c r="D41" s="110" t="s">
        <v>30</v>
      </c>
      <c r="E41" s="30" t="str">
        <f>$E$8</f>
        <v>$millions</v>
      </c>
      <c r="F41" s="161">
        <f>$F$8</f>
        <v>43983</v>
      </c>
      <c r="J41" s="115">
        <f>J40*IF($F40="nominal",LOOKUP($F41,Nominal_to_Real,'Input|Rate of change'!K$25:K$30),INDEX('Input|Rate of change'!$C$14:$O$21,MATCH('Calc|Opex forecast'!$F40,'Input|Rate of change'!$C$14:$C$21,0),MATCH('Calc|Opex forecast'!$F41,'Input|Rate of change'!$C$14:$O$14,0)))*IF($E40="$millions",1000000,IF($E40="$000",1000,1))/IF($E41="$millions",1000000,IF($E41="$000",1000,1))</f>
        <v>0</v>
      </c>
      <c r="K41" s="115">
        <f>K40*IF($F40="nominal",LOOKUP($F41,Nominal_to_Real,'Input|Rate of change'!L$25:L$30),INDEX('Input|Rate of change'!$C$14:$O$21,MATCH('Calc|Opex forecast'!$F40,'Input|Rate of change'!$C$14:$C$21,0),MATCH('Calc|Opex forecast'!$F41,'Input|Rate of change'!$C$14:$O$14,0)))*IF($E40="$millions",1000000,IF($E40="$000",1000,1))/IF($E41="$millions",1000000,IF($E41="$000",1000,1))</f>
        <v>0</v>
      </c>
      <c r="L41" s="115">
        <f>L40*IF($F40="nominal",LOOKUP($F41,Nominal_to_Real,'Input|Rate of change'!M$25:M$30),INDEX('Input|Rate of change'!$C$14:$O$21,MATCH('Calc|Opex forecast'!$F40,'Input|Rate of change'!$C$14:$C$21,0),MATCH('Calc|Opex forecast'!$F41,'Input|Rate of change'!$C$14:$O$14,0)))*IF($E40="$millions",1000000,IF($E40="$000",1000,1))/IF($E41="$millions",1000000,IF($E41="$000",1000,1))</f>
        <v>0</v>
      </c>
      <c r="M41" s="115">
        <f>M40*IF($F40="nominal",LOOKUP($F41,Nominal_to_Real,'Input|Rate of change'!N$25:N$30),INDEX('Input|Rate of change'!$C$14:$O$21,MATCH('Calc|Opex forecast'!$F40,'Input|Rate of change'!$C$14:$C$21,0),MATCH('Calc|Opex forecast'!$F41,'Input|Rate of change'!$C$14:$O$14,0)))*IF($E40="$millions",1000000,IF($E40="$000",1000,1))/IF($E41="$millions",1000000,IF($E41="$000",1000,1))</f>
        <v>0</v>
      </c>
      <c r="N41" s="153">
        <f>N40*IF($F40="nominal",LOOKUP($F41,Nominal_to_Real,'Input|Rate of change'!O$25:O$30),INDEX('Input|Rate of change'!$C$14:$O$21,MATCH('Calc|Opex forecast'!$F40,'Input|Rate of change'!$C$14:$C$21,0),MATCH('Calc|Opex forecast'!$F41,'Input|Rate of change'!$C$14:$O$14,0)))*IF($E40="$millions",1000000,IF($E40="$000",1000,1))/IF($E41="$millions",1000000,IF($E41="$000",1000,1))</f>
        <v>1.4264106454174759</v>
      </c>
      <c r="O41" s="115">
        <f>O40*IF($F40="nominal",LOOKUP($F41,Nominal_to_Real,'Input|Rate of change'!P$25:P$30),INDEX('Input|Rate of change'!$C$14:$O$21,MATCH('Calc|Opex forecast'!$F40,'Input|Rate of change'!$C$14:$C$21,0),MATCH('Calc|Opex forecast'!$F41,'Input|Rate of change'!$C$14:$O$14,0)))*IF($E40="$millions",1000000,IF($E40="$000",1000,1))/IF($E41="$millions",1000000,IF($E41="$000",1000,1))</f>
        <v>0</v>
      </c>
      <c r="P41" s="115">
        <f>P40*IF($F40="nominal",LOOKUP($F41,Nominal_to_Real,'Input|Rate of change'!Q$25:Q$30),INDEX('Input|Rate of change'!$C$14:$O$21,MATCH('Calc|Opex forecast'!$F40,'Input|Rate of change'!$C$14:$C$21,0),MATCH('Calc|Opex forecast'!$F41,'Input|Rate of change'!$C$14:$O$14,0)))*IF($E40="$millions",1000000,IF($E40="$000",1000,1))/IF($E41="$millions",1000000,IF($E41="$000",1000,1))</f>
        <v>0</v>
      </c>
      <c r="Q41" s="115">
        <f>Q40*IF($F40="nominal",LOOKUP($F41,Nominal_to_Real,'Input|Rate of change'!R$25:R$30),INDEX('Input|Rate of change'!$C$14:$O$21,MATCH('Calc|Opex forecast'!$F40,'Input|Rate of change'!$C$14:$C$21,0),MATCH('Calc|Opex forecast'!$F41,'Input|Rate of change'!$C$14:$O$14,0)))*IF($E40="$millions",1000000,IF($E40="$000",1000,1))/IF($E41="$millions",1000000,IF($E41="$000",1000,1))</f>
        <v>0</v>
      </c>
      <c r="R41" s="115">
        <f>R40*IF($F40="nominal",LOOKUP($F41,Nominal_to_Real,'Input|Rate of change'!S$25:S$30),INDEX('Input|Rate of change'!$C$14:$O$21,MATCH('Calc|Opex forecast'!$F40,'Input|Rate of change'!$C$14:$C$21,0),MATCH('Calc|Opex forecast'!$F41,'Input|Rate of change'!$C$14:$O$14,0)))*IF($E40="$millions",1000000,IF($E40="$000",1000,1))/IF($E41="$millions",1000000,IF($E41="$000",1000,1))</f>
        <v>0</v>
      </c>
      <c r="S41" s="115">
        <f>S40*IF($F40="nominal",LOOKUP($F41,Nominal_to_Real,'Input|Rate of change'!T$25:T$30),INDEX('Input|Rate of change'!$C$14:$O$21,MATCH('Calc|Opex forecast'!$F40,'Input|Rate of change'!$C$14:$C$21,0),MATCH('Calc|Opex forecast'!$F41,'Input|Rate of change'!$C$14:$O$14,0)))*IF($E40="$millions",1000000,IF($E40="$000",1000,1))/IF($E41="$millions",1000000,IF($E41="$000",1000,1))</f>
        <v>0</v>
      </c>
    </row>
    <row r="42" spans="3:19" outlineLevel="1">
      <c r="C42" s="123"/>
      <c r="D42" s="110"/>
      <c r="F42" s="161"/>
      <c r="J42" s="115"/>
      <c r="K42" s="115"/>
      <c r="L42" s="115"/>
      <c r="M42" s="115"/>
      <c r="N42" s="115"/>
      <c r="O42" s="115"/>
      <c r="P42" s="115"/>
      <c r="Q42" s="115"/>
      <c r="R42" s="109"/>
      <c r="S42" s="109"/>
    </row>
    <row r="43" spans="3:19" outlineLevel="1">
      <c r="C43" s="123" t="str">
        <f>'Input|Reported opex'!$C$64</f>
        <v>Adjustment 3</v>
      </c>
      <c r="D43" s="108" t="s">
        <v>96</v>
      </c>
      <c r="E43" s="30" t="str">
        <f>'Input|Reported opex'!$E$64</f>
        <v>$millions</v>
      </c>
      <c r="F43" s="161">
        <f>'Input|Reported opex'!$F$64</f>
        <v>43983</v>
      </c>
      <c r="J43" s="109">
        <f>IF(YEAR(J$4)=PPLastYear,'Input|Reported opex'!J64,0)</f>
        <v>0</v>
      </c>
      <c r="K43" s="109">
        <f>IF(YEAR(K$4)=PPLastYear,'Input|Reported opex'!K64,0)</f>
        <v>0</v>
      </c>
      <c r="L43" s="109">
        <f>IF(YEAR(L$4)=PPLastYear,'Input|Reported opex'!L64,0)</f>
        <v>0</v>
      </c>
      <c r="M43" s="109">
        <f>IF(YEAR(M$4)=PPLastYear,'Input|Reported opex'!M64,0)</f>
        <v>0</v>
      </c>
      <c r="N43" s="109">
        <f>IF(YEAR(N$4)=PPLastYear,'Input|Reported opex'!N64,0)</f>
        <v>0</v>
      </c>
      <c r="O43" s="109">
        <f>IF(YEAR(O$4)=PPLastYear,'Input|Reported opex'!O64,0)</f>
        <v>0</v>
      </c>
      <c r="P43" s="109">
        <f>IF(YEAR(P$4)=PPLastYear,'Input|Reported opex'!P64,0)</f>
        <v>0</v>
      </c>
      <c r="Q43" s="109">
        <f>IF(YEAR(Q$4)=PPLastYear,'Input|Reported opex'!Q64,0)</f>
        <v>0</v>
      </c>
      <c r="R43" s="109">
        <f>IF(YEAR(R$4)=PPLastYear,'Input|Reported opex'!R64,0)</f>
        <v>0</v>
      </c>
      <c r="S43" s="109">
        <f>IF(YEAR(S$4)=PPLastYear,'Input|Reported opex'!S64,0)</f>
        <v>0</v>
      </c>
    </row>
    <row r="44" spans="3:19" outlineLevel="1">
      <c r="C44" s="123" t="str">
        <f>C43</f>
        <v>Adjustment 3</v>
      </c>
      <c r="D44" s="110" t="s">
        <v>30</v>
      </c>
      <c r="E44" s="30" t="str">
        <f>$E$8</f>
        <v>$millions</v>
      </c>
      <c r="F44" s="161">
        <f>$F$8</f>
        <v>43983</v>
      </c>
      <c r="J44" s="115">
        <f>J43*IF($F43="nominal",LOOKUP($F44,Nominal_to_Real,'Input|Rate of change'!K$25:K$30),INDEX('Input|Rate of change'!$C$14:$O$21,MATCH('Calc|Opex forecast'!$F43,'Input|Rate of change'!$C$14:$C$21,0),MATCH('Calc|Opex forecast'!$F44,'Input|Rate of change'!$C$14:$O$14,0)))*IF($E43="$millions",1000000,IF($E43="$000",1000,1))/IF($E44="$millions",1000000,IF($E44="$000",1000,1))</f>
        <v>0</v>
      </c>
      <c r="K44" s="115">
        <f>K43*IF($F43="nominal",LOOKUP($F44,Nominal_to_Real,'Input|Rate of change'!L$25:L$30),INDEX('Input|Rate of change'!$C$14:$O$21,MATCH('Calc|Opex forecast'!$F43,'Input|Rate of change'!$C$14:$C$21,0),MATCH('Calc|Opex forecast'!$F44,'Input|Rate of change'!$C$14:$O$14,0)))*IF($E43="$millions",1000000,IF($E43="$000",1000,1))/IF($E44="$millions",1000000,IF($E44="$000",1000,1))</f>
        <v>0</v>
      </c>
      <c r="L44" s="115">
        <f>L43*IF($F43="nominal",LOOKUP($F44,Nominal_to_Real,'Input|Rate of change'!M$25:M$30),INDEX('Input|Rate of change'!$C$14:$O$21,MATCH('Calc|Opex forecast'!$F43,'Input|Rate of change'!$C$14:$C$21,0),MATCH('Calc|Opex forecast'!$F44,'Input|Rate of change'!$C$14:$O$14,0)))*IF($E43="$millions",1000000,IF($E43="$000",1000,1))/IF($E44="$millions",1000000,IF($E44="$000",1000,1))</f>
        <v>0</v>
      </c>
      <c r="M44" s="115">
        <f>M43*IF($F43="nominal",LOOKUP($F44,Nominal_to_Real,'Input|Rate of change'!N$25:N$30),INDEX('Input|Rate of change'!$C$14:$O$21,MATCH('Calc|Opex forecast'!$F43,'Input|Rate of change'!$C$14:$C$21,0),MATCH('Calc|Opex forecast'!$F44,'Input|Rate of change'!$C$14:$O$14,0)))*IF($E43="$millions",1000000,IF($E43="$000",1000,1))/IF($E44="$millions",1000000,IF($E44="$000",1000,1))</f>
        <v>0</v>
      </c>
      <c r="N44" s="153">
        <f>N43*IF($F43="nominal",LOOKUP($F44,Nominal_to_Real,'Input|Rate of change'!O$25:O$30),INDEX('Input|Rate of change'!$C$14:$O$21,MATCH('Calc|Opex forecast'!$F43,'Input|Rate of change'!$C$14:$C$21,0),MATCH('Calc|Opex forecast'!$F44,'Input|Rate of change'!$C$14:$O$14,0)))*IF($E43="$millions",1000000,IF($E43="$000",1000,1))/IF($E44="$millions",1000000,IF($E44="$000",1000,1))</f>
        <v>0</v>
      </c>
      <c r="O44" s="115">
        <f>O43*IF($F43="nominal",LOOKUP($F44,Nominal_to_Real,'Input|Rate of change'!P$25:P$30),INDEX('Input|Rate of change'!$C$14:$O$21,MATCH('Calc|Opex forecast'!$F43,'Input|Rate of change'!$C$14:$C$21,0),MATCH('Calc|Opex forecast'!$F44,'Input|Rate of change'!$C$14:$O$14,0)))*IF($E43="$millions",1000000,IF($E43="$000",1000,1))/IF($E44="$millions",1000000,IF($E44="$000",1000,1))</f>
        <v>0</v>
      </c>
      <c r="P44" s="115">
        <f>P43*IF($F43="nominal",LOOKUP($F44,Nominal_to_Real,'Input|Rate of change'!Q$25:Q$30),INDEX('Input|Rate of change'!$C$14:$O$21,MATCH('Calc|Opex forecast'!$F43,'Input|Rate of change'!$C$14:$C$21,0),MATCH('Calc|Opex forecast'!$F44,'Input|Rate of change'!$C$14:$O$14,0)))*IF($E43="$millions",1000000,IF($E43="$000",1000,1))/IF($E44="$millions",1000000,IF($E44="$000",1000,1))</f>
        <v>0</v>
      </c>
      <c r="Q44" s="115">
        <f>Q43*IF($F43="nominal",LOOKUP($F44,Nominal_to_Real,'Input|Rate of change'!R$25:R$30),INDEX('Input|Rate of change'!$C$14:$O$21,MATCH('Calc|Opex forecast'!$F43,'Input|Rate of change'!$C$14:$C$21,0),MATCH('Calc|Opex forecast'!$F44,'Input|Rate of change'!$C$14:$O$14,0)))*IF($E43="$millions",1000000,IF($E43="$000",1000,1))/IF($E44="$millions",1000000,IF($E44="$000",1000,1))</f>
        <v>0</v>
      </c>
      <c r="R44" s="115">
        <f>R43*IF($F43="nominal",LOOKUP($F44,Nominal_to_Real,'Input|Rate of change'!S$25:S$30),INDEX('Input|Rate of change'!$C$14:$O$21,MATCH('Calc|Opex forecast'!$F43,'Input|Rate of change'!$C$14:$C$21,0),MATCH('Calc|Opex forecast'!$F44,'Input|Rate of change'!$C$14:$O$14,0)))*IF($E43="$millions",1000000,IF($E43="$000",1000,1))/IF($E44="$millions",1000000,IF($E44="$000",1000,1))</f>
        <v>0</v>
      </c>
      <c r="S44" s="115">
        <f>S43*IF($F43="nominal",LOOKUP($F44,Nominal_to_Real,'Input|Rate of change'!T$25:T$30),INDEX('Input|Rate of change'!$C$14:$O$21,MATCH('Calc|Opex forecast'!$F43,'Input|Rate of change'!$C$14:$C$21,0),MATCH('Calc|Opex forecast'!$F44,'Input|Rate of change'!$C$14:$O$14,0)))*IF($E43="$millions",1000000,IF($E43="$000",1000,1))/IF($E44="$millions",1000000,IF($E44="$000",1000,1))</f>
        <v>0</v>
      </c>
    </row>
    <row r="45" spans="3:19" outlineLevel="1">
      <c r="C45" s="123"/>
      <c r="D45" s="110"/>
      <c r="F45" s="161"/>
      <c r="J45" s="115"/>
      <c r="K45" s="115"/>
      <c r="L45" s="115"/>
      <c r="M45" s="115"/>
      <c r="N45" s="115"/>
      <c r="O45" s="115"/>
      <c r="P45" s="115"/>
      <c r="Q45" s="115"/>
      <c r="R45" s="109"/>
      <c r="S45" s="109"/>
    </row>
    <row r="46" spans="3:19" outlineLevel="1">
      <c r="C46" s="123" t="str">
        <f>'Input|Reported opex'!$C$65</f>
        <v>Adjustment 4</v>
      </c>
      <c r="D46" s="108" t="s">
        <v>96</v>
      </c>
      <c r="E46" s="30" t="str">
        <f>'Input|Reported opex'!$E$65</f>
        <v>$millions</v>
      </c>
      <c r="F46" s="161">
        <f>'Input|Reported opex'!$F$65</f>
        <v>42522</v>
      </c>
      <c r="J46" s="109">
        <f>IF(YEAR(J$4)=PPLastYear,'Input|Reported opex'!J65,0)</f>
        <v>0</v>
      </c>
      <c r="K46" s="109">
        <f>IF(YEAR(K$4)=PPLastYear,'Input|Reported opex'!K65,0)</f>
        <v>0</v>
      </c>
      <c r="L46" s="109">
        <f>IF(YEAR(L$4)=PPLastYear,'Input|Reported opex'!L65,0)</f>
        <v>0</v>
      </c>
      <c r="M46" s="109">
        <f>IF(YEAR(M$4)=PPLastYear,'Input|Reported opex'!M65,0)</f>
        <v>0</v>
      </c>
      <c r="N46" s="109">
        <f>IF(YEAR(N$4)=PPLastYear,'Input|Reported opex'!N65,0)</f>
        <v>0</v>
      </c>
      <c r="O46" s="109">
        <f>IF(YEAR(O$4)=PPLastYear,'Input|Reported opex'!O65,0)</f>
        <v>0</v>
      </c>
      <c r="P46" s="109">
        <f>IF(YEAR(P$4)=PPLastYear,'Input|Reported opex'!P65,0)</f>
        <v>0</v>
      </c>
      <c r="Q46" s="109">
        <f>IF(YEAR(Q$4)=PPLastYear,'Input|Reported opex'!Q65,0)</f>
        <v>0</v>
      </c>
      <c r="R46" s="109">
        <f>IF(YEAR(R$4)=PPLastYear,'Input|Reported opex'!R65,0)</f>
        <v>0</v>
      </c>
      <c r="S46" s="109">
        <f>IF(YEAR(S$4)=PPLastYear,'Input|Reported opex'!S65,0)</f>
        <v>0</v>
      </c>
    </row>
    <row r="47" spans="3:19" outlineLevel="1">
      <c r="C47" s="123" t="str">
        <f>C46</f>
        <v>Adjustment 4</v>
      </c>
      <c r="D47" s="110" t="s">
        <v>30</v>
      </c>
      <c r="E47" s="30" t="str">
        <f>$E$8</f>
        <v>$millions</v>
      </c>
      <c r="F47" s="161">
        <f>$F$8</f>
        <v>43983</v>
      </c>
      <c r="J47" s="115">
        <f>J46*IF($F46="nominal",LOOKUP($F47,Nominal_to_Real,'Input|Rate of change'!K$25:K$30),INDEX('Input|Rate of change'!$C$14:$O$21,MATCH('Calc|Opex forecast'!$F46,'Input|Rate of change'!$C$14:$C$21,0),MATCH('Calc|Opex forecast'!$F47,'Input|Rate of change'!$C$14:$O$14,0)))*IF($E46="$millions",1000000,IF($E46="$000",1000,1))/IF($E47="$millions",1000000,IF($E47="$000",1000,1))</f>
        <v>0</v>
      </c>
      <c r="K47" s="115">
        <f>K46*IF($F46="nominal",LOOKUP($F47,Nominal_to_Real,'Input|Rate of change'!L$25:L$30),INDEX('Input|Rate of change'!$C$14:$O$21,MATCH('Calc|Opex forecast'!$F46,'Input|Rate of change'!$C$14:$C$21,0),MATCH('Calc|Opex forecast'!$F47,'Input|Rate of change'!$C$14:$O$14,0)))*IF($E46="$millions",1000000,IF($E46="$000",1000,1))/IF($E47="$millions",1000000,IF($E47="$000",1000,1))</f>
        <v>0</v>
      </c>
      <c r="L47" s="115">
        <f>L46*IF($F46="nominal",LOOKUP($F47,Nominal_to_Real,'Input|Rate of change'!M$25:M$30),INDEX('Input|Rate of change'!$C$14:$O$21,MATCH('Calc|Opex forecast'!$F46,'Input|Rate of change'!$C$14:$C$21,0),MATCH('Calc|Opex forecast'!$F47,'Input|Rate of change'!$C$14:$O$14,0)))*IF($E46="$millions",1000000,IF($E46="$000",1000,1))/IF($E47="$millions",1000000,IF($E47="$000",1000,1))</f>
        <v>0</v>
      </c>
      <c r="M47" s="115">
        <f>M46*IF($F46="nominal",LOOKUP($F47,Nominal_to_Real,'Input|Rate of change'!N$25:N$30),INDEX('Input|Rate of change'!$C$14:$O$21,MATCH('Calc|Opex forecast'!$F46,'Input|Rate of change'!$C$14:$C$21,0),MATCH('Calc|Opex forecast'!$F47,'Input|Rate of change'!$C$14:$O$14,0)))*IF($E46="$millions",1000000,IF($E46="$000",1000,1))/IF($E47="$millions",1000000,IF($E47="$000",1000,1))</f>
        <v>0</v>
      </c>
      <c r="N47" s="153">
        <f>N46*IF($F46="nominal",LOOKUP($F47,Nominal_to_Real,'Input|Rate of change'!O$25:O$30),INDEX('Input|Rate of change'!$C$14:$O$21,MATCH('Calc|Opex forecast'!$F46,'Input|Rate of change'!$C$14:$C$21,0),MATCH('Calc|Opex forecast'!$F47,'Input|Rate of change'!$C$14:$O$14,0)))*IF($E46="$millions",1000000,IF($E46="$000",1000,1))/IF($E47="$millions",1000000,IF($E47="$000",1000,1))</f>
        <v>0</v>
      </c>
      <c r="O47" s="115">
        <f>O46*IF($F46="nominal",LOOKUP($F47,Nominal_to_Real,'Input|Rate of change'!P$25:P$30),INDEX('Input|Rate of change'!$C$14:$O$21,MATCH('Calc|Opex forecast'!$F46,'Input|Rate of change'!$C$14:$C$21,0),MATCH('Calc|Opex forecast'!$F47,'Input|Rate of change'!$C$14:$O$14,0)))*IF($E46="$millions",1000000,IF($E46="$000",1000,1))/IF($E47="$millions",1000000,IF($E47="$000",1000,1))</f>
        <v>0</v>
      </c>
      <c r="P47" s="115">
        <f>P46*IF($F46="nominal",LOOKUP($F47,Nominal_to_Real,'Input|Rate of change'!Q$25:Q$30),INDEX('Input|Rate of change'!$C$14:$O$21,MATCH('Calc|Opex forecast'!$F46,'Input|Rate of change'!$C$14:$C$21,0),MATCH('Calc|Opex forecast'!$F47,'Input|Rate of change'!$C$14:$O$14,0)))*IF($E46="$millions",1000000,IF($E46="$000",1000,1))/IF($E47="$millions",1000000,IF($E47="$000",1000,1))</f>
        <v>0</v>
      </c>
      <c r="Q47" s="115">
        <f>Q46*IF($F46="nominal",LOOKUP($F47,Nominal_to_Real,'Input|Rate of change'!R$25:R$30),INDEX('Input|Rate of change'!$C$14:$O$21,MATCH('Calc|Opex forecast'!$F46,'Input|Rate of change'!$C$14:$C$21,0),MATCH('Calc|Opex forecast'!$F47,'Input|Rate of change'!$C$14:$O$14,0)))*IF($E46="$millions",1000000,IF($E46="$000",1000,1))/IF($E47="$millions",1000000,IF($E47="$000",1000,1))</f>
        <v>0</v>
      </c>
      <c r="R47" s="115">
        <f>R46*IF($F46="nominal",LOOKUP($F47,Nominal_to_Real,'Input|Rate of change'!S$25:S$30),INDEX('Input|Rate of change'!$C$14:$O$21,MATCH('Calc|Opex forecast'!$F46,'Input|Rate of change'!$C$14:$C$21,0),MATCH('Calc|Opex forecast'!$F47,'Input|Rate of change'!$C$14:$O$14,0)))*IF($E46="$millions",1000000,IF($E46="$000",1000,1))/IF($E47="$millions",1000000,IF($E47="$000",1000,1))</f>
        <v>0</v>
      </c>
      <c r="S47" s="115">
        <f>S46*IF($F46="nominal",LOOKUP($F47,Nominal_to_Real,'Input|Rate of change'!T$25:T$30),INDEX('Input|Rate of change'!$C$14:$O$21,MATCH('Calc|Opex forecast'!$F46,'Input|Rate of change'!$C$14:$C$21,0),MATCH('Calc|Opex forecast'!$F47,'Input|Rate of change'!$C$14:$O$14,0)))*IF($E46="$millions",1000000,IF($E46="$000",1000,1))/IF($E47="$millions",1000000,IF($E47="$000",1000,1))</f>
        <v>0</v>
      </c>
    </row>
    <row r="48" spans="3:19" outlineLevel="1">
      <c r="C48" s="123"/>
      <c r="D48" s="110"/>
      <c r="F48" s="161"/>
      <c r="J48" s="115"/>
      <c r="K48" s="115"/>
      <c r="L48" s="115"/>
      <c r="M48" s="115"/>
      <c r="N48" s="115"/>
      <c r="O48" s="115"/>
      <c r="P48" s="115"/>
      <c r="Q48" s="115"/>
      <c r="R48" s="109"/>
      <c r="S48" s="109"/>
    </row>
    <row r="49" spans="1:47" outlineLevel="1">
      <c r="C49" s="123" t="str">
        <f>'Input|Reported opex'!$C$66</f>
        <v>Adjustment 5</v>
      </c>
      <c r="D49" s="108" t="s">
        <v>96</v>
      </c>
      <c r="E49" s="30" t="str">
        <f>'Input|Reported opex'!$E$66</f>
        <v>$millions</v>
      </c>
      <c r="F49" s="161">
        <f>'Input|Reported opex'!$F$66</f>
        <v>42522</v>
      </c>
      <c r="J49" s="109">
        <f>IF(YEAR(J$4)=PPLastYear,'Input|Reported opex'!J66,0)</f>
        <v>0</v>
      </c>
      <c r="K49" s="109">
        <f>IF(YEAR(K$4)=PPLastYear,'Input|Reported opex'!K66,0)</f>
        <v>0</v>
      </c>
      <c r="L49" s="109">
        <f>IF(YEAR(L$4)=PPLastYear,'Input|Reported opex'!L66,0)</f>
        <v>0</v>
      </c>
      <c r="M49" s="109">
        <f>IF(YEAR(M$4)=PPLastYear,'Input|Reported opex'!M66,0)</f>
        <v>0</v>
      </c>
      <c r="N49" s="109">
        <f>IF(YEAR(N$4)=PPLastYear,'Input|Reported opex'!N66,0)</f>
        <v>0</v>
      </c>
      <c r="O49" s="109">
        <f>IF(YEAR(O$4)=PPLastYear,'Input|Reported opex'!O66,0)</f>
        <v>0</v>
      </c>
      <c r="P49" s="109">
        <f>IF(YEAR(P$4)=PPLastYear,'Input|Reported opex'!P66,0)</f>
        <v>0</v>
      </c>
      <c r="Q49" s="109">
        <f>IF(YEAR(Q$4)=PPLastYear,'Input|Reported opex'!Q66,0)</f>
        <v>0</v>
      </c>
      <c r="R49" s="109">
        <f>IF(YEAR(R$4)=PPLastYear,'Input|Reported opex'!R66,0)</f>
        <v>0</v>
      </c>
      <c r="S49" s="109">
        <f>IF(YEAR(S$4)=PPLastYear,'Input|Reported opex'!S66,0)</f>
        <v>0</v>
      </c>
    </row>
    <row r="50" spans="1:47" outlineLevel="1">
      <c r="C50" s="123" t="str">
        <f>C49</f>
        <v>Adjustment 5</v>
      </c>
      <c r="D50" s="110" t="s">
        <v>30</v>
      </c>
      <c r="E50" s="30" t="str">
        <f>$E$8</f>
        <v>$millions</v>
      </c>
      <c r="F50" s="161">
        <f>$F$8</f>
        <v>43983</v>
      </c>
      <c r="J50" s="115">
        <f>J49*IF($F49="nominal",LOOKUP($F50,Nominal_to_Real,'Input|Rate of change'!K$25:K$30),INDEX('Input|Rate of change'!$C$14:$O$21,MATCH('Calc|Opex forecast'!$F49,'Input|Rate of change'!$C$14:$C$21,0),MATCH('Calc|Opex forecast'!$F50,'Input|Rate of change'!$C$14:$O$14,0)))*IF($E49="$millions",1000000,IF($E49="$000",1000,1))/IF($E50="$millions",1000000,IF($E50="$000",1000,1))</f>
        <v>0</v>
      </c>
      <c r="K50" s="115">
        <f>K49*IF($F49="nominal",LOOKUP($F50,Nominal_to_Real,'Input|Rate of change'!L$25:L$30),INDEX('Input|Rate of change'!$C$14:$O$21,MATCH('Calc|Opex forecast'!$F49,'Input|Rate of change'!$C$14:$C$21,0),MATCH('Calc|Opex forecast'!$F50,'Input|Rate of change'!$C$14:$O$14,0)))*IF($E49="$millions",1000000,IF($E49="$000",1000,1))/IF($E50="$millions",1000000,IF($E50="$000",1000,1))</f>
        <v>0</v>
      </c>
      <c r="L50" s="115">
        <f>L49*IF($F49="nominal",LOOKUP($F50,Nominal_to_Real,'Input|Rate of change'!M$25:M$30),INDEX('Input|Rate of change'!$C$14:$O$21,MATCH('Calc|Opex forecast'!$F49,'Input|Rate of change'!$C$14:$C$21,0),MATCH('Calc|Opex forecast'!$F50,'Input|Rate of change'!$C$14:$O$14,0)))*IF($E49="$millions",1000000,IF($E49="$000",1000,1))/IF($E50="$millions",1000000,IF($E50="$000",1000,1))</f>
        <v>0</v>
      </c>
      <c r="M50" s="115">
        <f>M49*IF($F49="nominal",LOOKUP($F50,Nominal_to_Real,'Input|Rate of change'!N$25:N$30),INDEX('Input|Rate of change'!$C$14:$O$21,MATCH('Calc|Opex forecast'!$F49,'Input|Rate of change'!$C$14:$C$21,0),MATCH('Calc|Opex forecast'!$F50,'Input|Rate of change'!$C$14:$O$14,0)))*IF($E49="$millions",1000000,IF($E49="$000",1000,1))/IF($E50="$millions",1000000,IF($E50="$000",1000,1))</f>
        <v>0</v>
      </c>
      <c r="N50" s="153">
        <f>N49*IF($F49="nominal",LOOKUP($F50,Nominal_to_Real,'Input|Rate of change'!O$25:O$30),INDEX('Input|Rate of change'!$C$14:$O$21,MATCH('Calc|Opex forecast'!$F49,'Input|Rate of change'!$C$14:$C$21,0),MATCH('Calc|Opex forecast'!$F50,'Input|Rate of change'!$C$14:$O$14,0)))*IF($E49="$millions",1000000,IF($E49="$000",1000,1))/IF($E50="$millions",1000000,IF($E50="$000",1000,1))</f>
        <v>0</v>
      </c>
      <c r="O50" s="115">
        <f>O49*IF($F49="nominal",LOOKUP($F50,Nominal_to_Real,'Input|Rate of change'!P$25:P$30),INDEX('Input|Rate of change'!$C$14:$O$21,MATCH('Calc|Opex forecast'!$F49,'Input|Rate of change'!$C$14:$C$21,0),MATCH('Calc|Opex forecast'!$F50,'Input|Rate of change'!$C$14:$O$14,0)))*IF($E49="$millions",1000000,IF($E49="$000",1000,1))/IF($E50="$millions",1000000,IF($E50="$000",1000,1))</f>
        <v>0</v>
      </c>
      <c r="P50" s="115">
        <f>P49*IF($F49="nominal",LOOKUP($F50,Nominal_to_Real,'Input|Rate of change'!Q$25:Q$30),INDEX('Input|Rate of change'!$C$14:$O$21,MATCH('Calc|Opex forecast'!$F49,'Input|Rate of change'!$C$14:$C$21,0),MATCH('Calc|Opex forecast'!$F50,'Input|Rate of change'!$C$14:$O$14,0)))*IF($E49="$millions",1000000,IF($E49="$000",1000,1))/IF($E50="$millions",1000000,IF($E50="$000",1000,1))</f>
        <v>0</v>
      </c>
      <c r="Q50" s="115">
        <f>Q49*IF($F49="nominal",LOOKUP($F50,Nominal_to_Real,'Input|Rate of change'!R$25:R$30),INDEX('Input|Rate of change'!$C$14:$O$21,MATCH('Calc|Opex forecast'!$F49,'Input|Rate of change'!$C$14:$C$21,0),MATCH('Calc|Opex forecast'!$F50,'Input|Rate of change'!$C$14:$O$14,0)))*IF($E49="$millions",1000000,IF($E49="$000",1000,1))/IF($E50="$millions",1000000,IF($E50="$000",1000,1))</f>
        <v>0</v>
      </c>
      <c r="R50" s="115">
        <f>R49*IF($F49="nominal",LOOKUP($F50,Nominal_to_Real,'Input|Rate of change'!S$25:S$30),INDEX('Input|Rate of change'!$C$14:$O$21,MATCH('Calc|Opex forecast'!$F49,'Input|Rate of change'!$C$14:$C$21,0),MATCH('Calc|Opex forecast'!$F50,'Input|Rate of change'!$C$14:$O$14,0)))*IF($E49="$millions",1000000,IF($E49="$000",1000,1))/IF($E50="$millions",1000000,IF($E50="$000",1000,1))</f>
        <v>0</v>
      </c>
      <c r="S50" s="115">
        <f>S49*IF($F49="nominal",LOOKUP($F50,Nominal_to_Real,'Input|Rate of change'!T$25:T$30),INDEX('Input|Rate of change'!$C$14:$O$21,MATCH('Calc|Opex forecast'!$F49,'Input|Rate of change'!$C$14:$C$21,0),MATCH('Calc|Opex forecast'!$F50,'Input|Rate of change'!$C$14:$O$14,0)))*IF($E49="$millions",1000000,IF($E49="$000",1000,1))/IF($E50="$millions",1000000,IF($E50="$000",1000,1))</f>
        <v>0</v>
      </c>
    </row>
    <row r="51" spans="1:47" outlineLevel="1">
      <c r="C51" s="123"/>
      <c r="D51" s="110"/>
      <c r="E51" s="110"/>
      <c r="F51" s="161"/>
      <c r="J51" s="115"/>
      <c r="K51" s="115"/>
      <c r="L51" s="115"/>
      <c r="M51" s="115"/>
      <c r="N51" s="115"/>
      <c r="O51" s="115"/>
      <c r="P51" s="115"/>
      <c r="Q51" s="115"/>
      <c r="R51" s="115"/>
      <c r="S51" s="115"/>
    </row>
    <row r="52" spans="1:47" outlineLevel="1">
      <c r="C52" s="123" t="s">
        <v>93</v>
      </c>
      <c r="D52" s="110" t="s">
        <v>103</v>
      </c>
      <c r="E52" s="110" t="str">
        <f>$E$8</f>
        <v>$millions</v>
      </c>
      <c r="F52" s="161">
        <f>$F$8</f>
        <v>43983</v>
      </c>
      <c r="J52" s="115">
        <f>SUM(J33,J38,J41,J44,J47,J50)*'Input|Reported opex'!J70</f>
        <v>0</v>
      </c>
      <c r="K52" s="115">
        <f>SUM(K33,K38,K41,K44,K47,K50)*'Input|Reported opex'!K70</f>
        <v>0</v>
      </c>
      <c r="L52" s="115">
        <f>SUM(L33,L38,L41,L44,L47,L50)*'Input|Reported opex'!L70</f>
        <v>0</v>
      </c>
      <c r="M52" s="115">
        <f>SUM(M33,M38,M41,M44,M47,M50)*'Input|Reported opex'!M70</f>
        <v>0</v>
      </c>
      <c r="N52" s="115">
        <f>SUM(N33,N38,N41,N44,N47,N50)*'Input|Reported opex'!N70</f>
        <v>0</v>
      </c>
      <c r="O52" s="115">
        <f>SUM(O33,O38,O41,O44,O47,O50)*'Input|Reported opex'!O70</f>
        <v>0</v>
      </c>
      <c r="P52" s="115">
        <f>SUM(P33,P38,P41,P44,P47,P50)*'Input|Reported opex'!P70</f>
        <v>0</v>
      </c>
      <c r="Q52" s="115">
        <f>SUM(Q33,Q38,Q41,Q44,Q47,Q50)*'Input|Reported opex'!Q70</f>
        <v>0</v>
      </c>
      <c r="R52" s="115">
        <f>SUM(R33,R38,R41,R44,R47,R50)*'Input|Reported opex'!R70</f>
        <v>0</v>
      </c>
      <c r="S52" s="115">
        <f>SUM(S33,S38,S41,S44,S47,S50)*'Input|Reported opex'!S70</f>
        <v>0</v>
      </c>
    </row>
    <row r="53" spans="1:47" outlineLevel="1">
      <c r="C53" s="123"/>
      <c r="D53" s="110"/>
      <c r="E53" s="110"/>
      <c r="F53" s="161"/>
      <c r="J53" s="115"/>
      <c r="K53" s="115"/>
      <c r="L53" s="115"/>
      <c r="M53" s="115"/>
      <c r="N53" s="115"/>
      <c r="O53" s="115"/>
      <c r="P53" s="115"/>
      <c r="Q53" s="115"/>
      <c r="R53" s="115"/>
      <c r="S53" s="115"/>
    </row>
    <row r="54" spans="1:47" outlineLevel="1">
      <c r="C54" s="179" t="s">
        <v>175</v>
      </c>
      <c r="D54" s="112" t="s">
        <v>103</v>
      </c>
      <c r="E54" s="112" t="str">
        <f>$E$8</f>
        <v>$millions</v>
      </c>
      <c r="F54" s="180">
        <f>$F$8</f>
        <v>43983</v>
      </c>
      <c r="J54" s="178">
        <f>SUM(J33,J35,J38,J41,J44,J47,J50,J52)</f>
        <v>0</v>
      </c>
      <c r="K54" s="178">
        <f t="shared" ref="K54:S54" si="5">SUM(K33,K35,K38,K41,K44,K47,K50,K52)</f>
        <v>0</v>
      </c>
      <c r="L54" s="178">
        <f t="shared" si="5"/>
        <v>0</v>
      </c>
      <c r="M54" s="178">
        <f t="shared" si="5"/>
        <v>0</v>
      </c>
      <c r="N54" s="178">
        <f t="shared" si="5"/>
        <v>367.36210455873817</v>
      </c>
      <c r="O54" s="178">
        <f t="shared" si="5"/>
        <v>0</v>
      </c>
      <c r="P54" s="178">
        <f t="shared" si="5"/>
        <v>0</v>
      </c>
      <c r="Q54" s="178">
        <f t="shared" si="5"/>
        <v>0</v>
      </c>
      <c r="R54" s="178">
        <f t="shared" si="5"/>
        <v>0</v>
      </c>
      <c r="S54" s="178">
        <f t="shared" si="5"/>
        <v>0</v>
      </c>
    </row>
    <row r="55" spans="1:47">
      <c r="J55" s="107"/>
      <c r="K55" s="107"/>
      <c r="L55" s="107"/>
    </row>
    <row r="56" spans="1:47" s="103" customFormat="1" ht="12.75">
      <c r="A56" s="94"/>
      <c r="B56" s="95" t="s">
        <v>91</v>
      </c>
      <c r="C56" s="94"/>
      <c r="D56" s="94"/>
      <c r="E56" s="94"/>
      <c r="F56" s="96"/>
      <c r="G56" s="96"/>
      <c r="H56" s="96"/>
      <c r="I56" s="96"/>
      <c r="J56" s="97"/>
      <c r="K56" s="98"/>
      <c r="L56" s="97"/>
      <c r="M56" s="98"/>
      <c r="N56" s="97"/>
      <c r="O56" s="97"/>
      <c r="P56" s="97"/>
      <c r="Q56" s="97"/>
      <c r="R56" s="97"/>
      <c r="S56" s="97"/>
      <c r="T56" s="97"/>
      <c r="U56" s="97"/>
      <c r="V56" s="98"/>
      <c r="W56" s="98"/>
      <c r="X56" s="99"/>
      <c r="Y56" s="99"/>
      <c r="Z56" s="99"/>
      <c r="AA56" s="99"/>
      <c r="AB56" s="100"/>
      <c r="AC56" s="101"/>
      <c r="AD56" s="101"/>
      <c r="AE56" s="102"/>
      <c r="AF56" s="102"/>
      <c r="AG56" s="102"/>
      <c r="AH56" s="102"/>
      <c r="AI56" s="102"/>
      <c r="AJ56" s="102"/>
      <c r="AK56" s="102"/>
      <c r="AL56" s="102"/>
      <c r="AM56" s="102"/>
      <c r="AN56" s="102"/>
      <c r="AO56" s="102"/>
      <c r="AP56" s="102"/>
      <c r="AQ56" s="102"/>
      <c r="AR56" s="102"/>
      <c r="AS56" s="102"/>
      <c r="AT56" s="102"/>
      <c r="AU56" s="102"/>
    </row>
    <row r="57" spans="1:47" outlineLevel="1">
      <c r="J57" s="107"/>
      <c r="K57" s="107"/>
      <c r="L57" s="107"/>
      <c r="M57" s="107"/>
      <c r="N57" s="107"/>
      <c r="O57" s="107"/>
      <c r="P57" s="107"/>
      <c r="Q57" s="107"/>
      <c r="R57" s="107"/>
      <c r="S57" s="107"/>
    </row>
    <row r="58" spans="1:47" outlineLevel="1">
      <c r="C58" s="67" t="s">
        <v>42</v>
      </c>
      <c r="D58" s="32" t="s">
        <v>7</v>
      </c>
      <c r="E58" s="32" t="s">
        <v>8</v>
      </c>
      <c r="F58" s="32" t="s">
        <v>22</v>
      </c>
      <c r="J58" s="163" t="str">
        <f>IF(YEAR(J$4)&gt;='Input|General'!$G$13,IF(YEAR(J$4)&lt;='Input|General'!$G$14,J$4,""),"")</f>
        <v/>
      </c>
      <c r="K58" s="163" t="str">
        <f>IF(YEAR(K$4)&gt;='Input|General'!$G$13,IF(YEAR(K$4)&lt;='Input|General'!$G$14,K$4,""),"")</f>
        <v/>
      </c>
      <c r="L58" s="163" t="str">
        <f>IF(YEAR(L$4)&gt;='Input|General'!$G$13,IF(YEAR(L$4)&lt;='Input|General'!$G$14,L$4,""),"")</f>
        <v/>
      </c>
      <c r="M58" s="163" t="str">
        <f>IF(YEAR(M$4)&gt;='Input|General'!$G$13,IF(YEAR(M$4)&lt;='Input|General'!$G$14,M$4,""),"")</f>
        <v/>
      </c>
      <c r="N58" s="163" t="str">
        <f>IF(YEAR(N$4)&gt;='Input|General'!$G$13,IF(YEAR(N$4)&lt;='Input|General'!$G$14,N$4,""),"")</f>
        <v/>
      </c>
      <c r="O58" s="163">
        <f>IF(YEAR(O$4)&gt;='Input|General'!$G$13,IF(YEAR(O$4)&lt;='Input|General'!$G$14,O$4,""),"")</f>
        <v>44348</v>
      </c>
      <c r="P58" s="163">
        <f>IF(YEAR(P$4)&gt;='Input|General'!$G$13,IF(YEAR(P$4)&lt;='Input|General'!$G$14,P$4,""),"")</f>
        <v>44713</v>
      </c>
      <c r="Q58" s="163">
        <f>IF(YEAR(Q$4)&gt;='Input|General'!$G$13,IF(YEAR(Q$4)&lt;='Input|General'!$G$14,Q$4,""),"")</f>
        <v>45078</v>
      </c>
      <c r="R58" s="163">
        <f>IF(YEAR(R$4)&gt;='Input|General'!$G$13,IF(YEAR(R$4)&lt;='Input|General'!$G$14,R$4,""),"")</f>
        <v>45444</v>
      </c>
      <c r="S58" s="163">
        <f>IF(YEAR(S$4)&gt;='Input|General'!$G$13,IF(YEAR(S$4)&lt;='Input|General'!$G$14,S$4,""),"")</f>
        <v>45809</v>
      </c>
    </row>
    <row r="59" spans="1:47" outlineLevel="1">
      <c r="C59" s="67"/>
      <c r="J59" s="107"/>
      <c r="K59" s="107"/>
      <c r="L59" s="107"/>
      <c r="M59" s="107"/>
      <c r="N59" s="107"/>
      <c r="O59" s="107"/>
      <c r="P59" s="107"/>
      <c r="Q59" s="107"/>
      <c r="R59" s="107"/>
      <c r="S59" s="107"/>
    </row>
    <row r="60" spans="1:47" outlineLevel="1">
      <c r="B60" s="67"/>
      <c r="C60" s="116"/>
      <c r="J60" s="107"/>
      <c r="K60" s="107"/>
      <c r="L60" s="107"/>
      <c r="M60" s="107"/>
      <c r="N60" s="107"/>
      <c r="O60" s="107"/>
      <c r="P60" s="107"/>
      <c r="Q60" s="107"/>
      <c r="R60" s="107"/>
      <c r="S60" s="107"/>
    </row>
    <row r="61" spans="1:47" outlineLevel="1">
      <c r="C61" s="111" t="s">
        <v>111</v>
      </c>
      <c r="D61" s="110" t="s">
        <v>30</v>
      </c>
      <c r="E61" s="30" t="s">
        <v>31</v>
      </c>
      <c r="F61" s="30" t="s">
        <v>36</v>
      </c>
      <c r="J61" s="117"/>
      <c r="K61" s="117"/>
      <c r="L61" s="117"/>
      <c r="M61" s="117"/>
      <c r="N61" s="117"/>
      <c r="O61" s="117">
        <f>IF(O58=O4,AVERAGE('Input|Rate of change'!P95:P98),0)</f>
        <v>1.1682928381943153E-2</v>
      </c>
      <c r="P61" s="117">
        <f>IF(P58=P4,AVERAGE('Input|Rate of change'!Q95:Q98),0)</f>
        <v>1.0937283129819505E-2</v>
      </c>
      <c r="Q61" s="117">
        <f>IF(Q58=Q4,AVERAGE('Input|Rate of change'!R95:R98),0)</f>
        <v>1.0369235368432692E-2</v>
      </c>
      <c r="R61" s="117">
        <f>IF(R58=R4,AVERAGE('Input|Rate of change'!S95:S98),0)</f>
        <v>9.9876523310531845E-3</v>
      </c>
      <c r="S61" s="117">
        <f>IF(S58=S4,AVERAGE('Input|Rate of change'!T95:T98),0)</f>
        <v>1.0962840398262298E-2</v>
      </c>
      <c r="U61" s="217"/>
    </row>
    <row r="62" spans="1:47" outlineLevel="1">
      <c r="J62" s="117"/>
      <c r="K62" s="117"/>
      <c r="L62" s="117"/>
      <c r="M62" s="117"/>
      <c r="N62" s="117"/>
      <c r="O62" s="117"/>
      <c r="P62" s="117"/>
      <c r="Q62" s="117"/>
      <c r="R62" s="117"/>
      <c r="S62" s="117"/>
      <c r="U62" s="217"/>
    </row>
    <row r="63" spans="1:47" outlineLevel="1">
      <c r="C63" s="111" t="s">
        <v>84</v>
      </c>
      <c r="D63" s="110" t="s">
        <v>30</v>
      </c>
      <c r="E63" s="30" t="s">
        <v>31</v>
      </c>
      <c r="F63" s="30" t="s">
        <v>36</v>
      </c>
      <c r="J63" s="117">
        <f>SUMPRODUCT('Input|Rate of change'!K36:K43,'Input|Rate of change'!K49:K56)</f>
        <v>0</v>
      </c>
      <c r="K63" s="117">
        <f>SUMPRODUCT('Input|Rate of change'!L36:L43,'Input|Rate of change'!L49:L56)</f>
        <v>0</v>
      </c>
      <c r="L63" s="117">
        <f>SUMPRODUCT('Input|Rate of change'!M36:M43,'Input|Rate of change'!M49:M56)</f>
        <v>0</v>
      </c>
      <c r="M63" s="117">
        <f>SUMPRODUCT('Input|Rate of change'!N36:N43,'Input|Rate of change'!N49:N56)</f>
        <v>0</v>
      </c>
      <c r="N63" s="117">
        <f>SUMPRODUCT('Input|Rate of change'!O36:O43,'Input|Rate of change'!O49:O56)</f>
        <v>0</v>
      </c>
      <c r="O63" s="117">
        <f>SUMPRODUCT('Input|Rate of change'!P36:P43,'Input|Rate of change'!P49:P56)</f>
        <v>4.0889259721677007E-3</v>
      </c>
      <c r="P63" s="117">
        <f>SUMPRODUCT('Input|Rate of change'!Q36:Q43,'Input|Rate of change'!Q49:Q56)</f>
        <v>5.1596090343557863E-3</v>
      </c>
      <c r="Q63" s="117">
        <f>SUMPRODUCT('Input|Rate of change'!R36:R43,'Input|Rate of change'!R49:R56)</f>
        <v>5.4457817030973228E-3</v>
      </c>
      <c r="R63" s="117">
        <f>SUMPRODUCT('Input|Rate of change'!S36:S43,'Input|Rate of change'!S49:S56)</f>
        <v>5.6029336537638851E-3</v>
      </c>
      <c r="S63" s="117">
        <f>SUMPRODUCT('Input|Rate of change'!T36:T43,'Input|Rate of change'!T49:T56)</f>
        <v>4.174241219462374E-3</v>
      </c>
      <c r="U63" s="217"/>
    </row>
    <row r="64" spans="1:47" outlineLevel="1">
      <c r="C64" s="111"/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U64" s="217"/>
    </row>
    <row r="65" spans="1:47" outlineLevel="1">
      <c r="C65" s="111" t="s">
        <v>107</v>
      </c>
      <c r="D65" s="110" t="s">
        <v>30</v>
      </c>
      <c r="E65" s="30" t="s">
        <v>31</v>
      </c>
      <c r="F65" s="30" t="s">
        <v>36</v>
      </c>
      <c r="J65" s="117">
        <f>'Input|Rate of change'!K104</f>
        <v>0</v>
      </c>
      <c r="K65" s="117">
        <f>'Input|Rate of change'!L104</f>
        <v>0</v>
      </c>
      <c r="L65" s="117">
        <f>'Input|Rate of change'!M104</f>
        <v>0</v>
      </c>
      <c r="M65" s="117">
        <f>'Input|Rate of change'!N104</f>
        <v>0</v>
      </c>
      <c r="N65" s="117">
        <f>'Input|Rate of change'!O104</f>
        <v>0</v>
      </c>
      <c r="O65" s="117">
        <f>'Input|Rate of change'!P104</f>
        <v>5.0000000000000001E-3</v>
      </c>
      <c r="P65" s="117">
        <f>'Input|Rate of change'!Q104</f>
        <v>5.0000000000000001E-3</v>
      </c>
      <c r="Q65" s="117">
        <f>'Input|Rate of change'!R104</f>
        <v>5.0000000000000001E-3</v>
      </c>
      <c r="R65" s="117">
        <f>'Input|Rate of change'!S104</f>
        <v>5.0000000000000001E-3</v>
      </c>
      <c r="S65" s="117">
        <f>'Input|Rate of change'!T104</f>
        <v>5.0000000000000001E-3</v>
      </c>
      <c r="U65" s="217"/>
    </row>
    <row r="66" spans="1:47" outlineLevel="1">
      <c r="C66" s="111"/>
      <c r="J66" s="174"/>
      <c r="K66" s="174"/>
      <c r="L66" s="174"/>
      <c r="M66" s="174"/>
      <c r="N66" s="174"/>
      <c r="O66" s="174"/>
      <c r="P66" s="174"/>
      <c r="Q66" s="174"/>
      <c r="R66" s="174"/>
      <c r="S66" s="174"/>
    </row>
    <row r="67" spans="1:47" outlineLevel="1">
      <c r="C67" s="118" t="s">
        <v>145</v>
      </c>
      <c r="D67" s="114" t="s">
        <v>30</v>
      </c>
      <c r="E67" s="114" t="s">
        <v>31</v>
      </c>
      <c r="F67" s="114" t="s">
        <v>36</v>
      </c>
      <c r="J67" s="143">
        <f>(1+J61)*(1+J63)*(1-J65)-1</f>
        <v>0</v>
      </c>
      <c r="K67" s="143">
        <f t="shared" ref="K67:S67" si="6">(1+K61)*(1+K63)*(1-K65)-1</f>
        <v>0</v>
      </c>
      <c r="L67" s="143">
        <f t="shared" si="6"/>
        <v>0</v>
      </c>
      <c r="M67" s="143">
        <f t="shared" si="6"/>
        <v>0</v>
      </c>
      <c r="N67" s="143">
        <f t="shared" si="6"/>
        <v>0</v>
      </c>
      <c r="O67" s="143">
        <f t="shared" si="6"/>
        <v>1.0740526858485699E-2</v>
      </c>
      <c r="P67" s="143">
        <f t="shared" si="6"/>
        <v>1.1072557647678227E-2</v>
      </c>
      <c r="Q67" s="143">
        <f t="shared" si="6"/>
        <v>1.0792128235455722E-2</v>
      </c>
      <c r="R67" s="143">
        <f t="shared" si="6"/>
        <v>1.056831340749409E-2</v>
      </c>
      <c r="S67" s="143">
        <f t="shared" si="6"/>
        <v>1.0106928942207549E-2</v>
      </c>
      <c r="U67" s="217"/>
    </row>
    <row r="68" spans="1:47" outlineLevel="1">
      <c r="C68" s="124" t="s">
        <v>146</v>
      </c>
      <c r="D68" s="110" t="s">
        <v>30</v>
      </c>
      <c r="E68" s="30" t="s">
        <v>31</v>
      </c>
      <c r="F68" s="30" t="s">
        <v>36</v>
      </c>
      <c r="J68" s="117" t="str">
        <f t="array" ref="J68">IF(J$58=J$4,PRODUCT(1+$J67:J67)-1,"")</f>
        <v/>
      </c>
      <c r="K68" s="117" t="str">
        <f t="array" ref="K68">IF(K$58=K$4,PRODUCT(1+$J67:K67)-1,"")</f>
        <v/>
      </c>
      <c r="L68" s="117" t="str">
        <f t="array" ref="L68">IF(L$58=L$4,PRODUCT(1+$J67:L67)-1,"")</f>
        <v/>
      </c>
      <c r="M68" s="117" t="str">
        <f t="array" ref="M68">IF(M$58=M$4,PRODUCT(1+$J67:M67)-1,"")</f>
        <v/>
      </c>
      <c r="N68" s="117" t="str">
        <f t="array" ref="N68">IF(N$58=N$4,PRODUCT(1+$J67:N67)-1,"")</f>
        <v/>
      </c>
      <c r="O68" s="117">
        <f t="array" ref="O68">IF(O$58=O$4,PRODUCT(1+$J67:O67)-1,"")</f>
        <v>1.0740526858485699E-2</v>
      </c>
      <c r="P68" s="117">
        <f t="array" ref="P68">IF(P$58=P$4,PRODUCT(1+$J67:P67)-1,"")</f>
        <v>2.1932009608971015E-2</v>
      </c>
      <c r="Q68" s="117">
        <f t="array" ref="Q68">IF(Q$58=Q$4,PRODUCT(1+$J67:Q67)-1,"")</f>
        <v>3.2960830904587901E-2</v>
      </c>
      <c r="R68" s="117">
        <f t="array" ref="R68">IF(R$58=R$4,PRODUCT(1+$J67:R67)-1,"")</f>
        <v>4.3877484703253034E-2</v>
      </c>
      <c r="S68" s="117">
        <f t="array" ref="S68">IF(S$58=S$4,PRODUCT(1+$J67:S67)-1,"")</f>
        <v>5.4427880265519146E-2</v>
      </c>
    </row>
    <row r="69" spans="1:47">
      <c r="J69" s="107"/>
      <c r="K69" s="107"/>
      <c r="L69" s="107"/>
      <c r="M69" s="107"/>
      <c r="N69" s="107"/>
      <c r="O69" s="119"/>
      <c r="P69" s="119"/>
      <c r="Q69" s="119"/>
      <c r="R69" s="119"/>
      <c r="S69" s="119"/>
    </row>
    <row r="70" spans="1:47" s="103" customFormat="1" ht="12.75">
      <c r="A70" s="94"/>
      <c r="B70" s="95" t="s">
        <v>94</v>
      </c>
      <c r="C70" s="94"/>
      <c r="D70" s="94"/>
      <c r="E70" s="94"/>
      <c r="F70" s="96"/>
      <c r="G70" s="96"/>
      <c r="H70" s="96"/>
      <c r="I70" s="96"/>
      <c r="J70" s="97"/>
      <c r="K70" s="98"/>
      <c r="L70" s="97"/>
      <c r="M70" s="98"/>
      <c r="N70" s="97"/>
      <c r="O70" s="97"/>
      <c r="P70" s="97"/>
      <c r="Q70" s="97"/>
      <c r="R70" s="97"/>
      <c r="S70" s="97"/>
      <c r="T70" s="97"/>
      <c r="U70" s="97"/>
      <c r="V70" s="98"/>
      <c r="W70" s="98"/>
      <c r="X70" s="99"/>
      <c r="Y70" s="99"/>
      <c r="Z70" s="99"/>
      <c r="AA70" s="99"/>
      <c r="AB70" s="100"/>
      <c r="AC70" s="101"/>
      <c r="AD70" s="101"/>
      <c r="AE70" s="102"/>
      <c r="AF70" s="102"/>
      <c r="AG70" s="102"/>
      <c r="AH70" s="102"/>
      <c r="AI70" s="102"/>
      <c r="AJ70" s="102"/>
      <c r="AK70" s="102"/>
      <c r="AL70" s="102"/>
      <c r="AM70" s="102"/>
      <c r="AN70" s="102"/>
      <c r="AO70" s="102"/>
      <c r="AP70" s="102"/>
      <c r="AQ70" s="102"/>
      <c r="AR70" s="102"/>
      <c r="AS70" s="102"/>
      <c r="AT70" s="102"/>
      <c r="AU70" s="102"/>
    </row>
    <row r="71" spans="1:47" outlineLevel="1">
      <c r="C71" s="106"/>
      <c r="J71" s="107"/>
      <c r="K71" s="107"/>
      <c r="L71" s="107"/>
    </row>
    <row r="72" spans="1:47" outlineLevel="1">
      <c r="C72" s="67" t="s">
        <v>108</v>
      </c>
      <c r="D72" s="32" t="s">
        <v>7</v>
      </c>
      <c r="E72" s="32" t="s">
        <v>8</v>
      </c>
      <c r="F72" s="32" t="s">
        <v>22</v>
      </c>
      <c r="J72" s="163" t="str">
        <f>IF(YEAR(J$4)&gt;='Input|General'!$G$13,IF(YEAR(J$4)&lt;='Input|General'!$G$14,J$4,""),"")</f>
        <v/>
      </c>
      <c r="K72" s="163" t="str">
        <f>IF(YEAR(K$4)&gt;='Input|General'!$G$13,IF(YEAR(K$4)&lt;='Input|General'!$G$14,K$4,""),"")</f>
        <v/>
      </c>
      <c r="L72" s="163" t="str">
        <f>IF(YEAR(L$4)&gt;='Input|General'!$G$13,IF(YEAR(L$4)&lt;='Input|General'!$G$14,L$4,""),"")</f>
        <v/>
      </c>
      <c r="M72" s="163" t="str">
        <f>IF(YEAR(M$4)&gt;='Input|General'!$G$13,IF(YEAR(M$4)&lt;='Input|General'!$G$14,M$4,""),"")</f>
        <v/>
      </c>
      <c r="N72" s="163" t="str">
        <f>IF(YEAR(N$4)&gt;='Input|General'!$G$13,IF(YEAR(N$4)&lt;='Input|General'!$G$14,N$4,""),"")</f>
        <v/>
      </c>
      <c r="O72" s="163">
        <f>IF(YEAR(O$4)&gt;='Input|General'!$G$13,IF(YEAR(O$4)&lt;='Input|General'!$G$14,O$4,""),"")</f>
        <v>44348</v>
      </c>
      <c r="P72" s="163">
        <f>IF(YEAR(P$4)&gt;='Input|General'!$G$13,IF(YEAR(P$4)&lt;='Input|General'!$G$14,P$4,""),"")</f>
        <v>44713</v>
      </c>
      <c r="Q72" s="163">
        <f>IF(YEAR(Q$4)&gt;='Input|General'!$G$13,IF(YEAR(Q$4)&lt;='Input|General'!$G$14,Q$4,""),"")</f>
        <v>45078</v>
      </c>
      <c r="R72" s="163">
        <f>IF(YEAR(R$4)&gt;='Input|General'!$G$13,IF(YEAR(R$4)&lt;='Input|General'!$G$14,R$4,""),"")</f>
        <v>45444</v>
      </c>
      <c r="S72" s="163">
        <f>IF(YEAR(S$4)&gt;='Input|General'!$G$13,IF(YEAR(S$4)&lt;='Input|General'!$G$14,S$4,""),"")</f>
        <v>45809</v>
      </c>
    </row>
    <row r="73" spans="1:47" outlineLevel="1">
      <c r="C73" s="67"/>
      <c r="J73" s="120"/>
      <c r="K73" s="120"/>
      <c r="L73" s="120"/>
      <c r="M73" s="120"/>
      <c r="N73" s="120"/>
      <c r="O73" s="120"/>
      <c r="P73" s="120"/>
      <c r="Q73" s="120"/>
      <c r="R73" s="120"/>
      <c r="S73" s="120"/>
    </row>
    <row r="74" spans="1:47" outlineLevel="1">
      <c r="C74" s="121" t="str">
        <f>'Input|Step changes'!C12</f>
        <v>Business Benefits - Property</v>
      </c>
      <c r="D74" s="110" t="s">
        <v>30</v>
      </c>
      <c r="E74" s="30" t="str">
        <f t="shared" ref="E74:E92" si="7">$E$8</f>
        <v>$millions</v>
      </c>
      <c r="F74" s="161">
        <f t="shared" ref="F74:F84" si="8">$F$8</f>
        <v>43983</v>
      </c>
      <c r="J74" s="127">
        <f>'Input|Step changes'!J12*IF('Input|Step changes'!$F12="nominal",LOOKUP($F74,Nominal_to_Real,'Input|Rate of change'!N$25:N$30),INDEX('Input|Rate of change'!$C$14:$O$21,MATCH('Input|Step changes'!$F12,'Input|Rate of change'!$C$14:$C$21,0),MATCH('Calc|Opex forecast'!$F74,'Input|Rate of change'!$C$14:$O$14,0)))*IF('Input|Step changes'!$E12="$millions",1000000,IF('Input|Step changes'!$E12="$000",1000,1))/IF($E74="$millions",1000000,IF($E74="$000",1000,1))</f>
        <v>0</v>
      </c>
      <c r="K74" s="127">
        <f>'Input|Step changes'!K12*IF('Input|Step changes'!$F12="nominal",LOOKUP($F74,Nominal_to_Real,'Input|Rate of change'!O$25:O$30),INDEX('Input|Rate of change'!$C$14:$O$21,MATCH('Input|Step changes'!$F12,'Input|Rate of change'!$C$14:$C$21,0),MATCH('Calc|Opex forecast'!$F74,'Input|Rate of change'!$C$14:$O$14,0)))*IF('Input|Step changes'!$E12="$millions",1000000,IF('Input|Step changes'!$E12="$000",1000,1))/IF($E74="$millions",1000000,IF($E74="$000",1000,1))</f>
        <v>0</v>
      </c>
      <c r="L74" s="127">
        <f>'Input|Step changes'!L12*IF('Input|Step changes'!$F12="nominal",LOOKUP($F74,Nominal_to_Real,'Input|Rate of change'!P$25:P$30),INDEX('Input|Rate of change'!$C$14:$O$21,MATCH('Input|Step changes'!$F12,'Input|Rate of change'!$C$14:$C$21,0),MATCH('Calc|Opex forecast'!$F74,'Input|Rate of change'!$C$14:$O$14,0)))*IF('Input|Step changes'!$E12="$millions",1000000,IF('Input|Step changes'!$E12="$000",1000,1))/IF($E74="$millions",1000000,IF($E74="$000",1000,1))</f>
        <v>0</v>
      </c>
      <c r="M74" s="127">
        <f>'Input|Step changes'!M12*IF('Input|Step changes'!$F12="nominal",LOOKUP($F74,Nominal_to_Real,'Input|Rate of change'!Q$25:Q$30),INDEX('Input|Rate of change'!$C$14:$O$21,MATCH('Input|Step changes'!$F12,'Input|Rate of change'!$C$14:$C$21,0),MATCH('Calc|Opex forecast'!$F74,'Input|Rate of change'!$C$14:$O$14,0)))*IF('Input|Step changes'!$E12="$millions",1000000,IF('Input|Step changes'!$E12="$000",1000,1))/IF($E74="$millions",1000000,IF($E74="$000",1000,1))</f>
        <v>0</v>
      </c>
      <c r="N74" s="127">
        <f>'Input|Step changes'!N12*IF('Input|Step changes'!$F12="nominal",LOOKUP($F74,Nominal_to_Real,'Input|Rate of change'!R$25:R$30),INDEX('Input|Rate of change'!$C$14:$O$21,MATCH('Input|Step changes'!$F12,'Input|Rate of change'!$C$14:$C$21,0),MATCH('Calc|Opex forecast'!$F74,'Input|Rate of change'!$C$14:$O$14,0)))*IF('Input|Step changes'!$E12="$millions",1000000,IF('Input|Step changes'!$E12="$000",1000,1))/IF($E74="$millions",1000000,IF($E74="$000",1000,1))</f>
        <v>0</v>
      </c>
      <c r="O74" s="127">
        <f>'Input|Step changes'!O12*IF('Input|Step changes'!$F12="nominal",LOOKUP($F74,Nominal_to_Real,'Input|Rate of change'!S$25:S$30),INDEX('Input|Rate of change'!$C$14:$O$21,MATCH('Input|Step changes'!$F12,'Input|Rate of change'!$C$14:$C$21,0),MATCH('Calc|Opex forecast'!$F74,'Input|Rate of change'!$C$14:$O$14,0)))*IF('Input|Step changes'!$E12="$millions",1000000,IF('Input|Step changes'!$E12="$000",1000,1))/IF($E74="$millions",1000000,IF($E74="$000",1000,1))</f>
        <v>0</v>
      </c>
      <c r="P74" s="127">
        <f>'Input|Step changes'!P12*IF('Input|Step changes'!$F12="nominal",LOOKUP($F74,Nominal_to_Real,'Input|Rate of change'!T$25:T$30),INDEX('Input|Rate of change'!$C$14:$O$21,MATCH('Input|Step changes'!$F12,'Input|Rate of change'!$C$14:$C$21,0),MATCH('Calc|Opex forecast'!$F74,'Input|Rate of change'!$C$14:$O$14,0)))*IF('Input|Step changes'!$E12="$millions",1000000,IF('Input|Step changes'!$E12="$000",1000,1))/IF($E74="$millions",1000000,IF($E74="$000",1000,1))</f>
        <v>0</v>
      </c>
      <c r="Q74" s="127">
        <f>'Input|Step changes'!Q12*IF('Input|Step changes'!$F12="nominal",LOOKUP($F74,Nominal_to_Real,'Input|Rate of change'!U$25:U$30),INDEX('Input|Rate of change'!$C$14:$O$21,MATCH('Input|Step changes'!$F12,'Input|Rate of change'!$C$14:$C$21,0),MATCH('Calc|Opex forecast'!$F74,'Input|Rate of change'!$C$14:$O$14,0)))*IF('Input|Step changes'!$E12="$millions",1000000,IF('Input|Step changes'!$E12="$000",1000,1))/IF($E74="$millions",1000000,IF($E74="$000",1000,1))</f>
        <v>-0.17227945998150374</v>
      </c>
      <c r="R74" s="127">
        <f>'Input|Step changes'!R12*IF('Input|Step changes'!$F12="nominal",LOOKUP($F74,Nominal_to_Real,'Input|Rate of change'!V$25:V$30),INDEX('Input|Rate of change'!$C$14:$O$21,MATCH('Input|Step changes'!$F12,'Input|Rate of change'!$C$14:$C$21,0),MATCH('Calc|Opex forecast'!$F74,'Input|Rate of change'!$C$14:$O$14,0)))*IF('Input|Step changes'!$E12="$millions",1000000,IF('Input|Step changes'!$E12="$000",1000,1))/IF($E74="$millions",1000000,IF($E74="$000",1000,1))</f>
        <v>-0.89566601496420195</v>
      </c>
      <c r="S74" s="127">
        <f>'Input|Step changes'!S12*IF('Input|Step changes'!$F12="nominal",LOOKUP($F74,Nominal_to_Real,'Input|Rate of change'!W$25:W$30),INDEX('Input|Rate of change'!$C$14:$O$21,MATCH('Input|Step changes'!$F12,'Input|Rate of change'!$C$14:$C$21,0),MATCH('Calc|Opex forecast'!$F74,'Input|Rate of change'!$C$14:$O$14,0)))*IF('Input|Step changes'!$E12="$millions",1000000,IF('Input|Step changes'!$E12="$000",1000,1))/IF($E74="$millions",1000000,IF($E74="$000",1000,1))</f>
        <v>-0.88371799291941355</v>
      </c>
    </row>
    <row r="75" spans="1:47" outlineLevel="1">
      <c r="C75" s="121" t="str">
        <f>'Input|Step changes'!C13</f>
        <v>Business Benefits - ICT</v>
      </c>
      <c r="D75" s="110" t="s">
        <v>30</v>
      </c>
      <c r="E75" s="30" t="str">
        <f t="shared" si="7"/>
        <v>$millions</v>
      </c>
      <c r="F75" s="161">
        <f t="shared" si="8"/>
        <v>43983</v>
      </c>
      <c r="J75" s="127">
        <f>'Input|Step changes'!J13*IF('Input|Step changes'!$F13="nominal",LOOKUP($F75,Nominal_to_Real,'Input|Rate of change'!N$25:N$30),INDEX('Input|Rate of change'!$C$14:$O$21,MATCH('Input|Step changes'!$F13,'Input|Rate of change'!$C$14:$C$21,0),MATCH('Calc|Opex forecast'!$F75,'Input|Rate of change'!$C$14:$O$14,0)))*IF('Input|Step changes'!$E13="$millions",1000000,IF('Input|Step changes'!$E13="$000",1000,1))/IF($E75="$millions",1000000,IF($E75="$000",1000,1))</f>
        <v>0</v>
      </c>
      <c r="K75" s="127">
        <f>'Input|Step changes'!K13*IF('Input|Step changes'!$F13="nominal",LOOKUP($F75,Nominal_to_Real,'Input|Rate of change'!O$25:O$30),INDEX('Input|Rate of change'!$C$14:$O$21,MATCH('Input|Step changes'!$F13,'Input|Rate of change'!$C$14:$C$21,0),MATCH('Calc|Opex forecast'!$F75,'Input|Rate of change'!$C$14:$O$14,0)))*IF('Input|Step changes'!$E13="$millions",1000000,IF('Input|Step changes'!$E13="$000",1000,1))/IF($E75="$millions",1000000,IF($E75="$000",1000,1))</f>
        <v>0</v>
      </c>
      <c r="L75" s="127">
        <f>'Input|Step changes'!L13*IF('Input|Step changes'!$F13="nominal",LOOKUP($F75,Nominal_to_Real,'Input|Rate of change'!P$25:P$30),INDEX('Input|Rate of change'!$C$14:$O$21,MATCH('Input|Step changes'!$F13,'Input|Rate of change'!$C$14:$C$21,0),MATCH('Calc|Opex forecast'!$F75,'Input|Rate of change'!$C$14:$O$14,0)))*IF('Input|Step changes'!$E13="$millions",1000000,IF('Input|Step changes'!$E13="$000",1000,1))/IF($E75="$millions",1000000,IF($E75="$000",1000,1))</f>
        <v>0</v>
      </c>
      <c r="M75" s="127">
        <f>'Input|Step changes'!M13*IF('Input|Step changes'!$F13="nominal",LOOKUP($F75,Nominal_to_Real,'Input|Rate of change'!Q$25:Q$30),INDEX('Input|Rate of change'!$C$14:$O$21,MATCH('Input|Step changes'!$F13,'Input|Rate of change'!$C$14:$C$21,0),MATCH('Calc|Opex forecast'!$F75,'Input|Rate of change'!$C$14:$O$14,0)))*IF('Input|Step changes'!$E13="$millions",1000000,IF('Input|Step changes'!$E13="$000",1000,1))/IF($E75="$millions",1000000,IF($E75="$000",1000,1))</f>
        <v>0</v>
      </c>
      <c r="N75" s="127">
        <f>'Input|Step changes'!N13*IF('Input|Step changes'!$F13="nominal",LOOKUP($F75,Nominal_to_Real,'Input|Rate of change'!R$25:R$30),INDEX('Input|Rate of change'!$C$14:$O$21,MATCH('Input|Step changes'!$F13,'Input|Rate of change'!$C$14:$C$21,0),MATCH('Calc|Opex forecast'!$F75,'Input|Rate of change'!$C$14:$O$14,0)))*IF('Input|Step changes'!$E13="$millions",1000000,IF('Input|Step changes'!$E13="$000",1000,1))/IF($E75="$millions",1000000,IF($E75="$000",1000,1))</f>
        <v>0</v>
      </c>
      <c r="O75" s="127">
        <f>'Input|Step changes'!O13*IF('Input|Step changes'!$F13="nominal",LOOKUP($F75,Nominal_to_Real,'Input|Rate of change'!S$25:S$30),INDEX('Input|Rate of change'!$C$14:$O$21,MATCH('Input|Step changes'!$F13,'Input|Rate of change'!$C$14:$C$21,0),MATCH('Calc|Opex forecast'!$F75,'Input|Rate of change'!$C$14:$O$14,0)))*IF('Input|Step changes'!$E13="$millions",1000000,IF('Input|Step changes'!$E13="$000",1000,1))/IF($E75="$millions",1000000,IF($E75="$000",1000,1))</f>
        <v>0</v>
      </c>
      <c r="P75" s="127">
        <f>'Input|Step changes'!P13*IF('Input|Step changes'!$F13="nominal",LOOKUP($F75,Nominal_to_Real,'Input|Rate of change'!T$25:T$30),INDEX('Input|Rate of change'!$C$14:$O$21,MATCH('Input|Step changes'!$F13,'Input|Rate of change'!$C$14:$C$21,0),MATCH('Calc|Opex forecast'!$F75,'Input|Rate of change'!$C$14:$O$14,0)))*IF('Input|Step changes'!$E13="$millions",1000000,IF('Input|Step changes'!$E13="$000",1000,1))/IF($E75="$millions",1000000,IF($E75="$000",1000,1))</f>
        <v>-4.7199676405662722E-2</v>
      </c>
      <c r="Q75" s="127">
        <f>'Input|Step changes'!Q13*IF('Input|Step changes'!$F13="nominal",LOOKUP($F75,Nominal_to_Real,'Input|Rate of change'!U$25:U$30),INDEX('Input|Rate of change'!$C$14:$O$21,MATCH('Input|Step changes'!$F13,'Input|Rate of change'!$C$14:$C$21,0),MATCH('Calc|Opex forecast'!$F75,'Input|Rate of change'!$C$14:$O$14,0)))*IF('Input|Step changes'!$E13="$millions",1000000,IF('Input|Step changes'!$E13="$000",1000,1))/IF($E75="$millions",1000000,IF($E75="$000",1000,1))</f>
        <v>-1.0207177530025957</v>
      </c>
      <c r="R75" s="127">
        <f>'Input|Step changes'!R13*IF('Input|Step changes'!$F13="nominal",LOOKUP($F75,Nominal_to_Real,'Input|Rate of change'!V$25:V$30),INDEX('Input|Rate of change'!$C$14:$O$21,MATCH('Input|Step changes'!$F13,'Input|Rate of change'!$C$14:$C$21,0),MATCH('Calc|Opex forecast'!$F75,'Input|Rate of change'!$C$14:$O$14,0)))*IF('Input|Step changes'!$E13="$millions",1000000,IF('Input|Step changes'!$E13="$000",1000,1))/IF($E75="$millions",1000000,IF($E75="$000",1000,1))</f>
        <v>-2.5754067379235299</v>
      </c>
      <c r="S75" s="127">
        <f>'Input|Step changes'!S13*IF('Input|Step changes'!$F13="nominal",LOOKUP($F75,Nominal_to_Real,'Input|Rate of change'!W$25:W$30),INDEX('Input|Rate of change'!$C$14:$O$21,MATCH('Input|Step changes'!$F13,'Input|Rate of change'!$C$14:$C$21,0),MATCH('Calc|Opex forecast'!$F75,'Input|Rate of change'!$C$14:$O$14,0)))*IF('Input|Step changes'!$E13="$millions",1000000,IF('Input|Step changes'!$E13="$000",1000,1))/IF($E75="$millions",1000000,IF($E75="$000",1000,1))</f>
        <v>-3.5843243384838899</v>
      </c>
    </row>
    <row r="76" spans="1:47" outlineLevel="1">
      <c r="C76" s="121">
        <f>'Input|Step changes'!C14</f>
        <v>0</v>
      </c>
      <c r="D76" s="110" t="s">
        <v>30</v>
      </c>
      <c r="E76" s="30" t="str">
        <f t="shared" si="7"/>
        <v>$millions</v>
      </c>
      <c r="F76" s="161">
        <f t="shared" si="8"/>
        <v>43983</v>
      </c>
      <c r="J76" s="127">
        <f>'Input|Step changes'!J14*IF('Input|Step changes'!$F14="nominal",LOOKUP($F76,Nominal_to_Real,'Input|Rate of change'!N$25:N$30),INDEX('Input|Rate of change'!$C$14:$O$21,MATCH('Input|Step changes'!$F14,'Input|Rate of change'!$C$14:$C$21,0),MATCH('Calc|Opex forecast'!$F76,'Input|Rate of change'!$C$14:$O$14,0)))*IF('Input|Step changes'!$E14="$millions",1000000,IF('Input|Step changes'!$E14="$000",1000,1))/IF($E76="$millions",1000000,IF($E76="$000",1000,1))</f>
        <v>0</v>
      </c>
      <c r="K76" s="127">
        <f>'Input|Step changes'!K14*IF('Input|Step changes'!$F14="nominal",LOOKUP($F76,Nominal_to_Real,'Input|Rate of change'!O$25:O$30),INDEX('Input|Rate of change'!$C$14:$O$21,MATCH('Input|Step changes'!$F14,'Input|Rate of change'!$C$14:$C$21,0),MATCH('Calc|Opex forecast'!$F76,'Input|Rate of change'!$C$14:$O$14,0)))*IF('Input|Step changes'!$E14="$millions",1000000,IF('Input|Step changes'!$E14="$000",1000,1))/IF($E76="$millions",1000000,IF($E76="$000",1000,1))</f>
        <v>0</v>
      </c>
      <c r="L76" s="127">
        <f>'Input|Step changes'!L14*IF('Input|Step changes'!$F14="nominal",LOOKUP($F76,Nominal_to_Real,'Input|Rate of change'!P$25:P$30),INDEX('Input|Rate of change'!$C$14:$O$21,MATCH('Input|Step changes'!$F14,'Input|Rate of change'!$C$14:$C$21,0),MATCH('Calc|Opex forecast'!$F76,'Input|Rate of change'!$C$14:$O$14,0)))*IF('Input|Step changes'!$E14="$millions",1000000,IF('Input|Step changes'!$E14="$000",1000,1))/IF($E76="$millions",1000000,IF($E76="$000",1000,1))</f>
        <v>0</v>
      </c>
      <c r="M76" s="127">
        <f>'Input|Step changes'!M14*IF('Input|Step changes'!$F14="nominal",LOOKUP($F76,Nominal_to_Real,'Input|Rate of change'!Q$25:Q$30),INDEX('Input|Rate of change'!$C$14:$O$21,MATCH('Input|Step changes'!$F14,'Input|Rate of change'!$C$14:$C$21,0),MATCH('Calc|Opex forecast'!$F76,'Input|Rate of change'!$C$14:$O$14,0)))*IF('Input|Step changes'!$E14="$millions",1000000,IF('Input|Step changes'!$E14="$000",1000,1))/IF($E76="$millions",1000000,IF($E76="$000",1000,1))</f>
        <v>0</v>
      </c>
      <c r="N76" s="127">
        <f>'Input|Step changes'!N14*IF('Input|Step changes'!$F14="nominal",LOOKUP($F76,Nominal_to_Real,'Input|Rate of change'!R$25:R$30),INDEX('Input|Rate of change'!$C$14:$O$21,MATCH('Input|Step changes'!$F14,'Input|Rate of change'!$C$14:$C$21,0),MATCH('Calc|Opex forecast'!$F76,'Input|Rate of change'!$C$14:$O$14,0)))*IF('Input|Step changes'!$E14="$millions",1000000,IF('Input|Step changes'!$E14="$000",1000,1))/IF($E76="$millions",1000000,IF($E76="$000",1000,1))</f>
        <v>0</v>
      </c>
      <c r="O76" s="127">
        <f>'Input|Step changes'!O14*IF('Input|Step changes'!$F14="nominal",LOOKUP($F76,Nominal_to_Real,'Input|Rate of change'!S$25:S$30),INDEX('Input|Rate of change'!$C$14:$O$21,MATCH('Input|Step changes'!$F14,'Input|Rate of change'!$C$14:$C$21,0),MATCH('Calc|Opex forecast'!$F76,'Input|Rate of change'!$C$14:$O$14,0)))*IF('Input|Step changes'!$E14="$millions",1000000,IF('Input|Step changes'!$E14="$000",1000,1))/IF($E76="$millions",1000000,IF($E76="$000",1000,1))</f>
        <v>0</v>
      </c>
      <c r="P76" s="127">
        <f>'Input|Step changes'!P14*IF('Input|Step changes'!$F14="nominal",LOOKUP($F76,Nominal_to_Real,'Input|Rate of change'!T$25:T$30),INDEX('Input|Rate of change'!$C$14:$O$21,MATCH('Input|Step changes'!$F14,'Input|Rate of change'!$C$14:$C$21,0),MATCH('Calc|Opex forecast'!$F76,'Input|Rate of change'!$C$14:$O$14,0)))*IF('Input|Step changes'!$E14="$millions",1000000,IF('Input|Step changes'!$E14="$000",1000,1))/IF($E76="$millions",1000000,IF($E76="$000",1000,1))</f>
        <v>0</v>
      </c>
      <c r="Q76" s="127">
        <f>'Input|Step changes'!Q14*IF('Input|Step changes'!$F14="nominal",LOOKUP($F76,Nominal_to_Real,'Input|Rate of change'!U$25:U$30),INDEX('Input|Rate of change'!$C$14:$O$21,MATCH('Input|Step changes'!$F14,'Input|Rate of change'!$C$14:$C$21,0),MATCH('Calc|Opex forecast'!$F76,'Input|Rate of change'!$C$14:$O$14,0)))*IF('Input|Step changes'!$E14="$millions",1000000,IF('Input|Step changes'!$E14="$000",1000,1))/IF($E76="$millions",1000000,IF($E76="$000",1000,1))</f>
        <v>0</v>
      </c>
      <c r="R76" s="127">
        <f>'Input|Step changes'!R14*IF('Input|Step changes'!$F14="nominal",LOOKUP($F76,Nominal_to_Real,'Input|Rate of change'!V$25:V$30),INDEX('Input|Rate of change'!$C$14:$O$21,MATCH('Input|Step changes'!$F14,'Input|Rate of change'!$C$14:$C$21,0),MATCH('Calc|Opex forecast'!$F76,'Input|Rate of change'!$C$14:$O$14,0)))*IF('Input|Step changes'!$E14="$millions",1000000,IF('Input|Step changes'!$E14="$000",1000,1))/IF($E76="$millions",1000000,IF($E76="$000",1000,1))</f>
        <v>0</v>
      </c>
      <c r="S76" s="127">
        <f>'Input|Step changes'!S14*IF('Input|Step changes'!$F14="nominal",LOOKUP($F76,Nominal_to_Real,'Input|Rate of change'!W$25:W$30),INDEX('Input|Rate of change'!$C$14:$O$21,MATCH('Input|Step changes'!$F14,'Input|Rate of change'!$C$14:$C$21,0),MATCH('Calc|Opex forecast'!$F76,'Input|Rate of change'!$C$14:$O$14,0)))*IF('Input|Step changes'!$E14="$millions",1000000,IF('Input|Step changes'!$E14="$000",1000,1))/IF($E76="$millions",1000000,IF($E76="$000",1000,1))</f>
        <v>0</v>
      </c>
    </row>
    <row r="77" spans="1:47" outlineLevel="1">
      <c r="C77" s="121">
        <f>'Input|Step changes'!C15</f>
        <v>0</v>
      </c>
      <c r="D77" s="110" t="s">
        <v>30</v>
      </c>
      <c r="E77" s="30" t="str">
        <f t="shared" si="7"/>
        <v>$millions</v>
      </c>
      <c r="F77" s="161">
        <f t="shared" si="8"/>
        <v>43983</v>
      </c>
      <c r="J77" s="127">
        <f>'Input|Step changes'!J15*IF('Input|Step changes'!$F15="nominal",LOOKUP($F77,Nominal_to_Real,'Input|Rate of change'!N$25:N$30),INDEX('Input|Rate of change'!$C$14:$O$21,MATCH('Input|Step changes'!$F15,'Input|Rate of change'!$C$14:$C$21,0),MATCH('Calc|Opex forecast'!$F77,'Input|Rate of change'!$C$14:$O$14,0)))*IF('Input|Step changes'!$E15="$millions",1000000,IF('Input|Step changes'!$E15="$000",1000,1))/IF($E77="$millions",1000000,IF($E77="$000",1000,1))</f>
        <v>0</v>
      </c>
      <c r="K77" s="127">
        <f>'Input|Step changes'!K15*IF('Input|Step changes'!$F15="nominal",LOOKUP($F77,Nominal_to_Real,'Input|Rate of change'!O$25:O$30),INDEX('Input|Rate of change'!$C$14:$O$21,MATCH('Input|Step changes'!$F15,'Input|Rate of change'!$C$14:$C$21,0),MATCH('Calc|Opex forecast'!$F77,'Input|Rate of change'!$C$14:$O$14,0)))*IF('Input|Step changes'!$E15="$millions",1000000,IF('Input|Step changes'!$E15="$000",1000,1))/IF($E77="$millions",1000000,IF($E77="$000",1000,1))</f>
        <v>0</v>
      </c>
      <c r="L77" s="127">
        <f>'Input|Step changes'!L15*IF('Input|Step changes'!$F15="nominal",LOOKUP($F77,Nominal_to_Real,'Input|Rate of change'!P$25:P$30),INDEX('Input|Rate of change'!$C$14:$O$21,MATCH('Input|Step changes'!$F15,'Input|Rate of change'!$C$14:$C$21,0),MATCH('Calc|Opex forecast'!$F77,'Input|Rate of change'!$C$14:$O$14,0)))*IF('Input|Step changes'!$E15="$millions",1000000,IF('Input|Step changes'!$E15="$000",1000,1))/IF($E77="$millions",1000000,IF($E77="$000",1000,1))</f>
        <v>0</v>
      </c>
      <c r="M77" s="127">
        <f>'Input|Step changes'!M15*IF('Input|Step changes'!$F15="nominal",LOOKUP($F77,Nominal_to_Real,'Input|Rate of change'!Q$25:Q$30),INDEX('Input|Rate of change'!$C$14:$O$21,MATCH('Input|Step changes'!$F15,'Input|Rate of change'!$C$14:$C$21,0),MATCH('Calc|Opex forecast'!$F77,'Input|Rate of change'!$C$14:$O$14,0)))*IF('Input|Step changes'!$E15="$millions",1000000,IF('Input|Step changes'!$E15="$000",1000,1))/IF($E77="$millions",1000000,IF($E77="$000",1000,1))</f>
        <v>0</v>
      </c>
      <c r="N77" s="127">
        <f>'Input|Step changes'!N15*IF('Input|Step changes'!$F15="nominal",LOOKUP($F77,Nominal_to_Real,'Input|Rate of change'!R$25:R$30),INDEX('Input|Rate of change'!$C$14:$O$21,MATCH('Input|Step changes'!$F15,'Input|Rate of change'!$C$14:$C$21,0),MATCH('Calc|Opex forecast'!$F77,'Input|Rate of change'!$C$14:$O$14,0)))*IF('Input|Step changes'!$E15="$millions",1000000,IF('Input|Step changes'!$E15="$000",1000,1))/IF($E77="$millions",1000000,IF($E77="$000",1000,1))</f>
        <v>0</v>
      </c>
      <c r="O77" s="127">
        <f>'Input|Step changes'!O15*IF('Input|Step changes'!$F15="nominal",LOOKUP($F77,Nominal_to_Real,'Input|Rate of change'!S$25:S$30),INDEX('Input|Rate of change'!$C$14:$O$21,MATCH('Input|Step changes'!$F15,'Input|Rate of change'!$C$14:$C$21,0),MATCH('Calc|Opex forecast'!$F77,'Input|Rate of change'!$C$14:$O$14,0)))*IF('Input|Step changes'!$E15="$millions",1000000,IF('Input|Step changes'!$E15="$000",1000,1))/IF($E77="$millions",1000000,IF($E77="$000",1000,1))</f>
        <v>0</v>
      </c>
      <c r="P77" s="127">
        <f>'Input|Step changes'!P15*IF('Input|Step changes'!$F15="nominal",LOOKUP($F77,Nominal_to_Real,'Input|Rate of change'!T$25:T$30),INDEX('Input|Rate of change'!$C$14:$O$21,MATCH('Input|Step changes'!$F15,'Input|Rate of change'!$C$14:$C$21,0),MATCH('Calc|Opex forecast'!$F77,'Input|Rate of change'!$C$14:$O$14,0)))*IF('Input|Step changes'!$E15="$millions",1000000,IF('Input|Step changes'!$E15="$000",1000,1))/IF($E77="$millions",1000000,IF($E77="$000",1000,1))</f>
        <v>0</v>
      </c>
      <c r="Q77" s="127">
        <f>'Input|Step changes'!Q15*IF('Input|Step changes'!$F15="nominal",LOOKUP($F77,Nominal_to_Real,'Input|Rate of change'!U$25:U$30),INDEX('Input|Rate of change'!$C$14:$O$21,MATCH('Input|Step changes'!$F15,'Input|Rate of change'!$C$14:$C$21,0),MATCH('Calc|Opex forecast'!$F77,'Input|Rate of change'!$C$14:$O$14,0)))*IF('Input|Step changes'!$E15="$millions",1000000,IF('Input|Step changes'!$E15="$000",1000,1))/IF($E77="$millions",1000000,IF($E77="$000",1000,1))</f>
        <v>0</v>
      </c>
      <c r="R77" s="127">
        <f>'Input|Step changes'!R15*IF('Input|Step changes'!$F15="nominal",LOOKUP($F77,Nominal_to_Real,'Input|Rate of change'!V$25:V$30),INDEX('Input|Rate of change'!$C$14:$O$21,MATCH('Input|Step changes'!$F15,'Input|Rate of change'!$C$14:$C$21,0),MATCH('Calc|Opex forecast'!$F77,'Input|Rate of change'!$C$14:$O$14,0)))*IF('Input|Step changes'!$E15="$millions",1000000,IF('Input|Step changes'!$E15="$000",1000,1))/IF($E77="$millions",1000000,IF($E77="$000",1000,1))</f>
        <v>0</v>
      </c>
      <c r="S77" s="127">
        <f>'Input|Step changes'!S15*IF('Input|Step changes'!$F15="nominal",LOOKUP($F77,Nominal_to_Real,'Input|Rate of change'!W$25:W$30),INDEX('Input|Rate of change'!$C$14:$O$21,MATCH('Input|Step changes'!$F15,'Input|Rate of change'!$C$14:$C$21,0),MATCH('Calc|Opex forecast'!$F77,'Input|Rate of change'!$C$14:$O$14,0)))*IF('Input|Step changes'!$E15="$millions",1000000,IF('Input|Step changes'!$E15="$000",1000,1))/IF($E77="$millions",1000000,IF($E77="$000",1000,1))</f>
        <v>0</v>
      </c>
    </row>
    <row r="78" spans="1:47" outlineLevel="1">
      <c r="C78" s="121">
        <f>'Input|Step changes'!C16</f>
        <v>0</v>
      </c>
      <c r="D78" s="110" t="s">
        <v>30</v>
      </c>
      <c r="E78" s="30" t="str">
        <f t="shared" si="7"/>
        <v>$millions</v>
      </c>
      <c r="F78" s="161">
        <f t="shared" si="8"/>
        <v>43983</v>
      </c>
      <c r="J78" s="127">
        <f>'Input|Step changes'!J16*IF('Input|Step changes'!$F16="nominal",LOOKUP($F78,Nominal_to_Real,'Input|Rate of change'!N$25:N$30),INDEX('Input|Rate of change'!$C$14:$O$21,MATCH('Input|Step changes'!$F16,'Input|Rate of change'!$C$14:$C$21,0),MATCH('Calc|Opex forecast'!$F78,'Input|Rate of change'!$C$14:$O$14,0)))*IF('Input|Step changes'!$E16="$millions",1000000,IF('Input|Step changes'!$E16="$000",1000,1))/IF($E78="$millions",1000000,IF($E78="$000",1000,1))</f>
        <v>0</v>
      </c>
      <c r="K78" s="127">
        <f>'Input|Step changes'!K16*IF('Input|Step changes'!$F16="nominal",LOOKUP($F78,Nominal_to_Real,'Input|Rate of change'!O$25:O$30),INDEX('Input|Rate of change'!$C$14:$O$21,MATCH('Input|Step changes'!$F16,'Input|Rate of change'!$C$14:$C$21,0),MATCH('Calc|Opex forecast'!$F78,'Input|Rate of change'!$C$14:$O$14,0)))*IF('Input|Step changes'!$E16="$millions",1000000,IF('Input|Step changes'!$E16="$000",1000,1))/IF($E78="$millions",1000000,IF($E78="$000",1000,1))</f>
        <v>0</v>
      </c>
      <c r="L78" s="127">
        <f>'Input|Step changes'!L16*IF('Input|Step changes'!$F16="nominal",LOOKUP($F78,Nominal_to_Real,'Input|Rate of change'!P$25:P$30),INDEX('Input|Rate of change'!$C$14:$O$21,MATCH('Input|Step changes'!$F16,'Input|Rate of change'!$C$14:$C$21,0),MATCH('Calc|Opex forecast'!$F78,'Input|Rate of change'!$C$14:$O$14,0)))*IF('Input|Step changes'!$E16="$millions",1000000,IF('Input|Step changes'!$E16="$000",1000,1))/IF($E78="$millions",1000000,IF($E78="$000",1000,1))</f>
        <v>0</v>
      </c>
      <c r="M78" s="127">
        <f>'Input|Step changes'!M16*IF('Input|Step changes'!$F16="nominal",LOOKUP($F78,Nominal_to_Real,'Input|Rate of change'!Q$25:Q$30),INDEX('Input|Rate of change'!$C$14:$O$21,MATCH('Input|Step changes'!$F16,'Input|Rate of change'!$C$14:$C$21,0),MATCH('Calc|Opex forecast'!$F78,'Input|Rate of change'!$C$14:$O$14,0)))*IF('Input|Step changes'!$E16="$millions",1000000,IF('Input|Step changes'!$E16="$000",1000,1))/IF($E78="$millions",1000000,IF($E78="$000",1000,1))</f>
        <v>0</v>
      </c>
      <c r="N78" s="127">
        <f>'Input|Step changes'!N16*IF('Input|Step changes'!$F16="nominal",LOOKUP($F78,Nominal_to_Real,'Input|Rate of change'!R$25:R$30),INDEX('Input|Rate of change'!$C$14:$O$21,MATCH('Input|Step changes'!$F16,'Input|Rate of change'!$C$14:$C$21,0),MATCH('Calc|Opex forecast'!$F78,'Input|Rate of change'!$C$14:$O$14,0)))*IF('Input|Step changes'!$E16="$millions",1000000,IF('Input|Step changes'!$E16="$000",1000,1))/IF($E78="$millions",1000000,IF($E78="$000",1000,1))</f>
        <v>0</v>
      </c>
      <c r="O78" s="127">
        <f>'Input|Step changes'!O16*IF('Input|Step changes'!$F16="nominal",LOOKUP($F78,Nominal_to_Real,'Input|Rate of change'!S$25:S$30),INDEX('Input|Rate of change'!$C$14:$O$21,MATCH('Input|Step changes'!$F16,'Input|Rate of change'!$C$14:$C$21,0),MATCH('Calc|Opex forecast'!$F78,'Input|Rate of change'!$C$14:$O$14,0)))*IF('Input|Step changes'!$E16="$millions",1000000,IF('Input|Step changes'!$E16="$000",1000,1))/IF($E78="$millions",1000000,IF($E78="$000",1000,1))</f>
        <v>0</v>
      </c>
      <c r="P78" s="127">
        <f>'Input|Step changes'!P16*IF('Input|Step changes'!$F16="nominal",LOOKUP($F78,Nominal_to_Real,'Input|Rate of change'!T$25:T$30),INDEX('Input|Rate of change'!$C$14:$O$21,MATCH('Input|Step changes'!$F16,'Input|Rate of change'!$C$14:$C$21,0),MATCH('Calc|Opex forecast'!$F78,'Input|Rate of change'!$C$14:$O$14,0)))*IF('Input|Step changes'!$E16="$millions",1000000,IF('Input|Step changes'!$E16="$000",1000,1))/IF($E78="$millions",1000000,IF($E78="$000",1000,1))</f>
        <v>0</v>
      </c>
      <c r="Q78" s="127">
        <f>'Input|Step changes'!Q16*IF('Input|Step changes'!$F16="nominal",LOOKUP($F78,Nominal_to_Real,'Input|Rate of change'!U$25:U$30),INDEX('Input|Rate of change'!$C$14:$O$21,MATCH('Input|Step changes'!$F16,'Input|Rate of change'!$C$14:$C$21,0),MATCH('Calc|Opex forecast'!$F78,'Input|Rate of change'!$C$14:$O$14,0)))*IF('Input|Step changes'!$E16="$millions",1000000,IF('Input|Step changes'!$E16="$000",1000,1))/IF($E78="$millions",1000000,IF($E78="$000",1000,1))</f>
        <v>0</v>
      </c>
      <c r="R78" s="127">
        <f>'Input|Step changes'!R16*IF('Input|Step changes'!$F16="nominal",LOOKUP($F78,Nominal_to_Real,'Input|Rate of change'!V$25:V$30),INDEX('Input|Rate of change'!$C$14:$O$21,MATCH('Input|Step changes'!$F16,'Input|Rate of change'!$C$14:$C$21,0),MATCH('Calc|Opex forecast'!$F78,'Input|Rate of change'!$C$14:$O$14,0)))*IF('Input|Step changes'!$E16="$millions",1000000,IF('Input|Step changes'!$E16="$000",1000,1))/IF($E78="$millions",1000000,IF($E78="$000",1000,1))</f>
        <v>0</v>
      </c>
      <c r="S78" s="127">
        <f>'Input|Step changes'!S16*IF('Input|Step changes'!$F16="nominal",LOOKUP($F78,Nominal_to_Real,'Input|Rate of change'!W$25:W$30),INDEX('Input|Rate of change'!$C$14:$O$21,MATCH('Input|Step changes'!$F16,'Input|Rate of change'!$C$14:$C$21,0),MATCH('Calc|Opex forecast'!$F78,'Input|Rate of change'!$C$14:$O$14,0)))*IF('Input|Step changes'!$E16="$millions",1000000,IF('Input|Step changes'!$E16="$000",1000,1))/IF($E78="$millions",1000000,IF($E78="$000",1000,1))</f>
        <v>0</v>
      </c>
    </row>
    <row r="79" spans="1:47" outlineLevel="1">
      <c r="C79" s="121">
        <f>'Input|Step changes'!C17</f>
        <v>0</v>
      </c>
      <c r="D79" s="110" t="s">
        <v>30</v>
      </c>
      <c r="E79" s="30" t="str">
        <f t="shared" si="7"/>
        <v>$millions</v>
      </c>
      <c r="F79" s="161">
        <f t="shared" si="8"/>
        <v>43983</v>
      </c>
      <c r="J79" s="127">
        <f>'Input|Step changes'!J17*IF('Input|Step changes'!$F17="nominal",LOOKUP($F79,Nominal_to_Real,'Input|Rate of change'!N$25:N$30),INDEX('Input|Rate of change'!$C$14:$O$21,MATCH('Input|Step changes'!$F17,'Input|Rate of change'!$C$14:$C$21,0),MATCH('Calc|Opex forecast'!$F79,'Input|Rate of change'!$C$14:$O$14,0)))*IF('Input|Step changes'!$E17="$millions",1000000,IF('Input|Step changes'!$E17="$000",1000,1))/IF($E79="$millions",1000000,IF($E79="$000",1000,1))</f>
        <v>0</v>
      </c>
      <c r="K79" s="127">
        <f>'Input|Step changes'!K17*IF('Input|Step changes'!$F17="nominal",LOOKUP($F79,Nominal_to_Real,'Input|Rate of change'!O$25:O$30),INDEX('Input|Rate of change'!$C$14:$O$21,MATCH('Input|Step changes'!$F17,'Input|Rate of change'!$C$14:$C$21,0),MATCH('Calc|Opex forecast'!$F79,'Input|Rate of change'!$C$14:$O$14,0)))*IF('Input|Step changes'!$E17="$millions",1000000,IF('Input|Step changes'!$E17="$000",1000,1))/IF($E79="$millions",1000000,IF($E79="$000",1000,1))</f>
        <v>0</v>
      </c>
      <c r="L79" s="127">
        <f>'Input|Step changes'!L17*IF('Input|Step changes'!$F17="nominal",LOOKUP($F79,Nominal_to_Real,'Input|Rate of change'!P$25:P$30),INDEX('Input|Rate of change'!$C$14:$O$21,MATCH('Input|Step changes'!$F17,'Input|Rate of change'!$C$14:$C$21,0),MATCH('Calc|Opex forecast'!$F79,'Input|Rate of change'!$C$14:$O$14,0)))*IF('Input|Step changes'!$E17="$millions",1000000,IF('Input|Step changes'!$E17="$000",1000,1))/IF($E79="$millions",1000000,IF($E79="$000",1000,1))</f>
        <v>0</v>
      </c>
      <c r="M79" s="127">
        <f>'Input|Step changes'!M17*IF('Input|Step changes'!$F17="nominal",LOOKUP($F79,Nominal_to_Real,'Input|Rate of change'!Q$25:Q$30),INDEX('Input|Rate of change'!$C$14:$O$21,MATCH('Input|Step changes'!$F17,'Input|Rate of change'!$C$14:$C$21,0),MATCH('Calc|Opex forecast'!$F79,'Input|Rate of change'!$C$14:$O$14,0)))*IF('Input|Step changes'!$E17="$millions",1000000,IF('Input|Step changes'!$E17="$000",1000,1))/IF($E79="$millions",1000000,IF($E79="$000",1000,1))</f>
        <v>0</v>
      </c>
      <c r="N79" s="127">
        <f>'Input|Step changes'!N17*IF('Input|Step changes'!$F17="nominal",LOOKUP($F79,Nominal_to_Real,'Input|Rate of change'!R$25:R$30),INDEX('Input|Rate of change'!$C$14:$O$21,MATCH('Input|Step changes'!$F17,'Input|Rate of change'!$C$14:$C$21,0),MATCH('Calc|Opex forecast'!$F79,'Input|Rate of change'!$C$14:$O$14,0)))*IF('Input|Step changes'!$E17="$millions",1000000,IF('Input|Step changes'!$E17="$000",1000,1))/IF($E79="$millions",1000000,IF($E79="$000",1000,1))</f>
        <v>0</v>
      </c>
      <c r="O79" s="127">
        <f>'Input|Step changes'!O17*IF('Input|Step changes'!$F17="nominal",LOOKUP($F79,Nominal_to_Real,'Input|Rate of change'!S$25:S$30),INDEX('Input|Rate of change'!$C$14:$O$21,MATCH('Input|Step changes'!$F17,'Input|Rate of change'!$C$14:$C$21,0),MATCH('Calc|Opex forecast'!$F79,'Input|Rate of change'!$C$14:$O$14,0)))*IF('Input|Step changes'!$E17="$millions",1000000,IF('Input|Step changes'!$E17="$000",1000,1))/IF($E79="$millions",1000000,IF($E79="$000",1000,1))</f>
        <v>0</v>
      </c>
      <c r="P79" s="127">
        <f>'Input|Step changes'!P17*IF('Input|Step changes'!$F17="nominal",LOOKUP($F79,Nominal_to_Real,'Input|Rate of change'!T$25:T$30),INDEX('Input|Rate of change'!$C$14:$O$21,MATCH('Input|Step changes'!$F17,'Input|Rate of change'!$C$14:$C$21,0),MATCH('Calc|Opex forecast'!$F79,'Input|Rate of change'!$C$14:$O$14,0)))*IF('Input|Step changes'!$E17="$millions",1000000,IF('Input|Step changes'!$E17="$000",1000,1))/IF($E79="$millions",1000000,IF($E79="$000",1000,1))</f>
        <v>0</v>
      </c>
      <c r="Q79" s="127">
        <f>'Input|Step changes'!Q17*IF('Input|Step changes'!$F17="nominal",LOOKUP($F79,Nominal_to_Real,'Input|Rate of change'!U$25:U$30),INDEX('Input|Rate of change'!$C$14:$O$21,MATCH('Input|Step changes'!$F17,'Input|Rate of change'!$C$14:$C$21,0),MATCH('Calc|Opex forecast'!$F79,'Input|Rate of change'!$C$14:$O$14,0)))*IF('Input|Step changes'!$E17="$millions",1000000,IF('Input|Step changes'!$E17="$000",1000,1))/IF($E79="$millions",1000000,IF($E79="$000",1000,1))</f>
        <v>0</v>
      </c>
      <c r="R79" s="127">
        <f>'Input|Step changes'!R17*IF('Input|Step changes'!$F17="nominal",LOOKUP($F79,Nominal_to_Real,'Input|Rate of change'!V$25:V$30),INDEX('Input|Rate of change'!$C$14:$O$21,MATCH('Input|Step changes'!$F17,'Input|Rate of change'!$C$14:$C$21,0),MATCH('Calc|Opex forecast'!$F79,'Input|Rate of change'!$C$14:$O$14,0)))*IF('Input|Step changes'!$E17="$millions",1000000,IF('Input|Step changes'!$E17="$000",1000,1))/IF($E79="$millions",1000000,IF($E79="$000",1000,1))</f>
        <v>0</v>
      </c>
      <c r="S79" s="127">
        <f>'Input|Step changes'!S17*IF('Input|Step changes'!$F17="nominal",LOOKUP($F79,Nominal_to_Real,'Input|Rate of change'!W$25:W$30),INDEX('Input|Rate of change'!$C$14:$O$21,MATCH('Input|Step changes'!$F17,'Input|Rate of change'!$C$14:$C$21,0),MATCH('Calc|Opex forecast'!$F79,'Input|Rate of change'!$C$14:$O$14,0)))*IF('Input|Step changes'!$E17="$millions",1000000,IF('Input|Step changes'!$E17="$000",1000,1))/IF($E79="$millions",1000000,IF($E79="$000",1000,1))</f>
        <v>0</v>
      </c>
    </row>
    <row r="80" spans="1:47" outlineLevel="1">
      <c r="C80" s="121">
        <f>'Input|Step changes'!C18</f>
        <v>0</v>
      </c>
      <c r="D80" s="110" t="s">
        <v>30</v>
      </c>
      <c r="E80" s="30" t="str">
        <f t="shared" si="7"/>
        <v>$millions</v>
      </c>
      <c r="F80" s="161">
        <f t="shared" si="8"/>
        <v>43983</v>
      </c>
      <c r="J80" s="127">
        <f>'Input|Step changes'!J18*IF('Input|Step changes'!$F18="nominal",LOOKUP($F80,Nominal_to_Real,'Input|Rate of change'!N$25:N$30),INDEX('Input|Rate of change'!$C$14:$O$21,MATCH('Input|Step changes'!$F18,'Input|Rate of change'!$C$14:$C$21,0),MATCH('Calc|Opex forecast'!$F80,'Input|Rate of change'!$C$14:$O$14,0)))*IF('Input|Step changes'!$E18="$millions",1000000,IF('Input|Step changes'!$E18="$000",1000,1))/IF($E80="$millions",1000000,IF($E80="$000",1000,1))</f>
        <v>0</v>
      </c>
      <c r="K80" s="127">
        <f>'Input|Step changes'!K18*IF('Input|Step changes'!$F18="nominal",LOOKUP($F80,Nominal_to_Real,'Input|Rate of change'!O$25:O$30),INDEX('Input|Rate of change'!$C$14:$O$21,MATCH('Input|Step changes'!$F18,'Input|Rate of change'!$C$14:$C$21,0),MATCH('Calc|Opex forecast'!$F80,'Input|Rate of change'!$C$14:$O$14,0)))*IF('Input|Step changes'!$E18="$millions",1000000,IF('Input|Step changes'!$E18="$000",1000,1))/IF($E80="$millions",1000000,IF($E80="$000",1000,1))</f>
        <v>0</v>
      </c>
      <c r="L80" s="127">
        <f>'Input|Step changes'!L18*IF('Input|Step changes'!$F18="nominal",LOOKUP($F80,Nominal_to_Real,'Input|Rate of change'!P$25:P$30),INDEX('Input|Rate of change'!$C$14:$O$21,MATCH('Input|Step changes'!$F18,'Input|Rate of change'!$C$14:$C$21,0),MATCH('Calc|Opex forecast'!$F80,'Input|Rate of change'!$C$14:$O$14,0)))*IF('Input|Step changes'!$E18="$millions",1000000,IF('Input|Step changes'!$E18="$000",1000,1))/IF($E80="$millions",1000000,IF($E80="$000",1000,1))</f>
        <v>0</v>
      </c>
      <c r="M80" s="127">
        <f>'Input|Step changes'!M18*IF('Input|Step changes'!$F18="nominal",LOOKUP($F80,Nominal_to_Real,'Input|Rate of change'!Q$25:Q$30),INDEX('Input|Rate of change'!$C$14:$O$21,MATCH('Input|Step changes'!$F18,'Input|Rate of change'!$C$14:$C$21,0),MATCH('Calc|Opex forecast'!$F80,'Input|Rate of change'!$C$14:$O$14,0)))*IF('Input|Step changes'!$E18="$millions",1000000,IF('Input|Step changes'!$E18="$000",1000,1))/IF($E80="$millions",1000000,IF($E80="$000",1000,1))</f>
        <v>0</v>
      </c>
      <c r="N80" s="127">
        <f>'Input|Step changes'!N18*IF('Input|Step changes'!$F18="nominal",LOOKUP($F80,Nominal_to_Real,'Input|Rate of change'!R$25:R$30),INDEX('Input|Rate of change'!$C$14:$O$21,MATCH('Input|Step changes'!$F18,'Input|Rate of change'!$C$14:$C$21,0),MATCH('Calc|Opex forecast'!$F80,'Input|Rate of change'!$C$14:$O$14,0)))*IF('Input|Step changes'!$E18="$millions",1000000,IF('Input|Step changes'!$E18="$000",1000,1))/IF($E80="$millions",1000000,IF($E80="$000",1000,1))</f>
        <v>0</v>
      </c>
      <c r="O80" s="127">
        <f>'Input|Step changes'!O18*IF('Input|Step changes'!$F18="nominal",LOOKUP($F80,Nominal_to_Real,'Input|Rate of change'!S$25:S$30),INDEX('Input|Rate of change'!$C$14:$O$21,MATCH('Input|Step changes'!$F18,'Input|Rate of change'!$C$14:$C$21,0),MATCH('Calc|Opex forecast'!$F80,'Input|Rate of change'!$C$14:$O$14,0)))*IF('Input|Step changes'!$E18="$millions",1000000,IF('Input|Step changes'!$E18="$000",1000,1))/IF($E80="$millions",1000000,IF($E80="$000",1000,1))</f>
        <v>0</v>
      </c>
      <c r="P80" s="127">
        <f>'Input|Step changes'!P18*IF('Input|Step changes'!$F18="nominal",LOOKUP($F80,Nominal_to_Real,'Input|Rate of change'!T$25:T$30),INDEX('Input|Rate of change'!$C$14:$O$21,MATCH('Input|Step changes'!$F18,'Input|Rate of change'!$C$14:$C$21,0),MATCH('Calc|Opex forecast'!$F80,'Input|Rate of change'!$C$14:$O$14,0)))*IF('Input|Step changes'!$E18="$millions",1000000,IF('Input|Step changes'!$E18="$000",1000,1))/IF($E80="$millions",1000000,IF($E80="$000",1000,1))</f>
        <v>0</v>
      </c>
      <c r="Q80" s="127">
        <f>'Input|Step changes'!Q18*IF('Input|Step changes'!$F18="nominal",LOOKUP($F80,Nominal_to_Real,'Input|Rate of change'!U$25:U$30),INDEX('Input|Rate of change'!$C$14:$O$21,MATCH('Input|Step changes'!$F18,'Input|Rate of change'!$C$14:$C$21,0),MATCH('Calc|Opex forecast'!$F80,'Input|Rate of change'!$C$14:$O$14,0)))*IF('Input|Step changes'!$E18="$millions",1000000,IF('Input|Step changes'!$E18="$000",1000,1))/IF($E80="$millions",1000000,IF($E80="$000",1000,1))</f>
        <v>0</v>
      </c>
      <c r="R80" s="127">
        <f>'Input|Step changes'!R18*IF('Input|Step changes'!$F18="nominal",LOOKUP($F80,Nominal_to_Real,'Input|Rate of change'!V$25:V$30),INDEX('Input|Rate of change'!$C$14:$O$21,MATCH('Input|Step changes'!$F18,'Input|Rate of change'!$C$14:$C$21,0),MATCH('Calc|Opex forecast'!$F80,'Input|Rate of change'!$C$14:$O$14,0)))*IF('Input|Step changes'!$E18="$millions",1000000,IF('Input|Step changes'!$E18="$000",1000,1))/IF($E80="$millions",1000000,IF($E80="$000",1000,1))</f>
        <v>0</v>
      </c>
      <c r="S80" s="127">
        <f>'Input|Step changes'!S18*IF('Input|Step changes'!$F18="nominal",LOOKUP($F80,Nominal_to_Real,'Input|Rate of change'!W$25:W$30),INDEX('Input|Rate of change'!$C$14:$O$21,MATCH('Input|Step changes'!$F18,'Input|Rate of change'!$C$14:$C$21,0),MATCH('Calc|Opex forecast'!$F80,'Input|Rate of change'!$C$14:$O$14,0)))*IF('Input|Step changes'!$E18="$millions",1000000,IF('Input|Step changes'!$E18="$000",1000,1))/IF($E80="$millions",1000000,IF($E80="$000",1000,1))</f>
        <v>0</v>
      </c>
    </row>
    <row r="81" spans="1:47" outlineLevel="1">
      <c r="C81" s="121">
        <f>'Input|Step changes'!C19</f>
        <v>0</v>
      </c>
      <c r="D81" s="110" t="s">
        <v>30</v>
      </c>
      <c r="E81" s="30" t="str">
        <f t="shared" si="7"/>
        <v>$millions</v>
      </c>
      <c r="F81" s="161">
        <f t="shared" si="8"/>
        <v>43983</v>
      </c>
      <c r="J81" s="127">
        <f>'Input|Step changes'!J19*IF('Input|Step changes'!$F19="nominal",LOOKUP($F81,Nominal_to_Real,'Input|Rate of change'!N$25:N$30),INDEX('Input|Rate of change'!$C$14:$O$21,MATCH('Input|Step changes'!$F19,'Input|Rate of change'!$C$14:$C$21,0),MATCH('Calc|Opex forecast'!$F81,'Input|Rate of change'!$C$14:$O$14,0)))*IF('Input|Step changes'!$E19="$millions",1000000,IF('Input|Step changes'!$E19="$000",1000,1))/IF($E81="$millions",1000000,IF($E81="$000",1000,1))</f>
        <v>0</v>
      </c>
      <c r="K81" s="127">
        <f>'Input|Step changes'!K19*IF('Input|Step changes'!$F19="nominal",LOOKUP($F81,Nominal_to_Real,'Input|Rate of change'!O$25:O$30),INDEX('Input|Rate of change'!$C$14:$O$21,MATCH('Input|Step changes'!$F19,'Input|Rate of change'!$C$14:$C$21,0),MATCH('Calc|Opex forecast'!$F81,'Input|Rate of change'!$C$14:$O$14,0)))*IF('Input|Step changes'!$E19="$millions",1000000,IF('Input|Step changes'!$E19="$000",1000,1))/IF($E81="$millions",1000000,IF($E81="$000",1000,1))</f>
        <v>0</v>
      </c>
      <c r="L81" s="127">
        <f>'Input|Step changes'!L19*IF('Input|Step changes'!$F19="nominal",LOOKUP($F81,Nominal_to_Real,'Input|Rate of change'!P$25:P$30),INDEX('Input|Rate of change'!$C$14:$O$21,MATCH('Input|Step changes'!$F19,'Input|Rate of change'!$C$14:$C$21,0),MATCH('Calc|Opex forecast'!$F81,'Input|Rate of change'!$C$14:$O$14,0)))*IF('Input|Step changes'!$E19="$millions",1000000,IF('Input|Step changes'!$E19="$000",1000,1))/IF($E81="$millions",1000000,IF($E81="$000",1000,1))</f>
        <v>0</v>
      </c>
      <c r="M81" s="127">
        <f>'Input|Step changes'!M19*IF('Input|Step changes'!$F19="nominal",LOOKUP($F81,Nominal_to_Real,'Input|Rate of change'!Q$25:Q$30),INDEX('Input|Rate of change'!$C$14:$O$21,MATCH('Input|Step changes'!$F19,'Input|Rate of change'!$C$14:$C$21,0),MATCH('Calc|Opex forecast'!$F81,'Input|Rate of change'!$C$14:$O$14,0)))*IF('Input|Step changes'!$E19="$millions",1000000,IF('Input|Step changes'!$E19="$000",1000,1))/IF($E81="$millions",1000000,IF($E81="$000",1000,1))</f>
        <v>0</v>
      </c>
      <c r="N81" s="127">
        <f>'Input|Step changes'!N19*IF('Input|Step changes'!$F19="nominal",LOOKUP($F81,Nominal_to_Real,'Input|Rate of change'!R$25:R$30),INDEX('Input|Rate of change'!$C$14:$O$21,MATCH('Input|Step changes'!$F19,'Input|Rate of change'!$C$14:$C$21,0),MATCH('Calc|Opex forecast'!$F81,'Input|Rate of change'!$C$14:$O$14,0)))*IF('Input|Step changes'!$E19="$millions",1000000,IF('Input|Step changes'!$E19="$000",1000,1))/IF($E81="$millions",1000000,IF($E81="$000",1000,1))</f>
        <v>0</v>
      </c>
      <c r="O81" s="127">
        <f>'Input|Step changes'!O19*IF('Input|Step changes'!$F19="nominal",LOOKUP($F81,Nominal_to_Real,'Input|Rate of change'!S$25:S$30),INDEX('Input|Rate of change'!$C$14:$O$21,MATCH('Input|Step changes'!$F19,'Input|Rate of change'!$C$14:$C$21,0),MATCH('Calc|Opex forecast'!$F81,'Input|Rate of change'!$C$14:$O$14,0)))*IF('Input|Step changes'!$E19="$millions",1000000,IF('Input|Step changes'!$E19="$000",1000,1))/IF($E81="$millions",1000000,IF($E81="$000",1000,1))</f>
        <v>0</v>
      </c>
      <c r="P81" s="127">
        <f>'Input|Step changes'!P19*IF('Input|Step changes'!$F19="nominal",LOOKUP($F81,Nominal_to_Real,'Input|Rate of change'!T$25:T$30),INDEX('Input|Rate of change'!$C$14:$O$21,MATCH('Input|Step changes'!$F19,'Input|Rate of change'!$C$14:$C$21,0),MATCH('Calc|Opex forecast'!$F81,'Input|Rate of change'!$C$14:$O$14,0)))*IF('Input|Step changes'!$E19="$millions",1000000,IF('Input|Step changes'!$E19="$000",1000,1))/IF($E81="$millions",1000000,IF($E81="$000",1000,1))</f>
        <v>0</v>
      </c>
      <c r="Q81" s="127">
        <f>'Input|Step changes'!Q19*IF('Input|Step changes'!$F19="nominal",LOOKUP($F81,Nominal_to_Real,'Input|Rate of change'!U$25:U$30),INDEX('Input|Rate of change'!$C$14:$O$21,MATCH('Input|Step changes'!$F19,'Input|Rate of change'!$C$14:$C$21,0),MATCH('Calc|Opex forecast'!$F81,'Input|Rate of change'!$C$14:$O$14,0)))*IF('Input|Step changes'!$E19="$millions",1000000,IF('Input|Step changes'!$E19="$000",1000,1))/IF($E81="$millions",1000000,IF($E81="$000",1000,1))</f>
        <v>0</v>
      </c>
      <c r="R81" s="127">
        <f>'Input|Step changes'!R19*IF('Input|Step changes'!$F19="nominal",LOOKUP($F81,Nominal_to_Real,'Input|Rate of change'!V$25:V$30),INDEX('Input|Rate of change'!$C$14:$O$21,MATCH('Input|Step changes'!$F19,'Input|Rate of change'!$C$14:$C$21,0),MATCH('Calc|Opex forecast'!$F81,'Input|Rate of change'!$C$14:$O$14,0)))*IF('Input|Step changes'!$E19="$millions",1000000,IF('Input|Step changes'!$E19="$000",1000,1))/IF($E81="$millions",1000000,IF($E81="$000",1000,1))</f>
        <v>0</v>
      </c>
      <c r="S81" s="127">
        <f>'Input|Step changes'!S19*IF('Input|Step changes'!$F19="nominal",LOOKUP($F81,Nominal_to_Real,'Input|Rate of change'!W$25:W$30),INDEX('Input|Rate of change'!$C$14:$O$21,MATCH('Input|Step changes'!$F19,'Input|Rate of change'!$C$14:$C$21,0),MATCH('Calc|Opex forecast'!$F81,'Input|Rate of change'!$C$14:$O$14,0)))*IF('Input|Step changes'!$E19="$millions",1000000,IF('Input|Step changes'!$E19="$000",1000,1))/IF($E81="$millions",1000000,IF($E81="$000",1000,1))</f>
        <v>0</v>
      </c>
    </row>
    <row r="82" spans="1:47" outlineLevel="1">
      <c r="C82" s="121">
        <f>'Input|Step changes'!C20</f>
        <v>0</v>
      </c>
      <c r="D82" s="110" t="s">
        <v>30</v>
      </c>
      <c r="E82" s="30" t="str">
        <f t="shared" si="7"/>
        <v>$millions</v>
      </c>
      <c r="F82" s="161">
        <f t="shared" si="8"/>
        <v>43983</v>
      </c>
      <c r="J82" s="127">
        <f>'Input|Step changes'!J20*IF('Input|Step changes'!$F20="nominal",LOOKUP($F82,Nominal_to_Real,'Input|Rate of change'!N$25:N$30),INDEX('Input|Rate of change'!$C$14:$O$21,MATCH('Input|Step changes'!$F20,'Input|Rate of change'!$C$14:$C$21,0),MATCH('Calc|Opex forecast'!$F82,'Input|Rate of change'!$C$14:$O$14,0)))*IF('Input|Step changes'!$E20="$millions",1000000,IF('Input|Step changes'!$E20="$000",1000,1))/IF($E82="$millions",1000000,IF($E82="$000",1000,1))</f>
        <v>0</v>
      </c>
      <c r="K82" s="127">
        <f>'Input|Step changes'!K20*IF('Input|Step changes'!$F20="nominal",LOOKUP($F82,Nominal_to_Real,'Input|Rate of change'!O$25:O$30),INDEX('Input|Rate of change'!$C$14:$O$21,MATCH('Input|Step changes'!$F20,'Input|Rate of change'!$C$14:$C$21,0),MATCH('Calc|Opex forecast'!$F82,'Input|Rate of change'!$C$14:$O$14,0)))*IF('Input|Step changes'!$E20="$millions",1000000,IF('Input|Step changes'!$E20="$000",1000,1))/IF($E82="$millions",1000000,IF($E82="$000",1000,1))</f>
        <v>0</v>
      </c>
      <c r="L82" s="127">
        <f>'Input|Step changes'!L20*IF('Input|Step changes'!$F20="nominal",LOOKUP($F82,Nominal_to_Real,'Input|Rate of change'!P$25:P$30),INDEX('Input|Rate of change'!$C$14:$O$21,MATCH('Input|Step changes'!$F20,'Input|Rate of change'!$C$14:$C$21,0),MATCH('Calc|Opex forecast'!$F82,'Input|Rate of change'!$C$14:$O$14,0)))*IF('Input|Step changes'!$E20="$millions",1000000,IF('Input|Step changes'!$E20="$000",1000,1))/IF($E82="$millions",1000000,IF($E82="$000",1000,1))</f>
        <v>0</v>
      </c>
      <c r="M82" s="127">
        <f>'Input|Step changes'!M20*IF('Input|Step changes'!$F20="nominal",LOOKUP($F82,Nominal_to_Real,'Input|Rate of change'!Q$25:Q$30),INDEX('Input|Rate of change'!$C$14:$O$21,MATCH('Input|Step changes'!$F20,'Input|Rate of change'!$C$14:$C$21,0),MATCH('Calc|Opex forecast'!$F82,'Input|Rate of change'!$C$14:$O$14,0)))*IF('Input|Step changes'!$E20="$millions",1000000,IF('Input|Step changes'!$E20="$000",1000,1))/IF($E82="$millions",1000000,IF($E82="$000",1000,1))</f>
        <v>0</v>
      </c>
      <c r="N82" s="127">
        <f>'Input|Step changes'!N20*IF('Input|Step changes'!$F20="nominal",LOOKUP($F82,Nominal_to_Real,'Input|Rate of change'!R$25:R$30),INDEX('Input|Rate of change'!$C$14:$O$21,MATCH('Input|Step changes'!$F20,'Input|Rate of change'!$C$14:$C$21,0),MATCH('Calc|Opex forecast'!$F82,'Input|Rate of change'!$C$14:$O$14,0)))*IF('Input|Step changes'!$E20="$millions",1000000,IF('Input|Step changes'!$E20="$000",1000,1))/IF($E82="$millions",1000000,IF($E82="$000",1000,1))</f>
        <v>0</v>
      </c>
      <c r="O82" s="127">
        <f>'Input|Step changes'!O20*IF('Input|Step changes'!$F20="nominal",LOOKUP($F82,Nominal_to_Real,'Input|Rate of change'!S$25:S$30),INDEX('Input|Rate of change'!$C$14:$O$21,MATCH('Input|Step changes'!$F20,'Input|Rate of change'!$C$14:$C$21,0),MATCH('Calc|Opex forecast'!$F82,'Input|Rate of change'!$C$14:$O$14,0)))*IF('Input|Step changes'!$E20="$millions",1000000,IF('Input|Step changes'!$E20="$000",1000,1))/IF($E82="$millions",1000000,IF($E82="$000",1000,1))</f>
        <v>0</v>
      </c>
      <c r="P82" s="127">
        <f>'Input|Step changes'!P20*IF('Input|Step changes'!$F20="nominal",LOOKUP($F82,Nominal_to_Real,'Input|Rate of change'!T$25:T$30),INDEX('Input|Rate of change'!$C$14:$O$21,MATCH('Input|Step changes'!$F20,'Input|Rate of change'!$C$14:$C$21,0),MATCH('Calc|Opex forecast'!$F82,'Input|Rate of change'!$C$14:$O$14,0)))*IF('Input|Step changes'!$E20="$millions",1000000,IF('Input|Step changes'!$E20="$000",1000,1))/IF($E82="$millions",1000000,IF($E82="$000",1000,1))</f>
        <v>0</v>
      </c>
      <c r="Q82" s="127">
        <f>'Input|Step changes'!Q20*IF('Input|Step changes'!$F20="nominal",LOOKUP($F82,Nominal_to_Real,'Input|Rate of change'!U$25:U$30),INDEX('Input|Rate of change'!$C$14:$O$21,MATCH('Input|Step changes'!$F20,'Input|Rate of change'!$C$14:$C$21,0),MATCH('Calc|Opex forecast'!$F82,'Input|Rate of change'!$C$14:$O$14,0)))*IF('Input|Step changes'!$E20="$millions",1000000,IF('Input|Step changes'!$E20="$000",1000,1))/IF($E82="$millions",1000000,IF($E82="$000",1000,1))</f>
        <v>0</v>
      </c>
      <c r="R82" s="127">
        <f>'Input|Step changes'!R20*IF('Input|Step changes'!$F20="nominal",LOOKUP($F82,Nominal_to_Real,'Input|Rate of change'!V$25:V$30),INDEX('Input|Rate of change'!$C$14:$O$21,MATCH('Input|Step changes'!$F20,'Input|Rate of change'!$C$14:$C$21,0),MATCH('Calc|Opex forecast'!$F82,'Input|Rate of change'!$C$14:$O$14,0)))*IF('Input|Step changes'!$E20="$millions",1000000,IF('Input|Step changes'!$E20="$000",1000,1))/IF($E82="$millions",1000000,IF($E82="$000",1000,1))</f>
        <v>0</v>
      </c>
      <c r="S82" s="127">
        <f>'Input|Step changes'!S20*IF('Input|Step changes'!$F20="nominal",LOOKUP($F82,Nominal_to_Real,'Input|Rate of change'!W$25:W$30),INDEX('Input|Rate of change'!$C$14:$O$21,MATCH('Input|Step changes'!$F20,'Input|Rate of change'!$C$14:$C$21,0),MATCH('Calc|Opex forecast'!$F82,'Input|Rate of change'!$C$14:$O$14,0)))*IF('Input|Step changes'!$E20="$millions",1000000,IF('Input|Step changes'!$E20="$000",1000,1))/IF($E82="$millions",1000000,IF($E82="$000",1000,1))</f>
        <v>0</v>
      </c>
    </row>
    <row r="83" spans="1:47" outlineLevel="1">
      <c r="C83" s="121"/>
      <c r="D83" s="110"/>
      <c r="F83" s="112"/>
      <c r="J83" s="176"/>
      <c r="K83" s="176"/>
      <c r="L83" s="176"/>
      <c r="M83" s="176"/>
      <c r="N83" s="176"/>
      <c r="O83" s="176"/>
      <c r="P83" s="176"/>
      <c r="Q83" s="176"/>
      <c r="R83" s="176"/>
      <c r="S83" s="176"/>
    </row>
    <row r="84" spans="1:47" outlineLevel="1">
      <c r="C84" s="113" t="s">
        <v>49</v>
      </c>
      <c r="D84" s="122" t="s">
        <v>30</v>
      </c>
      <c r="E84" s="122" t="str">
        <f>$E$8</f>
        <v>$millions</v>
      </c>
      <c r="F84" s="175">
        <f t="shared" si="8"/>
        <v>43983</v>
      </c>
      <c r="G84" s="32"/>
      <c r="H84" s="32"/>
      <c r="I84" s="32"/>
      <c r="J84" s="177">
        <f>SUM(J73:J83)</f>
        <v>0</v>
      </c>
      <c r="K84" s="177">
        <f t="shared" ref="K84:S84" si="9">SUM(K73:K83)</f>
        <v>0</v>
      </c>
      <c r="L84" s="177">
        <f t="shared" si="9"/>
        <v>0</v>
      </c>
      <c r="M84" s="177">
        <f t="shared" si="9"/>
        <v>0</v>
      </c>
      <c r="N84" s="177">
        <f t="shared" si="9"/>
        <v>0</v>
      </c>
      <c r="O84" s="177">
        <f t="shared" si="9"/>
        <v>0</v>
      </c>
      <c r="P84" s="177">
        <f t="shared" si="9"/>
        <v>-4.7199676405662722E-2</v>
      </c>
      <c r="Q84" s="177">
        <f t="shared" si="9"/>
        <v>-1.1929972129840993</v>
      </c>
      <c r="R84" s="177">
        <f t="shared" si="9"/>
        <v>-3.4710727528877321</v>
      </c>
      <c r="S84" s="177">
        <f t="shared" si="9"/>
        <v>-4.4680423314033035</v>
      </c>
    </row>
    <row r="85" spans="1:47">
      <c r="C85" s="123"/>
      <c r="D85" s="110"/>
      <c r="E85" s="110"/>
      <c r="F85" s="110"/>
      <c r="J85" s="107"/>
      <c r="K85" s="107"/>
      <c r="L85" s="107"/>
      <c r="M85" s="107"/>
      <c r="N85" s="23"/>
      <c r="O85" s="23"/>
      <c r="P85" s="23"/>
      <c r="Q85" s="23"/>
      <c r="R85" s="23"/>
      <c r="S85" s="23"/>
    </row>
    <row r="86" spans="1:47" s="103" customFormat="1" ht="12.75">
      <c r="A86" s="94"/>
      <c r="B86" s="95" t="s">
        <v>123</v>
      </c>
      <c r="C86" s="94"/>
      <c r="D86" s="94"/>
      <c r="E86" s="94"/>
      <c r="F86" s="96"/>
      <c r="G86" s="96"/>
      <c r="H86" s="96"/>
      <c r="I86" s="96"/>
      <c r="J86" s="97"/>
      <c r="K86" s="98"/>
      <c r="L86" s="97"/>
      <c r="M86" s="98"/>
      <c r="N86" s="97"/>
      <c r="O86" s="97"/>
      <c r="P86" s="97"/>
      <c r="Q86" s="97"/>
      <c r="R86" s="97"/>
      <c r="S86" s="97"/>
      <c r="T86" s="97"/>
      <c r="U86" s="97"/>
      <c r="V86" s="98"/>
      <c r="W86" s="98"/>
      <c r="X86" s="99"/>
      <c r="Y86" s="99"/>
      <c r="Z86" s="99"/>
      <c r="AA86" s="99"/>
      <c r="AB86" s="100"/>
      <c r="AC86" s="101"/>
      <c r="AD86" s="101"/>
      <c r="AE86" s="102"/>
      <c r="AF86" s="102"/>
      <c r="AG86" s="102"/>
      <c r="AH86" s="102"/>
      <c r="AI86" s="102"/>
      <c r="AJ86" s="102"/>
      <c r="AK86" s="102"/>
      <c r="AL86" s="102"/>
      <c r="AM86" s="102"/>
      <c r="AN86" s="102"/>
      <c r="AO86" s="102"/>
      <c r="AP86" s="102"/>
      <c r="AQ86" s="102"/>
      <c r="AR86" s="102"/>
      <c r="AS86" s="102"/>
      <c r="AT86" s="102"/>
      <c r="AU86" s="102"/>
    </row>
    <row r="87" spans="1:47" outlineLevel="1">
      <c r="C87" s="106"/>
      <c r="J87" s="107"/>
      <c r="K87" s="107"/>
      <c r="L87" s="107"/>
    </row>
    <row r="88" spans="1:47" outlineLevel="1">
      <c r="C88" s="67" t="s">
        <v>115</v>
      </c>
      <c r="D88" s="32" t="s">
        <v>7</v>
      </c>
      <c r="E88" s="32" t="s">
        <v>8</v>
      </c>
      <c r="F88" s="32" t="s">
        <v>22</v>
      </c>
      <c r="J88" s="163" t="str">
        <f>IF(YEAR(J$4)&gt;='Input|General'!$G$13,IF(YEAR(J$4)&lt;='Input|General'!$G$14,J$4,""),"")</f>
        <v/>
      </c>
      <c r="K88" s="163" t="str">
        <f>IF(YEAR(K$4)&gt;='Input|General'!$G$13,IF(YEAR(K$4)&lt;='Input|General'!$G$14,K$4,""),"")</f>
        <v/>
      </c>
      <c r="L88" s="163" t="str">
        <f>IF(YEAR(L$4)&gt;='Input|General'!$G$13,IF(YEAR(L$4)&lt;='Input|General'!$G$14,L$4,""),"")</f>
        <v/>
      </c>
      <c r="M88" s="163" t="str">
        <f>IF(YEAR(M$4)&gt;='Input|General'!$G$13,IF(YEAR(M$4)&lt;='Input|General'!$G$14,M$4,""),"")</f>
        <v/>
      </c>
      <c r="N88" s="163" t="str">
        <f>IF(YEAR(N$4)&gt;='Input|General'!$G$13,IF(YEAR(N$4)&lt;='Input|General'!$G$14,N$4,""),"")</f>
        <v/>
      </c>
      <c r="O88" s="163">
        <f>IF(YEAR(O$4)&gt;='Input|General'!$G$13,IF(YEAR(O$4)&lt;='Input|General'!$G$14,O$4,""),"")</f>
        <v>44348</v>
      </c>
      <c r="P88" s="163">
        <f>IF(YEAR(P$4)&gt;='Input|General'!$G$13,IF(YEAR(P$4)&lt;='Input|General'!$G$14,P$4,""),"")</f>
        <v>44713</v>
      </c>
      <c r="Q88" s="163">
        <f>IF(YEAR(Q$4)&gt;='Input|General'!$G$13,IF(YEAR(Q$4)&lt;='Input|General'!$G$14,Q$4,""),"")</f>
        <v>45078</v>
      </c>
      <c r="R88" s="163">
        <f>IF(YEAR(R$4)&gt;='Input|General'!$G$13,IF(YEAR(R$4)&lt;='Input|General'!$G$14,R$4,""),"")</f>
        <v>45444</v>
      </c>
      <c r="S88" s="163">
        <f>IF(YEAR(S$4)&gt;='Input|General'!$G$13,IF(YEAR(S$4)&lt;='Input|General'!$G$14,S$4,""),"")</f>
        <v>45809</v>
      </c>
    </row>
    <row r="89" spans="1:47" outlineLevel="1">
      <c r="C89" s="67"/>
      <c r="J89" s="120"/>
      <c r="K89" s="120"/>
      <c r="L89" s="120"/>
      <c r="M89" s="120"/>
      <c r="N89" s="120"/>
      <c r="O89" s="120"/>
      <c r="P89" s="120"/>
      <c r="Q89" s="120"/>
      <c r="R89" s="120"/>
      <c r="S89" s="120"/>
    </row>
    <row r="90" spans="1:47" outlineLevel="1">
      <c r="C90" s="121">
        <f>'Input|Step changes'!C28</f>
        <v>0</v>
      </c>
      <c r="D90" s="110" t="s">
        <v>30</v>
      </c>
      <c r="E90" s="30" t="str">
        <f t="shared" si="7"/>
        <v>$millions</v>
      </c>
      <c r="F90" s="161">
        <f t="shared" ref="F90:F92" si="10">$F$8</f>
        <v>43983</v>
      </c>
      <c r="J90" s="127">
        <f>'Input|Step changes'!J28*IF('Input|Step changes'!$F28="nominal",LOOKUP($F90,Nominal_to_Real,'Input|Rate of change'!N$25:N$30),INDEX('Input|Rate of change'!$C$14:$O$21,MATCH('Input|Step changes'!$F28,'Input|Rate of change'!$C$14:$C$21,0),MATCH('Calc|Opex forecast'!$F90,'Input|Rate of change'!$C$14:$O$14,0)))*IF('Input|Step changes'!$E28="$millions",1000000,IF('Input|Step changes'!$E28="$000",1000,1))/IF($E90="$millions",1000000,IF($E90="$000",1000,1))</f>
        <v>0</v>
      </c>
      <c r="K90" s="127">
        <f>'Input|Step changes'!K28*IF('Input|Step changes'!$F28="nominal",LOOKUP($F90,Nominal_to_Real,'Input|Rate of change'!O$25:O$30),INDEX('Input|Rate of change'!$C$14:$O$21,MATCH('Input|Step changes'!$F28,'Input|Rate of change'!$C$14:$C$21,0),MATCH('Calc|Opex forecast'!$F90,'Input|Rate of change'!$C$14:$O$14,0)))*IF('Input|Step changes'!$E28="$millions",1000000,IF('Input|Step changes'!$E28="$000",1000,1))/IF($E90="$millions",1000000,IF($E90="$000",1000,1))</f>
        <v>0</v>
      </c>
      <c r="L90" s="127">
        <f>'Input|Step changes'!L28*IF('Input|Step changes'!$F28="nominal",LOOKUP($F90,Nominal_to_Real,'Input|Rate of change'!P$25:P$30),INDEX('Input|Rate of change'!$C$14:$O$21,MATCH('Input|Step changes'!$F28,'Input|Rate of change'!$C$14:$C$21,0),MATCH('Calc|Opex forecast'!$F90,'Input|Rate of change'!$C$14:$O$14,0)))*IF('Input|Step changes'!$E28="$millions",1000000,IF('Input|Step changes'!$E28="$000",1000,1))/IF($E90="$millions",1000000,IF($E90="$000",1000,1))</f>
        <v>0</v>
      </c>
      <c r="M90" s="127">
        <f>'Input|Step changes'!M28*IF('Input|Step changes'!$F28="nominal",LOOKUP($F90,Nominal_to_Real,'Input|Rate of change'!Q$25:Q$30),INDEX('Input|Rate of change'!$C$14:$O$21,MATCH('Input|Step changes'!$F28,'Input|Rate of change'!$C$14:$C$21,0),MATCH('Calc|Opex forecast'!$F90,'Input|Rate of change'!$C$14:$O$14,0)))*IF('Input|Step changes'!$E28="$millions",1000000,IF('Input|Step changes'!$E28="$000",1000,1))/IF($E90="$millions",1000000,IF($E90="$000",1000,1))</f>
        <v>0</v>
      </c>
      <c r="N90" s="127">
        <f>'Input|Step changes'!N28*IF('Input|Step changes'!$F28="nominal",LOOKUP($F90,Nominal_to_Real,'Input|Rate of change'!R$25:R$30),INDEX('Input|Rate of change'!$C$14:$O$21,MATCH('Input|Step changes'!$F28,'Input|Rate of change'!$C$14:$C$21,0),MATCH('Calc|Opex forecast'!$F90,'Input|Rate of change'!$C$14:$O$14,0)))*IF('Input|Step changes'!$E28="$millions",1000000,IF('Input|Step changes'!$E28="$000",1000,1))/IF($E90="$millions",1000000,IF($E90="$000",1000,1))</f>
        <v>0</v>
      </c>
      <c r="O90" s="127">
        <f>'Input|Step changes'!O28*IF('Input|Step changes'!$F28="nominal",LOOKUP($F90,Nominal_to_Real,'Input|Rate of change'!S$25:S$30),INDEX('Input|Rate of change'!$C$14:$O$21,MATCH('Input|Step changes'!$F28,'Input|Rate of change'!$C$14:$C$21,0),MATCH('Calc|Opex forecast'!$F90,'Input|Rate of change'!$C$14:$O$14,0)))*IF('Input|Step changes'!$E28="$millions",1000000,IF('Input|Step changes'!$E28="$000",1000,1))/IF($E90="$millions",1000000,IF($E90="$000",1000,1))</f>
        <v>0</v>
      </c>
      <c r="P90" s="127">
        <f>'Input|Step changes'!P28*IF('Input|Step changes'!$F28="nominal",LOOKUP($F90,Nominal_to_Real,'Input|Rate of change'!T$25:T$30),INDEX('Input|Rate of change'!$C$14:$O$21,MATCH('Input|Step changes'!$F28,'Input|Rate of change'!$C$14:$C$21,0),MATCH('Calc|Opex forecast'!$F90,'Input|Rate of change'!$C$14:$O$14,0)))*IF('Input|Step changes'!$E28="$millions",1000000,IF('Input|Step changes'!$E28="$000",1000,1))/IF($E90="$millions",1000000,IF($E90="$000",1000,1))</f>
        <v>0</v>
      </c>
      <c r="Q90" s="127">
        <f>'Input|Step changes'!Q28*IF('Input|Step changes'!$F28="nominal",LOOKUP($F90,Nominal_to_Real,'Input|Rate of change'!U$25:U$30),INDEX('Input|Rate of change'!$C$14:$O$21,MATCH('Input|Step changes'!$F28,'Input|Rate of change'!$C$14:$C$21,0),MATCH('Calc|Opex forecast'!$F90,'Input|Rate of change'!$C$14:$O$14,0)))*IF('Input|Step changes'!$E28="$millions",1000000,IF('Input|Step changes'!$E28="$000",1000,1))/IF($E90="$millions",1000000,IF($E90="$000",1000,1))</f>
        <v>0</v>
      </c>
      <c r="R90" s="127">
        <f>'Input|Step changes'!R28*IF('Input|Step changes'!$F28="nominal",LOOKUP($F90,Nominal_to_Real,'Input|Rate of change'!V$25:V$30),INDEX('Input|Rate of change'!$C$14:$O$21,MATCH('Input|Step changes'!$F28,'Input|Rate of change'!$C$14:$C$21,0),MATCH('Calc|Opex forecast'!$F90,'Input|Rate of change'!$C$14:$O$14,0)))*IF('Input|Step changes'!$E28="$millions",1000000,IF('Input|Step changes'!$E28="$000",1000,1))/IF($E90="$millions",1000000,IF($E90="$000",1000,1))</f>
        <v>0</v>
      </c>
      <c r="S90" s="127">
        <f>'Input|Step changes'!S28*IF('Input|Step changes'!$F28="nominal",LOOKUP($F90,Nominal_to_Real,'Input|Rate of change'!W$25:W$30),INDEX('Input|Rate of change'!$C$14:$O$21,MATCH('Input|Step changes'!$F28,'Input|Rate of change'!$C$14:$C$21,0),MATCH('Calc|Opex forecast'!$F90,'Input|Rate of change'!$C$14:$O$14,0)))*IF('Input|Step changes'!$E28="$millions",1000000,IF('Input|Step changes'!$E28="$000",1000,1))/IF($E90="$millions",1000000,IF($E90="$000",1000,1))</f>
        <v>0</v>
      </c>
    </row>
    <row r="91" spans="1:47" outlineLevel="1">
      <c r="C91" s="121">
        <f>'Input|Step changes'!C29</f>
        <v>0</v>
      </c>
      <c r="D91" s="110" t="s">
        <v>30</v>
      </c>
      <c r="E91" s="30" t="str">
        <f t="shared" si="7"/>
        <v>$millions</v>
      </c>
      <c r="F91" s="161">
        <f t="shared" si="10"/>
        <v>43983</v>
      </c>
      <c r="J91" s="127">
        <f>'Input|Step changes'!J29*IF('Input|Step changes'!$F29="nominal",LOOKUP($F91,Nominal_to_Real,'Input|Rate of change'!N$25:N$30),INDEX('Input|Rate of change'!$C$14:$O$21,MATCH('Input|Step changes'!$F29,'Input|Rate of change'!$C$14:$C$21,0),MATCH('Calc|Opex forecast'!$F91,'Input|Rate of change'!$C$14:$O$14,0)))*IF('Input|Step changes'!$E29="$millions",1000000,IF('Input|Step changes'!$E29="$000",1000,1))/IF($E91="$millions",1000000,IF($E91="$000",1000,1))</f>
        <v>0</v>
      </c>
      <c r="K91" s="127">
        <f>'Input|Step changes'!K29*IF('Input|Step changes'!$F29="nominal",LOOKUP($F91,Nominal_to_Real,'Input|Rate of change'!O$25:O$30),INDEX('Input|Rate of change'!$C$14:$O$21,MATCH('Input|Step changes'!$F29,'Input|Rate of change'!$C$14:$C$21,0),MATCH('Calc|Opex forecast'!$F91,'Input|Rate of change'!$C$14:$O$14,0)))*IF('Input|Step changes'!$E29="$millions",1000000,IF('Input|Step changes'!$E29="$000",1000,1))/IF($E91="$millions",1000000,IF($E91="$000",1000,1))</f>
        <v>0</v>
      </c>
      <c r="L91" s="127">
        <f>'Input|Step changes'!L29*IF('Input|Step changes'!$F29="nominal",LOOKUP($F91,Nominal_to_Real,'Input|Rate of change'!P$25:P$30),INDEX('Input|Rate of change'!$C$14:$O$21,MATCH('Input|Step changes'!$F29,'Input|Rate of change'!$C$14:$C$21,0),MATCH('Calc|Opex forecast'!$F91,'Input|Rate of change'!$C$14:$O$14,0)))*IF('Input|Step changes'!$E29="$millions",1000000,IF('Input|Step changes'!$E29="$000",1000,1))/IF($E91="$millions",1000000,IF($E91="$000",1000,1))</f>
        <v>0</v>
      </c>
      <c r="M91" s="127">
        <f>'Input|Step changes'!M29*IF('Input|Step changes'!$F29="nominal",LOOKUP($F91,Nominal_to_Real,'Input|Rate of change'!Q$25:Q$30),INDEX('Input|Rate of change'!$C$14:$O$21,MATCH('Input|Step changes'!$F29,'Input|Rate of change'!$C$14:$C$21,0),MATCH('Calc|Opex forecast'!$F91,'Input|Rate of change'!$C$14:$O$14,0)))*IF('Input|Step changes'!$E29="$millions",1000000,IF('Input|Step changes'!$E29="$000",1000,1))/IF($E91="$millions",1000000,IF($E91="$000",1000,1))</f>
        <v>0</v>
      </c>
      <c r="N91" s="127">
        <f>'Input|Step changes'!N29*IF('Input|Step changes'!$F29="nominal",LOOKUP($F91,Nominal_to_Real,'Input|Rate of change'!R$25:R$30),INDEX('Input|Rate of change'!$C$14:$O$21,MATCH('Input|Step changes'!$F29,'Input|Rate of change'!$C$14:$C$21,0),MATCH('Calc|Opex forecast'!$F91,'Input|Rate of change'!$C$14:$O$14,0)))*IF('Input|Step changes'!$E29="$millions",1000000,IF('Input|Step changes'!$E29="$000",1000,1))/IF($E91="$millions",1000000,IF($E91="$000",1000,1))</f>
        <v>0</v>
      </c>
      <c r="O91" s="127">
        <f>'Input|Step changes'!O29*IF('Input|Step changes'!$F29="nominal",LOOKUP($F91,Nominal_to_Real,'Input|Rate of change'!S$25:S$30),INDEX('Input|Rate of change'!$C$14:$O$21,MATCH('Input|Step changes'!$F29,'Input|Rate of change'!$C$14:$C$21,0),MATCH('Calc|Opex forecast'!$F91,'Input|Rate of change'!$C$14:$O$14,0)))*IF('Input|Step changes'!$E29="$millions",1000000,IF('Input|Step changes'!$E29="$000",1000,1))/IF($E91="$millions",1000000,IF($E91="$000",1000,1))</f>
        <v>0</v>
      </c>
      <c r="P91" s="127">
        <f>'Input|Step changes'!P29*IF('Input|Step changes'!$F29="nominal",LOOKUP($F91,Nominal_to_Real,'Input|Rate of change'!T$25:T$30),INDEX('Input|Rate of change'!$C$14:$O$21,MATCH('Input|Step changes'!$F29,'Input|Rate of change'!$C$14:$C$21,0),MATCH('Calc|Opex forecast'!$F91,'Input|Rate of change'!$C$14:$O$14,0)))*IF('Input|Step changes'!$E29="$millions",1000000,IF('Input|Step changes'!$E29="$000",1000,1))/IF($E91="$millions",1000000,IF($E91="$000",1000,1))</f>
        <v>0</v>
      </c>
      <c r="Q91" s="127">
        <f>'Input|Step changes'!Q29*IF('Input|Step changes'!$F29="nominal",LOOKUP($F91,Nominal_to_Real,'Input|Rate of change'!U$25:U$30),INDEX('Input|Rate of change'!$C$14:$O$21,MATCH('Input|Step changes'!$F29,'Input|Rate of change'!$C$14:$C$21,0),MATCH('Calc|Opex forecast'!$F91,'Input|Rate of change'!$C$14:$O$14,0)))*IF('Input|Step changes'!$E29="$millions",1000000,IF('Input|Step changes'!$E29="$000",1000,1))/IF($E91="$millions",1000000,IF($E91="$000",1000,1))</f>
        <v>0</v>
      </c>
      <c r="R91" s="127">
        <f>'Input|Step changes'!R29*IF('Input|Step changes'!$F29="nominal",LOOKUP($F91,Nominal_to_Real,'Input|Rate of change'!V$25:V$30),INDEX('Input|Rate of change'!$C$14:$O$21,MATCH('Input|Step changes'!$F29,'Input|Rate of change'!$C$14:$C$21,0),MATCH('Calc|Opex forecast'!$F91,'Input|Rate of change'!$C$14:$O$14,0)))*IF('Input|Step changes'!$E29="$millions",1000000,IF('Input|Step changes'!$E29="$000",1000,1))/IF($E91="$millions",1000000,IF($E91="$000",1000,1))</f>
        <v>0</v>
      </c>
      <c r="S91" s="127">
        <f>'Input|Step changes'!S29*IF('Input|Step changes'!$F29="nominal",LOOKUP($F91,Nominal_to_Real,'Input|Rate of change'!W$25:W$30),INDEX('Input|Rate of change'!$C$14:$O$21,MATCH('Input|Step changes'!$F29,'Input|Rate of change'!$C$14:$C$21,0),MATCH('Calc|Opex forecast'!$F91,'Input|Rate of change'!$C$14:$O$14,0)))*IF('Input|Step changes'!$E29="$millions",1000000,IF('Input|Step changes'!$E29="$000",1000,1))/IF($E91="$millions",1000000,IF($E91="$000",1000,1))</f>
        <v>0</v>
      </c>
    </row>
    <row r="92" spans="1:47" outlineLevel="1">
      <c r="C92" s="121">
        <f>'Input|Step changes'!C30</f>
        <v>0</v>
      </c>
      <c r="D92" s="110" t="s">
        <v>30</v>
      </c>
      <c r="E92" s="30" t="str">
        <f t="shared" si="7"/>
        <v>$millions</v>
      </c>
      <c r="F92" s="161">
        <f t="shared" si="10"/>
        <v>43983</v>
      </c>
      <c r="J92" s="127">
        <f>'Input|Step changes'!J30*IF('Input|Step changes'!$F30="nominal",LOOKUP($F92,Nominal_to_Real,'Input|Rate of change'!N$25:N$30),INDEX('Input|Rate of change'!$C$14:$O$21,MATCH('Input|Step changes'!$F30,'Input|Rate of change'!$C$14:$C$21,0),MATCH('Calc|Opex forecast'!$F92,'Input|Rate of change'!$C$14:$O$14,0)))*IF('Input|Step changes'!$E30="$millions",1000000,IF('Input|Step changes'!$E30="$000",1000,1))/IF($E92="$millions",1000000,IF($E92="$000",1000,1))</f>
        <v>0</v>
      </c>
      <c r="K92" s="127">
        <f>'Input|Step changes'!K30*IF('Input|Step changes'!$F30="nominal",LOOKUP($F92,Nominal_to_Real,'Input|Rate of change'!O$25:O$30),INDEX('Input|Rate of change'!$C$14:$O$21,MATCH('Input|Step changes'!$F30,'Input|Rate of change'!$C$14:$C$21,0),MATCH('Calc|Opex forecast'!$F92,'Input|Rate of change'!$C$14:$O$14,0)))*IF('Input|Step changes'!$E30="$millions",1000000,IF('Input|Step changes'!$E30="$000",1000,1))/IF($E92="$millions",1000000,IF($E92="$000",1000,1))</f>
        <v>0</v>
      </c>
      <c r="L92" s="127">
        <f>'Input|Step changes'!L30*IF('Input|Step changes'!$F30="nominal",LOOKUP($F92,Nominal_to_Real,'Input|Rate of change'!P$25:P$30),INDEX('Input|Rate of change'!$C$14:$O$21,MATCH('Input|Step changes'!$F30,'Input|Rate of change'!$C$14:$C$21,0),MATCH('Calc|Opex forecast'!$F92,'Input|Rate of change'!$C$14:$O$14,0)))*IF('Input|Step changes'!$E30="$millions",1000000,IF('Input|Step changes'!$E30="$000",1000,1))/IF($E92="$millions",1000000,IF($E92="$000",1000,1))</f>
        <v>0</v>
      </c>
      <c r="M92" s="127">
        <f>'Input|Step changes'!M30*IF('Input|Step changes'!$F30="nominal",LOOKUP($F92,Nominal_to_Real,'Input|Rate of change'!Q$25:Q$30),INDEX('Input|Rate of change'!$C$14:$O$21,MATCH('Input|Step changes'!$F30,'Input|Rate of change'!$C$14:$C$21,0),MATCH('Calc|Opex forecast'!$F92,'Input|Rate of change'!$C$14:$O$14,0)))*IF('Input|Step changes'!$E30="$millions",1000000,IF('Input|Step changes'!$E30="$000",1000,1))/IF($E92="$millions",1000000,IF($E92="$000",1000,1))</f>
        <v>0</v>
      </c>
      <c r="N92" s="127">
        <f>'Input|Step changes'!N30*IF('Input|Step changes'!$F30="nominal",LOOKUP($F92,Nominal_to_Real,'Input|Rate of change'!R$25:R$30),INDEX('Input|Rate of change'!$C$14:$O$21,MATCH('Input|Step changes'!$F30,'Input|Rate of change'!$C$14:$C$21,0),MATCH('Calc|Opex forecast'!$F92,'Input|Rate of change'!$C$14:$O$14,0)))*IF('Input|Step changes'!$E30="$millions",1000000,IF('Input|Step changes'!$E30="$000",1000,1))/IF($E92="$millions",1000000,IF($E92="$000",1000,1))</f>
        <v>0</v>
      </c>
      <c r="O92" s="127">
        <f>'Input|Step changes'!O30*IF('Input|Step changes'!$F30="nominal",LOOKUP($F92,Nominal_to_Real,'Input|Rate of change'!S$25:S$30),INDEX('Input|Rate of change'!$C$14:$O$21,MATCH('Input|Step changes'!$F30,'Input|Rate of change'!$C$14:$C$21,0),MATCH('Calc|Opex forecast'!$F92,'Input|Rate of change'!$C$14:$O$14,0)))*IF('Input|Step changes'!$E30="$millions",1000000,IF('Input|Step changes'!$E30="$000",1000,1))/IF($E92="$millions",1000000,IF($E92="$000",1000,1))</f>
        <v>0</v>
      </c>
      <c r="P92" s="127">
        <f>'Input|Step changes'!P30*IF('Input|Step changes'!$F30="nominal",LOOKUP($F92,Nominal_to_Real,'Input|Rate of change'!T$25:T$30),INDEX('Input|Rate of change'!$C$14:$O$21,MATCH('Input|Step changes'!$F30,'Input|Rate of change'!$C$14:$C$21,0),MATCH('Calc|Opex forecast'!$F92,'Input|Rate of change'!$C$14:$O$14,0)))*IF('Input|Step changes'!$E30="$millions",1000000,IF('Input|Step changes'!$E30="$000",1000,1))/IF($E92="$millions",1000000,IF($E92="$000",1000,1))</f>
        <v>0</v>
      </c>
      <c r="Q92" s="127">
        <f>'Input|Step changes'!Q30*IF('Input|Step changes'!$F30="nominal",LOOKUP($F92,Nominal_to_Real,'Input|Rate of change'!U$25:U$30),INDEX('Input|Rate of change'!$C$14:$O$21,MATCH('Input|Step changes'!$F30,'Input|Rate of change'!$C$14:$C$21,0),MATCH('Calc|Opex forecast'!$F92,'Input|Rate of change'!$C$14:$O$14,0)))*IF('Input|Step changes'!$E30="$millions",1000000,IF('Input|Step changes'!$E30="$000",1000,1))/IF($E92="$millions",1000000,IF($E92="$000",1000,1))</f>
        <v>0</v>
      </c>
      <c r="R92" s="127">
        <f>'Input|Step changes'!R30*IF('Input|Step changes'!$F30="nominal",LOOKUP($F92,Nominal_to_Real,'Input|Rate of change'!V$25:V$30),INDEX('Input|Rate of change'!$C$14:$O$21,MATCH('Input|Step changes'!$F30,'Input|Rate of change'!$C$14:$C$21,0),MATCH('Calc|Opex forecast'!$F92,'Input|Rate of change'!$C$14:$O$14,0)))*IF('Input|Step changes'!$E30="$millions",1000000,IF('Input|Step changes'!$E30="$000",1000,1))/IF($E92="$millions",1000000,IF($E92="$000",1000,1))</f>
        <v>0</v>
      </c>
      <c r="S92" s="127">
        <f>'Input|Step changes'!S30*IF('Input|Step changes'!$F30="nominal",LOOKUP($F92,Nominal_to_Real,'Input|Rate of change'!W$25:W$30),INDEX('Input|Rate of change'!$C$14:$O$21,MATCH('Input|Step changes'!$F30,'Input|Rate of change'!$C$14:$C$21,0),MATCH('Calc|Opex forecast'!$F92,'Input|Rate of change'!$C$14:$O$14,0)))*IF('Input|Step changes'!$E30="$millions",1000000,IF('Input|Step changes'!$E30="$000",1000,1))/IF($E92="$millions",1000000,IF($E92="$000",1000,1))</f>
        <v>0</v>
      </c>
    </row>
    <row r="93" spans="1:47" outlineLevel="1">
      <c r="C93" s="121"/>
      <c r="D93" s="108"/>
      <c r="F93" s="112"/>
      <c r="J93" s="176"/>
      <c r="K93" s="176"/>
      <c r="L93" s="176"/>
      <c r="M93" s="176"/>
      <c r="N93" s="176"/>
      <c r="O93" s="176"/>
      <c r="P93" s="176"/>
      <c r="Q93" s="176"/>
      <c r="R93" s="176"/>
      <c r="S93" s="176"/>
      <c r="T93" s="107"/>
      <c r="U93" s="107"/>
      <c r="V93" s="107"/>
      <c r="W93" s="107"/>
      <c r="X93" s="107"/>
      <c r="Y93" s="107"/>
      <c r="Z93" s="107"/>
      <c r="AA93" s="107"/>
      <c r="AB93" s="107"/>
      <c r="AC93" s="107"/>
      <c r="AD93" s="107"/>
      <c r="AE93" s="107"/>
      <c r="AF93" s="107"/>
      <c r="AG93" s="107"/>
      <c r="AH93" s="107"/>
      <c r="AI93" s="107"/>
      <c r="AJ93" s="107"/>
      <c r="AK93" s="107"/>
      <c r="AL93" s="107"/>
    </row>
    <row r="94" spans="1:47" outlineLevel="1">
      <c r="C94" s="113" t="s">
        <v>124</v>
      </c>
      <c r="D94" s="122" t="s">
        <v>30</v>
      </c>
      <c r="E94" s="122" t="str">
        <f>$E$8</f>
        <v>$millions</v>
      </c>
      <c r="F94" s="175">
        <f t="shared" ref="F94" si="11">$F$8</f>
        <v>43983</v>
      </c>
      <c r="G94" s="32"/>
      <c r="H94" s="32"/>
      <c r="I94" s="32"/>
      <c r="J94" s="128">
        <f>SUM(J89:J93)</f>
        <v>0</v>
      </c>
      <c r="K94" s="128">
        <f t="shared" ref="K94:S94" si="12">SUM(K89:K93)</f>
        <v>0</v>
      </c>
      <c r="L94" s="128">
        <f t="shared" si="12"/>
        <v>0</v>
      </c>
      <c r="M94" s="128">
        <f t="shared" si="12"/>
        <v>0</v>
      </c>
      <c r="N94" s="128">
        <f t="shared" si="12"/>
        <v>0</v>
      </c>
      <c r="O94" s="128">
        <f t="shared" si="12"/>
        <v>0</v>
      </c>
      <c r="P94" s="128">
        <f t="shared" si="12"/>
        <v>0</v>
      </c>
      <c r="Q94" s="128">
        <f t="shared" si="12"/>
        <v>0</v>
      </c>
      <c r="R94" s="128">
        <f t="shared" si="12"/>
        <v>0</v>
      </c>
      <c r="S94" s="128">
        <f t="shared" si="12"/>
        <v>0</v>
      </c>
    </row>
    <row r="95" spans="1:47">
      <c r="C95" s="123"/>
      <c r="D95" s="110"/>
      <c r="E95" s="110"/>
      <c r="F95" s="110"/>
      <c r="J95" s="107"/>
      <c r="K95" s="107"/>
      <c r="L95" s="107"/>
      <c r="M95" s="107"/>
      <c r="N95" s="23"/>
      <c r="O95" s="23"/>
      <c r="P95" s="23"/>
      <c r="Q95" s="23"/>
      <c r="R95" s="23"/>
      <c r="S95" s="23"/>
    </row>
    <row r="96" spans="1:47" s="103" customFormat="1" ht="12.75">
      <c r="A96" s="94"/>
      <c r="B96" s="95" t="s">
        <v>95</v>
      </c>
      <c r="C96" s="94"/>
      <c r="D96" s="94"/>
      <c r="E96" s="94"/>
      <c r="F96" s="96"/>
      <c r="G96" s="96"/>
      <c r="H96" s="96"/>
      <c r="I96" s="96"/>
      <c r="J96" s="97"/>
      <c r="K96" s="98"/>
      <c r="L96" s="97"/>
      <c r="M96" s="98"/>
      <c r="N96" s="97"/>
      <c r="O96" s="97"/>
      <c r="P96" s="97"/>
      <c r="Q96" s="97"/>
      <c r="R96" s="97"/>
      <c r="S96" s="97"/>
      <c r="T96" s="97"/>
      <c r="U96" s="97"/>
      <c r="V96" s="98"/>
      <c r="W96" s="98"/>
      <c r="X96" s="99"/>
      <c r="Y96" s="99"/>
      <c r="Z96" s="99"/>
      <c r="AA96" s="99"/>
      <c r="AB96" s="100"/>
      <c r="AC96" s="101"/>
      <c r="AD96" s="101"/>
      <c r="AE96" s="102"/>
      <c r="AF96" s="102"/>
      <c r="AG96" s="102"/>
      <c r="AH96" s="102"/>
      <c r="AI96" s="102"/>
      <c r="AJ96" s="102"/>
      <c r="AK96" s="102"/>
      <c r="AL96" s="102"/>
      <c r="AM96" s="102"/>
      <c r="AN96" s="102"/>
      <c r="AO96" s="102"/>
      <c r="AP96" s="102"/>
      <c r="AQ96" s="102"/>
      <c r="AR96" s="102"/>
      <c r="AS96" s="102"/>
      <c r="AT96" s="102"/>
      <c r="AU96" s="102"/>
    </row>
    <row r="97" spans="1:47" outlineLevel="1">
      <c r="C97" s="106"/>
      <c r="J97" s="107"/>
      <c r="K97" s="107"/>
      <c r="L97" s="107"/>
    </row>
    <row r="98" spans="1:47" outlineLevel="1">
      <c r="C98" s="67"/>
      <c r="J98" s="163" t="str">
        <f>IF(YEAR(J$4)&gt;='Input|General'!$G$13,IF(YEAR(J$4)&lt;='Input|General'!$G$14,J$4,""),"")</f>
        <v/>
      </c>
      <c r="K98" s="163" t="str">
        <f>IF(YEAR(K$4)&gt;='Input|General'!$G$13,IF(YEAR(K$4)&lt;='Input|General'!$G$14,K$4,""),"")</f>
        <v/>
      </c>
      <c r="L98" s="163" t="str">
        <f>IF(YEAR(L$4)&gt;='Input|General'!$G$13,IF(YEAR(L$4)&lt;='Input|General'!$G$14,L$4,""),"")</f>
        <v/>
      </c>
      <c r="M98" s="163" t="str">
        <f>IF(YEAR(M$4)&gt;='Input|General'!$G$13,IF(YEAR(M$4)&lt;='Input|General'!$G$14,M$4,""),"")</f>
        <v/>
      </c>
      <c r="N98" s="163" t="str">
        <f>IF(YEAR(N$4)&gt;='Input|General'!$G$13,IF(YEAR(N$4)&lt;='Input|General'!$G$14,N$4,""),"")</f>
        <v/>
      </c>
      <c r="O98" s="163">
        <f>IF(YEAR(O$4)&gt;='Input|General'!$G$13,IF(YEAR(O$4)&lt;='Input|General'!$G$14,O$4,""),"")</f>
        <v>44348</v>
      </c>
      <c r="P98" s="163">
        <f>IF(YEAR(P$4)&gt;='Input|General'!$G$13,IF(YEAR(P$4)&lt;='Input|General'!$G$14,P$4,""),"")</f>
        <v>44713</v>
      </c>
      <c r="Q98" s="163">
        <f>IF(YEAR(Q$4)&gt;='Input|General'!$G$13,IF(YEAR(Q$4)&lt;='Input|General'!$G$14,Q$4,""),"")</f>
        <v>45078</v>
      </c>
      <c r="R98" s="163">
        <f>IF(YEAR(R$4)&gt;='Input|General'!$G$13,IF(YEAR(R$4)&lt;='Input|General'!$G$14,R$4,""),"")</f>
        <v>45444</v>
      </c>
      <c r="S98" s="163">
        <f>IF(YEAR(S$4)&gt;='Input|General'!$G$13,IF(YEAR(S$4)&lt;='Input|General'!$G$14,S$4,""),"")</f>
        <v>45809</v>
      </c>
    </row>
    <row r="99" spans="1:47" outlineLevel="1">
      <c r="C99" s="124"/>
      <c r="D99" s="110"/>
      <c r="E99" s="110"/>
      <c r="F99" s="110"/>
      <c r="J99" s="125"/>
      <c r="K99" s="125"/>
      <c r="L99" s="125"/>
      <c r="M99" s="125"/>
      <c r="N99" s="125"/>
      <c r="O99" s="125"/>
      <c r="P99" s="125"/>
      <c r="Q99" s="125"/>
      <c r="R99" s="125"/>
      <c r="S99" s="125"/>
    </row>
    <row r="100" spans="1:47" outlineLevel="1">
      <c r="C100" s="123" t="s">
        <v>141</v>
      </c>
      <c r="D100" s="126" t="s">
        <v>30</v>
      </c>
      <c r="E100" s="126" t="str">
        <f>$E$8</f>
        <v>$millions</v>
      </c>
      <c r="F100" s="175">
        <f t="shared" ref="F100:F102" si="13">$F$8</f>
        <v>43983</v>
      </c>
      <c r="J100" s="151" t="str">
        <f t="shared" ref="J100:S100" si="14">IF(YEAR(J$4)&gt;=FPFirstYear,IF(YEAR(J$4)&lt;=FPLastYear,IF(ISBLANK(J98),"",(1+J68)*SUM($J54:$S54)+J84),""),"")</f>
        <v/>
      </c>
      <c r="K100" s="151" t="str">
        <f t="shared" si="14"/>
        <v/>
      </c>
      <c r="L100" s="151" t="str">
        <f t="shared" si="14"/>
        <v/>
      </c>
      <c r="M100" s="151" t="str">
        <f t="shared" si="14"/>
        <v/>
      </c>
      <c r="N100" s="151" t="str">
        <f t="shared" si="14"/>
        <v/>
      </c>
      <c r="O100" s="151">
        <f t="shared" si="14"/>
        <v>371.30776710954115</v>
      </c>
      <c r="P100" s="151">
        <f t="shared" si="14"/>
        <v>375.37189408948655</v>
      </c>
      <c r="Q100" s="151">
        <f t="shared" si="14"/>
        <v>378.27766755486817</v>
      </c>
      <c r="R100" s="151">
        <f t="shared" si="14"/>
        <v>380.00995692918133</v>
      </c>
      <c r="S100" s="151">
        <f t="shared" si="14"/>
        <v>382.888802868347</v>
      </c>
    </row>
    <row r="101" spans="1:47" outlineLevel="1">
      <c r="C101" s="123" t="s">
        <v>113</v>
      </c>
      <c r="D101" s="126" t="s">
        <v>30</v>
      </c>
      <c r="E101" s="126" t="str">
        <f>$E$8</f>
        <v>$millions</v>
      </c>
      <c r="F101" s="175">
        <f t="shared" si="13"/>
        <v>43983</v>
      </c>
      <c r="J101" s="151" t="str">
        <f t="shared" ref="J101:S101" si="15">IF(YEAR(J$4)&gt;=FPFirstYear,IF(YEAR(J$4)&lt;=FPLastYear,IF(ISBLANK(J98),"",(1+J68)*SUM($J54:$S54)+J84+J94),""),"")</f>
        <v/>
      </c>
      <c r="K101" s="151" t="str">
        <f t="shared" si="15"/>
        <v/>
      </c>
      <c r="L101" s="151" t="str">
        <f t="shared" si="15"/>
        <v/>
      </c>
      <c r="M101" s="151" t="str">
        <f t="shared" si="15"/>
        <v/>
      </c>
      <c r="N101" s="151" t="str">
        <f t="shared" si="15"/>
        <v/>
      </c>
      <c r="O101" s="151">
        <f t="shared" si="15"/>
        <v>371.30776710954115</v>
      </c>
      <c r="P101" s="151">
        <f t="shared" si="15"/>
        <v>375.37189408948655</v>
      </c>
      <c r="Q101" s="151">
        <f t="shared" si="15"/>
        <v>378.27766755486817</v>
      </c>
      <c r="R101" s="151">
        <f t="shared" si="15"/>
        <v>380.00995692918133</v>
      </c>
      <c r="S101" s="151">
        <f t="shared" si="15"/>
        <v>382.888802868347</v>
      </c>
    </row>
    <row r="102" spans="1:47" outlineLevel="1">
      <c r="C102" s="123" t="s">
        <v>114</v>
      </c>
      <c r="D102" s="126" t="s">
        <v>30</v>
      </c>
      <c r="E102" s="126" t="str">
        <f>$E$8</f>
        <v>$millions</v>
      </c>
      <c r="F102" s="175">
        <f t="shared" si="13"/>
        <v>43983</v>
      </c>
      <c r="J102" s="151" t="str">
        <f>IF(YEAR(J$4)&gt;=FPFirstYear,IF(YEAR(J$4)&lt;=FPLastYear,J101+'Input|Step changes'!J38,""),"")</f>
        <v/>
      </c>
      <c r="K102" s="151" t="str">
        <f>IF(YEAR(K$4)&gt;=FPFirstYear,IF(YEAR(K$4)&lt;=FPLastYear,K101+'Input|Step changes'!K38,""),"")</f>
        <v/>
      </c>
      <c r="L102" s="151" t="str">
        <f>IF(YEAR(L$4)&gt;=FPFirstYear,IF(YEAR(L$4)&lt;=FPLastYear,L101+'Input|Step changes'!L38,""),"")</f>
        <v/>
      </c>
      <c r="M102" s="151" t="str">
        <f>IF(YEAR(M$4)&gt;=FPFirstYear,IF(YEAR(M$4)&lt;=FPLastYear,M101+'Input|Step changes'!M38,""),"")</f>
        <v/>
      </c>
      <c r="N102" s="151" t="str">
        <f>IF(YEAR(N$4)&gt;=FPFirstYear,IF(YEAR(N$4)&lt;=FPLastYear,N101+'Input|Step changes'!N38,""),"")</f>
        <v/>
      </c>
      <c r="O102" s="151">
        <f>IF(YEAR(O$4)&gt;=FPFirstYear,IF(YEAR(O$4)&lt;=FPLastYear,O101+'Input|Step changes'!O38,""),"")</f>
        <v>375.49360926187489</v>
      </c>
      <c r="P102" s="151">
        <f>IF(YEAR(P$4)&gt;=FPFirstYear,IF(YEAR(P$4)&lt;=FPLastYear,P101+'Input|Step changes'!P38,""),"")</f>
        <v>379.55073318435723</v>
      </c>
      <c r="Q102" s="151">
        <f>IF(YEAR(Q$4)&gt;=FPFirstYear,IF(YEAR(Q$4)&lt;=FPLastYear,Q101+'Input|Step changes'!Q38,""),"")</f>
        <v>382.45072487986312</v>
      </c>
      <c r="R102" s="151">
        <f>IF(YEAR(R$4)&gt;=FPFirstYear,IF(YEAR(R$4)&lt;=FPLastYear,R101+'Input|Step changes'!R38,""),"")</f>
        <v>384.17277471973364</v>
      </c>
      <c r="S102" s="151">
        <f>IF(YEAR(S$4)&gt;=FPFirstYear,IF(YEAR(S$4)&lt;=FPLastYear,S101+'Input|Step changes'!S38,""),"")</f>
        <v>387.03170982558265</v>
      </c>
    </row>
    <row r="103" spans="1:47">
      <c r="C103" s="123"/>
      <c r="D103" s="110"/>
      <c r="E103" s="110"/>
      <c r="F103" s="110"/>
      <c r="J103" s="107"/>
      <c r="K103" s="107"/>
      <c r="L103" s="107"/>
      <c r="M103" s="107"/>
      <c r="N103" s="23"/>
      <c r="O103" s="23"/>
      <c r="P103" s="23"/>
      <c r="Q103" s="23"/>
      <c r="R103" s="23"/>
      <c r="S103" s="23"/>
    </row>
    <row r="104" spans="1:47" s="103" customFormat="1" ht="12.75">
      <c r="A104" s="94"/>
      <c r="B104" s="95" t="s">
        <v>21</v>
      </c>
      <c r="C104" s="94"/>
      <c r="D104" s="94"/>
      <c r="E104" s="94"/>
      <c r="F104" s="96"/>
      <c r="G104" s="96"/>
      <c r="H104" s="96"/>
      <c r="I104" s="96"/>
      <c r="J104" s="97"/>
      <c r="K104" s="98"/>
      <c r="L104" s="97"/>
      <c r="M104" s="98"/>
      <c r="N104" s="97"/>
      <c r="O104" s="97"/>
      <c r="P104" s="97"/>
      <c r="Q104" s="97"/>
      <c r="R104" s="97"/>
      <c r="S104" s="97"/>
      <c r="T104" s="97"/>
      <c r="U104" s="97"/>
      <c r="V104" s="98"/>
      <c r="W104" s="98"/>
      <c r="X104" s="99"/>
      <c r="Y104" s="99"/>
      <c r="Z104" s="99"/>
      <c r="AA104" s="99"/>
      <c r="AB104" s="100"/>
      <c r="AC104" s="101"/>
      <c r="AD104" s="101"/>
      <c r="AE104" s="102"/>
      <c r="AF104" s="102"/>
      <c r="AG104" s="102"/>
      <c r="AH104" s="102"/>
      <c r="AI104" s="102"/>
      <c r="AJ104" s="102"/>
      <c r="AK104" s="102"/>
      <c r="AL104" s="102"/>
      <c r="AM104" s="102"/>
      <c r="AN104" s="102"/>
      <c r="AO104" s="102"/>
      <c r="AP104" s="102"/>
      <c r="AQ104" s="102"/>
      <c r="AR104" s="102"/>
      <c r="AS104" s="102"/>
      <c r="AT104" s="102"/>
      <c r="AU104" s="102"/>
    </row>
    <row r="107" spans="1:47">
      <c r="O107" s="229"/>
      <c r="P107" s="229"/>
      <c r="Q107" s="229"/>
      <c r="R107" s="229"/>
      <c r="S107" s="229"/>
      <c r="T107" s="198"/>
      <c r="U107" s="198"/>
    </row>
    <row r="108" spans="1:47">
      <c r="O108" s="230"/>
      <c r="P108" s="230"/>
      <c r="Q108" s="230"/>
      <c r="R108" s="230"/>
      <c r="S108" s="230"/>
      <c r="T108" s="231"/>
      <c r="U108" s="232"/>
    </row>
    <row r="109" spans="1:47">
      <c r="O109" s="229"/>
      <c r="P109" s="229"/>
      <c r="Q109" s="229"/>
      <c r="R109" s="229"/>
      <c r="S109" s="229"/>
      <c r="T109" s="231"/>
      <c r="U109" s="232"/>
    </row>
    <row r="110" spans="1:47">
      <c r="O110" s="230"/>
      <c r="P110" s="230"/>
      <c r="Q110" s="230"/>
      <c r="R110" s="230"/>
      <c r="S110" s="230"/>
      <c r="T110" s="231"/>
      <c r="U110" s="232"/>
    </row>
    <row r="111" spans="1:47">
      <c r="O111" s="229"/>
      <c r="P111" s="229"/>
      <c r="Q111" s="229"/>
      <c r="R111" s="229"/>
      <c r="S111" s="229"/>
      <c r="T111" s="231"/>
      <c r="U111" s="232"/>
    </row>
    <row r="112" spans="1:47">
      <c r="O112" s="230"/>
      <c r="P112" s="230"/>
      <c r="Q112" s="230"/>
      <c r="R112" s="230"/>
      <c r="S112" s="230"/>
      <c r="T112" s="231"/>
      <c r="U112" s="232"/>
    </row>
    <row r="113" spans="4:21">
      <c r="D113" s="29"/>
      <c r="E113" s="29"/>
      <c r="F113" s="29"/>
      <c r="G113" s="29"/>
      <c r="H113" s="29"/>
      <c r="I113" s="29"/>
      <c r="O113" s="198"/>
      <c r="P113" s="198"/>
      <c r="Q113" s="198"/>
      <c r="R113" s="198"/>
      <c r="S113" s="198"/>
      <c r="T113" s="198"/>
      <c r="U113" s="198"/>
    </row>
    <row r="114" spans="4:21">
      <c r="D114" s="29"/>
      <c r="E114" s="29"/>
      <c r="F114" s="29"/>
      <c r="G114" s="29"/>
      <c r="H114" s="29"/>
      <c r="I114" s="29"/>
      <c r="O114" s="231"/>
      <c r="P114" s="231"/>
      <c r="Q114" s="231"/>
      <c r="R114" s="231"/>
      <c r="S114" s="231"/>
      <c r="T114" s="232"/>
      <c r="U114" s="231"/>
    </row>
    <row r="115" spans="4:21">
      <c r="D115" s="29"/>
      <c r="E115" s="29"/>
      <c r="F115" s="29"/>
      <c r="G115" s="29"/>
      <c r="H115" s="29"/>
      <c r="I115" s="29"/>
    </row>
    <row r="116" spans="4:21">
      <c r="D116" s="29"/>
      <c r="E116" s="29"/>
      <c r="F116" s="29"/>
      <c r="G116" s="29"/>
      <c r="H116" s="29"/>
      <c r="I116" s="29"/>
    </row>
    <row r="117" spans="4:21">
      <c r="D117" s="29"/>
      <c r="E117" s="29"/>
      <c r="F117" s="29"/>
      <c r="G117" s="29"/>
      <c r="H117" s="29"/>
      <c r="I117" s="29"/>
    </row>
    <row r="118" spans="4:21">
      <c r="D118" s="29"/>
      <c r="E118" s="29"/>
      <c r="F118" s="29"/>
      <c r="G118" s="29"/>
      <c r="H118" s="29"/>
      <c r="I118" s="29"/>
    </row>
    <row r="119" spans="4:21">
      <c r="D119" s="29"/>
      <c r="E119" s="29"/>
      <c r="F119" s="29"/>
      <c r="G119" s="29"/>
      <c r="H119" s="29"/>
      <c r="I119" s="29"/>
    </row>
    <row r="120" spans="4:21">
      <c r="D120" s="29"/>
      <c r="E120" s="29"/>
      <c r="F120" s="29"/>
      <c r="G120" s="29"/>
      <c r="H120" s="29"/>
      <c r="I120" s="29"/>
    </row>
    <row r="121" spans="4:21">
      <c r="D121" s="29"/>
      <c r="E121" s="29"/>
      <c r="F121" s="29"/>
      <c r="G121" s="29"/>
      <c r="H121" s="29"/>
      <c r="I121" s="29"/>
    </row>
    <row r="122" spans="4:21">
      <c r="D122" s="29"/>
      <c r="E122" s="29"/>
      <c r="F122" s="29"/>
      <c r="G122" s="29"/>
      <c r="H122" s="29"/>
      <c r="I122" s="29"/>
    </row>
    <row r="123" spans="4:21">
      <c r="D123" s="29"/>
      <c r="E123" s="29"/>
      <c r="F123" s="29"/>
      <c r="G123" s="29"/>
      <c r="H123" s="29"/>
      <c r="I123" s="29"/>
    </row>
    <row r="124" spans="4:21">
      <c r="D124" s="29"/>
      <c r="E124" s="29"/>
      <c r="F124" s="29"/>
      <c r="G124" s="29"/>
      <c r="H124" s="29"/>
      <c r="I124" s="29"/>
    </row>
    <row r="125" spans="4:21">
      <c r="D125" s="29"/>
      <c r="E125" s="29"/>
      <c r="F125" s="29"/>
      <c r="G125" s="29"/>
      <c r="H125" s="29"/>
      <c r="I125" s="29"/>
    </row>
    <row r="126" spans="4:21">
      <c r="D126" s="29"/>
      <c r="E126" s="29"/>
      <c r="F126" s="29"/>
      <c r="G126" s="29"/>
      <c r="H126" s="29"/>
      <c r="I126" s="29"/>
    </row>
    <row r="127" spans="4:21">
      <c r="D127" s="29"/>
      <c r="E127" s="29"/>
      <c r="F127" s="29"/>
      <c r="G127" s="29"/>
      <c r="H127" s="29"/>
      <c r="I127" s="29"/>
    </row>
    <row r="128" spans="4:21">
      <c r="D128" s="29"/>
      <c r="E128" s="29"/>
      <c r="F128" s="29"/>
      <c r="G128" s="29"/>
      <c r="H128" s="29"/>
      <c r="I128" s="29"/>
    </row>
    <row r="129" spans="4:9">
      <c r="D129" s="29"/>
      <c r="E129" s="29"/>
      <c r="F129" s="29"/>
      <c r="G129" s="29"/>
      <c r="H129" s="29"/>
      <c r="I129" s="29"/>
    </row>
    <row r="130" spans="4:9">
      <c r="D130" s="29"/>
      <c r="E130" s="29"/>
      <c r="F130" s="29"/>
      <c r="G130" s="29"/>
      <c r="H130" s="29"/>
      <c r="I130" s="29"/>
    </row>
    <row r="131" spans="4:9">
      <c r="D131" s="29"/>
      <c r="E131" s="29"/>
      <c r="F131" s="29"/>
      <c r="G131" s="29"/>
      <c r="H131" s="29"/>
      <c r="I131" s="29"/>
    </row>
    <row r="132" spans="4:9">
      <c r="D132" s="29"/>
      <c r="E132" s="29"/>
      <c r="F132" s="29"/>
      <c r="G132" s="29"/>
      <c r="H132" s="29"/>
      <c r="I132" s="29"/>
    </row>
    <row r="133" spans="4:9">
      <c r="D133" s="29"/>
      <c r="E133" s="29"/>
      <c r="F133" s="29"/>
      <c r="G133" s="29"/>
      <c r="H133" s="29"/>
      <c r="I133" s="29"/>
    </row>
    <row r="134" spans="4:9">
      <c r="D134" s="29"/>
      <c r="E134" s="29"/>
      <c r="F134" s="29"/>
      <c r="G134" s="29"/>
      <c r="H134" s="29"/>
      <c r="I134" s="29"/>
    </row>
    <row r="135" spans="4:9">
      <c r="D135" s="29"/>
      <c r="E135" s="29"/>
      <c r="F135" s="29"/>
      <c r="G135" s="29"/>
      <c r="H135" s="29"/>
      <c r="I135" s="29"/>
    </row>
    <row r="136" spans="4:9">
      <c r="D136" s="29"/>
      <c r="E136" s="29"/>
      <c r="F136" s="29"/>
      <c r="G136" s="29"/>
      <c r="H136" s="29"/>
      <c r="I136" s="29"/>
    </row>
    <row r="137" spans="4:9">
      <c r="D137" s="29"/>
      <c r="E137" s="29"/>
      <c r="F137" s="29"/>
      <c r="G137" s="29"/>
      <c r="H137" s="29"/>
      <c r="I137" s="29"/>
    </row>
    <row r="138" spans="4:9">
      <c r="D138" s="29"/>
      <c r="E138" s="29"/>
      <c r="F138" s="29"/>
      <c r="G138" s="29"/>
      <c r="H138" s="29"/>
      <c r="I138" s="29"/>
    </row>
    <row r="139" spans="4:9">
      <c r="D139" s="29"/>
      <c r="E139" s="29"/>
      <c r="F139" s="29"/>
      <c r="G139" s="29"/>
      <c r="H139" s="29"/>
      <c r="I139" s="29"/>
    </row>
    <row r="140" spans="4:9">
      <c r="D140" s="29"/>
      <c r="E140" s="29"/>
      <c r="F140" s="29"/>
      <c r="G140" s="29"/>
      <c r="H140" s="29"/>
      <c r="I140" s="29"/>
    </row>
    <row r="141" spans="4:9">
      <c r="D141" s="29"/>
      <c r="E141" s="29"/>
      <c r="F141" s="29"/>
      <c r="G141" s="29"/>
      <c r="H141" s="29"/>
      <c r="I141" s="29"/>
    </row>
    <row r="142" spans="4:9">
      <c r="D142" s="29"/>
      <c r="E142" s="29"/>
      <c r="F142" s="29"/>
      <c r="G142" s="29"/>
      <c r="H142" s="29"/>
      <c r="I142" s="29"/>
    </row>
    <row r="143" spans="4:9">
      <c r="D143" s="29"/>
      <c r="E143" s="29"/>
      <c r="F143" s="29"/>
      <c r="G143" s="29"/>
      <c r="H143" s="29"/>
      <c r="I143" s="29"/>
    </row>
    <row r="144" spans="4:9">
      <c r="D144" s="29"/>
      <c r="E144" s="29"/>
      <c r="F144" s="29"/>
      <c r="G144" s="29"/>
      <c r="H144" s="29"/>
      <c r="I144" s="29"/>
    </row>
    <row r="145" spans="4:9">
      <c r="D145" s="29"/>
      <c r="E145" s="29"/>
      <c r="F145" s="29"/>
      <c r="G145" s="29"/>
      <c r="H145" s="29"/>
      <c r="I145" s="29"/>
    </row>
    <row r="146" spans="4:9">
      <c r="D146" s="29"/>
      <c r="E146" s="29"/>
      <c r="F146" s="29"/>
      <c r="G146" s="29"/>
      <c r="H146" s="29"/>
      <c r="I146" s="29"/>
    </row>
    <row r="147" spans="4:9">
      <c r="D147" s="29"/>
      <c r="E147" s="29"/>
      <c r="F147" s="29"/>
      <c r="G147" s="29"/>
      <c r="H147" s="29"/>
      <c r="I147" s="29"/>
    </row>
    <row r="148" spans="4:9">
      <c r="D148" s="29"/>
      <c r="E148" s="29"/>
      <c r="F148" s="29"/>
      <c r="G148" s="29"/>
      <c r="H148" s="29"/>
      <c r="I148" s="29"/>
    </row>
    <row r="149" spans="4:9">
      <c r="D149" s="29"/>
      <c r="E149" s="29"/>
      <c r="F149" s="29"/>
      <c r="G149" s="29"/>
      <c r="H149" s="29"/>
      <c r="I149" s="29"/>
    </row>
    <row r="150" spans="4:9">
      <c r="D150" s="29"/>
      <c r="E150" s="29"/>
      <c r="F150" s="29"/>
      <c r="G150" s="29"/>
      <c r="H150" s="29"/>
      <c r="I150" s="29"/>
    </row>
    <row r="151" spans="4:9">
      <c r="D151" s="29"/>
      <c r="E151" s="29"/>
      <c r="F151" s="29"/>
      <c r="G151" s="29"/>
      <c r="H151" s="29"/>
      <c r="I151" s="29"/>
    </row>
    <row r="152" spans="4:9">
      <c r="D152" s="29"/>
      <c r="E152" s="29"/>
      <c r="F152" s="29"/>
      <c r="G152" s="29"/>
      <c r="H152" s="29"/>
      <c r="I152" s="29"/>
    </row>
    <row r="153" spans="4:9">
      <c r="D153" s="29"/>
      <c r="E153" s="29"/>
      <c r="F153" s="29"/>
      <c r="G153" s="29"/>
      <c r="H153" s="29"/>
      <c r="I153" s="29"/>
    </row>
    <row r="154" spans="4:9">
      <c r="D154" s="29"/>
      <c r="E154" s="29"/>
      <c r="F154" s="29"/>
      <c r="G154" s="29"/>
      <c r="H154" s="29"/>
      <c r="I154" s="29"/>
    </row>
    <row r="155" spans="4:9">
      <c r="D155" s="29"/>
      <c r="E155" s="29"/>
      <c r="F155" s="29"/>
      <c r="G155" s="29"/>
      <c r="H155" s="29"/>
      <c r="I155" s="29"/>
    </row>
    <row r="156" spans="4:9">
      <c r="D156" s="29"/>
      <c r="E156" s="29"/>
      <c r="F156" s="29"/>
      <c r="G156" s="29"/>
      <c r="H156" s="29"/>
      <c r="I156" s="29"/>
    </row>
    <row r="157" spans="4:9">
      <c r="D157" s="29"/>
      <c r="E157" s="29"/>
      <c r="F157" s="29"/>
      <c r="G157" s="29"/>
      <c r="H157" s="29"/>
      <c r="I157" s="29"/>
    </row>
    <row r="158" spans="4:9">
      <c r="D158" s="29"/>
      <c r="E158" s="29"/>
      <c r="F158" s="29"/>
      <c r="G158" s="29"/>
      <c r="H158" s="29"/>
      <c r="I158" s="29"/>
    </row>
    <row r="159" spans="4:9">
      <c r="D159" s="29"/>
      <c r="E159" s="29"/>
      <c r="F159" s="29"/>
      <c r="G159" s="29"/>
      <c r="H159" s="29"/>
      <c r="I159" s="29"/>
    </row>
    <row r="160" spans="4:9">
      <c r="D160" s="29"/>
      <c r="E160" s="29"/>
      <c r="F160" s="29"/>
      <c r="G160" s="29"/>
      <c r="H160" s="29"/>
      <c r="I160" s="29"/>
    </row>
    <row r="161" spans="4:9">
      <c r="D161" s="29"/>
      <c r="E161" s="29"/>
      <c r="F161" s="29"/>
      <c r="G161" s="29"/>
      <c r="H161" s="29"/>
      <c r="I161" s="29"/>
    </row>
    <row r="162" spans="4:9">
      <c r="D162" s="29"/>
      <c r="E162" s="29"/>
      <c r="F162" s="29"/>
      <c r="G162" s="29"/>
      <c r="H162" s="29"/>
      <c r="I162" s="29"/>
    </row>
    <row r="163" spans="4:9">
      <c r="D163" s="29"/>
      <c r="E163" s="29"/>
      <c r="F163" s="29"/>
      <c r="G163" s="29"/>
      <c r="H163" s="29"/>
      <c r="I163" s="29"/>
    </row>
    <row r="164" spans="4:9">
      <c r="D164" s="29"/>
      <c r="E164" s="29"/>
      <c r="F164" s="29"/>
      <c r="G164" s="29"/>
      <c r="H164" s="29"/>
      <c r="I164" s="29"/>
    </row>
    <row r="165" spans="4:9">
      <c r="D165" s="29"/>
      <c r="E165" s="29"/>
      <c r="F165" s="29"/>
      <c r="G165" s="29"/>
      <c r="H165" s="29"/>
      <c r="I165" s="29"/>
    </row>
    <row r="166" spans="4:9">
      <c r="D166" s="29"/>
      <c r="E166" s="29"/>
      <c r="F166" s="29"/>
      <c r="G166" s="29"/>
      <c r="H166" s="29"/>
      <c r="I166" s="29"/>
    </row>
    <row r="167" spans="4:9">
      <c r="D167" s="29"/>
      <c r="E167" s="29"/>
      <c r="F167" s="29"/>
      <c r="G167" s="29"/>
      <c r="H167" s="29"/>
      <c r="I167" s="29"/>
    </row>
    <row r="168" spans="4:9">
      <c r="D168" s="29"/>
      <c r="E168" s="29"/>
      <c r="F168" s="29"/>
      <c r="G168" s="29"/>
      <c r="H168" s="29"/>
      <c r="I168" s="29"/>
    </row>
    <row r="169" spans="4:9">
      <c r="D169" s="29"/>
      <c r="E169" s="29"/>
      <c r="F169" s="29"/>
      <c r="G169" s="29"/>
      <c r="H169" s="29"/>
      <c r="I169" s="29"/>
    </row>
    <row r="170" spans="4:9">
      <c r="D170" s="29"/>
      <c r="E170" s="29"/>
      <c r="F170" s="29"/>
      <c r="G170" s="29"/>
      <c r="H170" s="29"/>
      <c r="I170" s="29"/>
    </row>
    <row r="171" spans="4:9">
      <c r="D171" s="29"/>
      <c r="E171" s="29"/>
      <c r="F171" s="29"/>
      <c r="G171" s="29"/>
      <c r="H171" s="29"/>
      <c r="I171" s="29"/>
    </row>
    <row r="172" spans="4:9">
      <c r="D172" s="29"/>
      <c r="E172" s="29"/>
      <c r="F172" s="29"/>
      <c r="G172" s="29"/>
      <c r="H172" s="29"/>
      <c r="I172" s="29"/>
    </row>
    <row r="173" spans="4:9">
      <c r="D173" s="29"/>
      <c r="E173" s="29"/>
      <c r="F173" s="29"/>
      <c r="G173" s="29"/>
      <c r="H173" s="29"/>
      <c r="I173" s="29"/>
    </row>
    <row r="174" spans="4:9">
      <c r="D174" s="29"/>
      <c r="E174" s="29"/>
      <c r="F174" s="29"/>
      <c r="G174" s="29"/>
      <c r="H174" s="29"/>
      <c r="I174" s="29"/>
    </row>
    <row r="175" spans="4:9">
      <c r="D175" s="29"/>
      <c r="E175" s="29"/>
      <c r="F175" s="29"/>
      <c r="G175" s="29"/>
      <c r="H175" s="29"/>
      <c r="I175" s="29"/>
    </row>
    <row r="176" spans="4:9">
      <c r="D176" s="29"/>
      <c r="E176" s="29"/>
      <c r="F176" s="29"/>
      <c r="G176" s="29"/>
      <c r="H176" s="29"/>
      <c r="I176" s="29"/>
    </row>
    <row r="177" spans="4:9">
      <c r="D177" s="29"/>
      <c r="E177" s="29"/>
      <c r="F177" s="29"/>
      <c r="G177" s="29"/>
      <c r="H177" s="29"/>
      <c r="I177" s="29"/>
    </row>
    <row r="178" spans="4:9">
      <c r="D178" s="29"/>
      <c r="E178" s="29"/>
      <c r="F178" s="29"/>
      <c r="G178" s="29"/>
      <c r="H178" s="29"/>
      <c r="I178" s="29"/>
    </row>
    <row r="179" spans="4:9">
      <c r="D179" s="29"/>
      <c r="E179" s="29"/>
      <c r="F179" s="29"/>
      <c r="G179" s="29"/>
      <c r="H179" s="29"/>
      <c r="I179" s="29"/>
    </row>
    <row r="180" spans="4:9">
      <c r="D180" s="29"/>
      <c r="E180" s="29"/>
      <c r="F180" s="29"/>
      <c r="G180" s="29"/>
      <c r="H180" s="29"/>
      <c r="I180" s="29"/>
    </row>
    <row r="181" spans="4:9">
      <c r="D181" s="29"/>
      <c r="E181" s="29"/>
      <c r="F181" s="29"/>
      <c r="G181" s="29"/>
      <c r="H181" s="29"/>
      <c r="I181" s="29"/>
    </row>
    <row r="182" spans="4:9">
      <c r="D182" s="29"/>
      <c r="E182" s="29"/>
      <c r="F182" s="29"/>
      <c r="G182" s="29"/>
      <c r="H182" s="29"/>
      <c r="I182" s="29"/>
    </row>
    <row r="183" spans="4:9">
      <c r="D183" s="29"/>
      <c r="E183" s="29"/>
      <c r="F183" s="29"/>
      <c r="G183" s="29"/>
      <c r="H183" s="29"/>
      <c r="I183" s="29"/>
    </row>
    <row r="184" spans="4:9">
      <c r="D184" s="29"/>
      <c r="E184" s="29"/>
      <c r="F184" s="29"/>
      <c r="G184" s="29"/>
      <c r="H184" s="29"/>
      <c r="I184" s="29"/>
    </row>
    <row r="185" spans="4:9">
      <c r="D185" s="29"/>
      <c r="E185" s="29"/>
      <c r="F185" s="29"/>
      <c r="G185" s="29"/>
      <c r="H185" s="29"/>
      <c r="I185" s="29"/>
    </row>
    <row r="186" spans="4:9">
      <c r="D186" s="29"/>
      <c r="E186" s="29"/>
      <c r="F186" s="29"/>
      <c r="G186" s="29"/>
      <c r="H186" s="29"/>
      <c r="I186" s="29"/>
    </row>
    <row r="187" spans="4:9">
      <c r="D187" s="29"/>
      <c r="E187" s="29"/>
      <c r="F187" s="29"/>
      <c r="G187" s="29"/>
      <c r="H187" s="29"/>
      <c r="I187" s="29"/>
    </row>
    <row r="188" spans="4:9">
      <c r="D188" s="29"/>
      <c r="E188" s="29"/>
      <c r="F188" s="29"/>
      <c r="G188" s="29"/>
      <c r="H188" s="29"/>
      <c r="I188" s="29"/>
    </row>
    <row r="189" spans="4:9">
      <c r="D189" s="29"/>
      <c r="E189" s="29"/>
      <c r="F189" s="29"/>
      <c r="G189" s="29"/>
      <c r="H189" s="29"/>
      <c r="I189" s="29"/>
    </row>
  </sheetData>
  <mergeCells count="1">
    <mergeCell ref="N3:S3"/>
  </mergeCells>
  <conditionalFormatting sqref="S1">
    <cfRule type="cellIs" dxfId="90" priority="99" operator="equal">
      <formula>"Check"</formula>
    </cfRule>
    <cfRule type="cellIs" dxfId="89" priority="100" operator="equal">
      <formula>"Ok"</formula>
    </cfRule>
  </conditionalFormatting>
  <conditionalFormatting sqref="V1">
    <cfRule type="cellIs" dxfId="88" priority="101" operator="equal">
      <formula>"Check"</formula>
    </cfRule>
    <cfRule type="cellIs" dxfId="87" priority="102" operator="equal">
      <formula>"Ok"</formula>
    </cfRule>
  </conditionalFormatting>
  <conditionalFormatting sqref="R39:S39 R42:S42 R45:S45 R48:S48 J12:S18">
    <cfRule type="cellIs" dxfId="86" priority="98" operator="equal">
      <formula>0</formula>
    </cfRule>
  </conditionalFormatting>
  <conditionalFormatting sqref="J13:S13">
    <cfRule type="cellIs" dxfId="85" priority="97" operator="equal">
      <formula>0</formula>
    </cfRule>
  </conditionalFormatting>
  <conditionalFormatting sqref="J14:S14">
    <cfRule type="cellIs" dxfId="84" priority="96" operator="equal">
      <formula>0</formula>
    </cfRule>
  </conditionalFormatting>
  <conditionalFormatting sqref="J15:S15">
    <cfRule type="cellIs" dxfId="83" priority="95" operator="equal">
      <formula>0</formula>
    </cfRule>
  </conditionalFormatting>
  <conditionalFormatting sqref="J16:S16">
    <cfRule type="cellIs" dxfId="82" priority="94" operator="equal">
      <formula>0</formula>
    </cfRule>
  </conditionalFormatting>
  <conditionalFormatting sqref="J17:S18">
    <cfRule type="cellIs" dxfId="81" priority="93" operator="equal">
      <formula>0</formula>
    </cfRule>
  </conditionalFormatting>
  <conditionalFormatting sqref="J61:S65">
    <cfRule type="cellIs" dxfId="80" priority="92" operator="equal">
      <formula>0</formula>
    </cfRule>
  </conditionalFormatting>
  <conditionalFormatting sqref="J74:S82 J90:S92">
    <cfRule type="cellIs" dxfId="79" priority="90" operator="equal">
      <formula>0</formula>
    </cfRule>
  </conditionalFormatting>
  <conditionalFormatting sqref="J36:S36 J33:S34 J51:S54">
    <cfRule type="cellIs" dxfId="78" priority="87" operator="equal">
      <formula>0</formula>
    </cfRule>
  </conditionalFormatting>
  <conditionalFormatting sqref="J101:S102">
    <cfRule type="cellIs" dxfId="77" priority="86" operator="equal">
      <formula>0</formula>
    </cfRule>
  </conditionalFormatting>
  <conditionalFormatting sqref="J101:S102">
    <cfRule type="cellIs" dxfId="76" priority="85" operator="equal">
      <formula>0</formula>
    </cfRule>
  </conditionalFormatting>
  <conditionalFormatting sqref="J46:S46">
    <cfRule type="cellIs" dxfId="75" priority="48" operator="equal">
      <formula>0</formula>
    </cfRule>
  </conditionalFormatting>
  <conditionalFormatting sqref="J39:Q39 J42:Q42 J45:Q45">
    <cfRule type="cellIs" dxfId="74" priority="66" operator="equal">
      <formula>0</formula>
    </cfRule>
  </conditionalFormatting>
  <conditionalFormatting sqref="J39:Q39 J42:Q42 J45:Q45">
    <cfRule type="cellIs" dxfId="73" priority="65" operator="equal">
      <formula>0</formula>
    </cfRule>
  </conditionalFormatting>
  <conditionalFormatting sqref="J37:S37">
    <cfRule type="cellIs" dxfId="72" priority="61" operator="equal">
      <formula>0</formula>
    </cfRule>
  </conditionalFormatting>
  <conditionalFormatting sqref="J37:S37">
    <cfRule type="cellIs" dxfId="71" priority="60" operator="equal">
      <formula>0</formula>
    </cfRule>
  </conditionalFormatting>
  <conditionalFormatting sqref="J48:Q48">
    <cfRule type="cellIs" dxfId="70" priority="51" operator="equal">
      <formula>0</formula>
    </cfRule>
  </conditionalFormatting>
  <conditionalFormatting sqref="J48:Q48">
    <cfRule type="cellIs" dxfId="69" priority="50" operator="equal">
      <formula>0</formula>
    </cfRule>
  </conditionalFormatting>
  <conditionalFormatting sqref="J40:S40">
    <cfRule type="cellIs" dxfId="68" priority="57" operator="equal">
      <formula>0</formula>
    </cfRule>
  </conditionalFormatting>
  <conditionalFormatting sqref="J40:S40">
    <cfRule type="cellIs" dxfId="67" priority="56" operator="equal">
      <formula>0</formula>
    </cfRule>
  </conditionalFormatting>
  <conditionalFormatting sqref="J46:S46">
    <cfRule type="cellIs" dxfId="66" priority="49" operator="equal">
      <formula>0</formula>
    </cfRule>
  </conditionalFormatting>
  <conditionalFormatting sqref="J43:S43">
    <cfRule type="cellIs" dxfId="65" priority="53" operator="equal">
      <formula>0</formula>
    </cfRule>
  </conditionalFormatting>
  <conditionalFormatting sqref="J43:S43">
    <cfRule type="cellIs" dxfId="64" priority="52" operator="equal">
      <formula>0</formula>
    </cfRule>
  </conditionalFormatting>
  <conditionalFormatting sqref="J49:S49">
    <cfRule type="cellIs" dxfId="63" priority="43" operator="equal">
      <formula>0</formula>
    </cfRule>
  </conditionalFormatting>
  <conditionalFormatting sqref="J49:S49">
    <cfRule type="cellIs" dxfId="62" priority="44" operator="equal">
      <formula>0</formula>
    </cfRule>
  </conditionalFormatting>
  <conditionalFormatting sqref="J38:S38">
    <cfRule type="cellIs" dxfId="61" priority="42" operator="equal">
      <formula>0</formula>
    </cfRule>
  </conditionalFormatting>
  <conditionalFormatting sqref="J38:S38">
    <cfRule type="cellIs" dxfId="60" priority="41" operator="equal">
      <formula>0</formula>
    </cfRule>
  </conditionalFormatting>
  <conditionalFormatting sqref="J41:S41">
    <cfRule type="cellIs" dxfId="59" priority="40" operator="equal">
      <formula>0</formula>
    </cfRule>
  </conditionalFormatting>
  <conditionalFormatting sqref="J41:S41">
    <cfRule type="cellIs" dxfId="58" priority="39" operator="equal">
      <formula>0</formula>
    </cfRule>
  </conditionalFormatting>
  <conditionalFormatting sqref="J44:S44">
    <cfRule type="cellIs" dxfId="57" priority="38" operator="equal">
      <formula>0</formula>
    </cfRule>
  </conditionalFormatting>
  <conditionalFormatting sqref="J44:S44">
    <cfRule type="cellIs" dxfId="56" priority="37" operator="equal">
      <formula>0</formula>
    </cfRule>
  </conditionalFormatting>
  <conditionalFormatting sqref="J47:S47">
    <cfRule type="cellIs" dxfId="55" priority="36" operator="equal">
      <formula>0</formula>
    </cfRule>
  </conditionalFormatting>
  <conditionalFormatting sqref="J47:S47">
    <cfRule type="cellIs" dxfId="54" priority="35" operator="equal">
      <formula>0</formula>
    </cfRule>
  </conditionalFormatting>
  <conditionalFormatting sqref="J50:S50">
    <cfRule type="cellIs" dxfId="53" priority="34" operator="equal">
      <formula>0</formula>
    </cfRule>
  </conditionalFormatting>
  <conditionalFormatting sqref="J50:S50">
    <cfRule type="cellIs" dxfId="52" priority="33" operator="equal">
      <formula>0</formula>
    </cfRule>
  </conditionalFormatting>
  <conditionalFormatting sqref="J100:S100">
    <cfRule type="cellIs" dxfId="51" priority="22" operator="equal">
      <formula>0</formula>
    </cfRule>
  </conditionalFormatting>
  <conditionalFormatting sqref="J100:S100">
    <cfRule type="cellIs" dxfId="50" priority="21" operator="equal">
      <formula>0</formula>
    </cfRule>
  </conditionalFormatting>
  <conditionalFormatting sqref="J10:S10">
    <cfRule type="expression" dxfId="49" priority="20">
      <formula>J$10=J$4</formula>
    </cfRule>
  </conditionalFormatting>
  <conditionalFormatting sqref="J25:S25">
    <cfRule type="expression" dxfId="48" priority="19">
      <formula>J$10=J$4</formula>
    </cfRule>
  </conditionalFormatting>
  <conditionalFormatting sqref="J54:S54">
    <cfRule type="expression" dxfId="47" priority="18">
      <formula>J$10=J$4</formula>
    </cfRule>
  </conditionalFormatting>
  <conditionalFormatting sqref="J26:S28 J30:S30">
    <cfRule type="cellIs" dxfId="46" priority="15" operator="equal">
      <formula>0</formula>
    </cfRule>
  </conditionalFormatting>
  <conditionalFormatting sqref="J31:S32">
    <cfRule type="cellIs" dxfId="45" priority="14" operator="equal">
      <formula>0</formula>
    </cfRule>
  </conditionalFormatting>
  <conditionalFormatting sqref="J68:S68">
    <cfRule type="cellIs" dxfId="44" priority="11" operator="equal">
      <formula>0</formula>
    </cfRule>
  </conditionalFormatting>
  <conditionalFormatting sqref="J35:S35">
    <cfRule type="cellIs" dxfId="43" priority="10" operator="equal">
      <formula>0</formula>
    </cfRule>
  </conditionalFormatting>
  <conditionalFormatting sqref="J35:S35">
    <cfRule type="cellIs" dxfId="42" priority="9" operator="equal">
      <formula>0</formula>
    </cfRule>
  </conditionalFormatting>
  <conditionalFormatting sqref="J29:S29">
    <cfRule type="cellIs" dxfId="41" priority="8" operator="equal">
      <formula>0</formula>
    </cfRule>
  </conditionalFormatting>
  <conditionalFormatting sqref="J29:S29">
    <cfRule type="cellIs" dxfId="40" priority="7" operator="equal">
      <formula>0</formula>
    </cfRule>
  </conditionalFormatting>
  <conditionalFormatting sqref="J19:S24">
    <cfRule type="cellIs" dxfId="39" priority="6" operator="equal">
      <formula>0</formula>
    </cfRule>
  </conditionalFormatting>
  <conditionalFormatting sqref="J20:S20">
    <cfRule type="cellIs" dxfId="38" priority="5" operator="equal">
      <formula>0</formula>
    </cfRule>
  </conditionalFormatting>
  <conditionalFormatting sqref="J21:S21">
    <cfRule type="cellIs" dxfId="37" priority="4" operator="equal">
      <formula>0</formula>
    </cfRule>
  </conditionalFormatting>
  <conditionalFormatting sqref="J22:S22">
    <cfRule type="cellIs" dxfId="36" priority="3" operator="equal">
      <formula>0</formula>
    </cfRule>
  </conditionalFormatting>
  <conditionalFormatting sqref="J23:S23">
    <cfRule type="cellIs" dxfId="35" priority="2" operator="equal">
      <formula>0</formula>
    </cfRule>
  </conditionalFormatting>
  <conditionalFormatting sqref="J24:S24">
    <cfRule type="cellIs" dxfId="34" priority="1" operator="equal">
      <formula>0</formula>
    </cfRule>
  </conditionalFormatting>
  <conditionalFormatting sqref="J67:S67">
    <cfRule type="expression" dxfId="33" priority="104">
      <formula>J$58=J$4</formula>
    </cfRule>
    <cfRule type="cellIs" dxfId="32" priority="105" operator="equal">
      <formula>0</formula>
    </cfRule>
  </conditionalFormatting>
  <conditionalFormatting sqref="J94:S94">
    <cfRule type="expression" dxfId="31" priority="106">
      <formula>J$88=J$4</formula>
    </cfRule>
    <cfRule type="cellIs" dxfId="30" priority="107" operator="equal">
      <formula>0</formula>
    </cfRule>
  </conditionalFormatting>
  <conditionalFormatting sqref="J84:S84">
    <cfRule type="expression" dxfId="29" priority="108">
      <formula>J$72=J$4</formula>
    </cfRule>
    <cfRule type="cellIs" dxfId="28" priority="109" operator="equal">
      <formula>0</formula>
    </cfRule>
  </conditionalFormatting>
  <conditionalFormatting sqref="J58:S58 J72:S72 J88:S88">
    <cfRule type="expression" dxfId="27" priority="110">
      <formula>J$58=J$4</formula>
    </cfRule>
  </conditionalFormatting>
  <conditionalFormatting sqref="J98:S98">
    <cfRule type="expression" dxfId="26" priority="113">
      <formula>J$98=J$4</formula>
    </cfRule>
  </conditionalFormatting>
  <dataValidations disablePrompts="1" count="2">
    <dataValidation type="list" allowBlank="1" showInputMessage="1" showErrorMessage="1" sqref="F95 F93 F103 F85" xr:uid="{00000000-0002-0000-0600-000000000000}">
      <formula1>"Real 2010,Real 2011,Real 2012,Real 2013,Real 2014,Real 2015,Nominal"</formula1>
    </dataValidation>
    <dataValidation type="list" allowBlank="1" showInputMessage="1" showErrorMessage="1" sqref="F83" xr:uid="{00000000-0002-0000-0600-000001000000}">
      <formula1>$G$60:$G$66</formula1>
    </dataValidation>
  </dataValidations>
  <hyperlinks>
    <hyperlink ref="J1" location="Index!A1" display="Back to Index" xr:uid="{00000000-0004-0000-0600-000000000000}"/>
    <hyperlink ref="U1" location="'Check|List'!A1" display="Overall Check:" xr:uid="{00000000-0004-0000-0600-000001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 xr:uid="{00000000-0002-0000-0600-000002000000}">
          <x14:formula1>
            <xm:f>'Lookup|Tables'!$G$10:$G$12</xm:f>
          </x14:formula1>
          <xm:sqref>E8</xm:sqref>
        </x14:dataValidation>
        <x14:dataValidation type="list" allowBlank="1" showInputMessage="1" showErrorMessage="1" xr:uid="{00000000-0002-0000-0600-000003000000}">
          <x14:formula1>
            <xm:f>'Lookup|Tables'!$H$65:$H$69</xm:f>
          </x14:formula1>
          <xm:sqref>F8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9">
    <tabColor theme="3" tint="0.59999389629810485"/>
  </sheetPr>
  <dimension ref="A1:AU53"/>
  <sheetViews>
    <sheetView showGridLines="0" tabSelected="1" workbookViewId="0">
      <selection activeCell="J14" sqref="J14"/>
    </sheetView>
  </sheetViews>
  <sheetFormatPr defaultColWidth="0" defaultRowHeight="11.25" zeroHeight="1"/>
  <cols>
    <col min="1" max="2" width="1.5" style="29" customWidth="1"/>
    <col min="3" max="3" width="59.664062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23" width="10.83203125" style="29" customWidth="1"/>
    <col min="24" max="47" width="0" style="29" hidden="1" customWidth="1"/>
    <col min="48" max="16384" width="10.5" style="29" hidden="1"/>
  </cols>
  <sheetData>
    <row r="1" spans="1:26" s="69" customFormat="1" ht="15.75">
      <c r="B1" s="70" t="str">
        <f>Index!$B$1</f>
        <v>AER opex model</v>
      </c>
      <c r="C1" s="70"/>
      <c r="D1" s="70"/>
      <c r="E1" s="70"/>
      <c r="F1" s="71"/>
      <c r="G1" s="71"/>
      <c r="H1" s="71"/>
      <c r="I1" s="71"/>
      <c r="J1" s="37" t="s">
        <v>2</v>
      </c>
      <c r="L1" s="72" t="s">
        <v>3</v>
      </c>
      <c r="M1" s="73" t="s">
        <v>4</v>
      </c>
      <c r="N1" s="74" t="s">
        <v>5</v>
      </c>
      <c r="O1" s="75" t="s">
        <v>6</v>
      </c>
      <c r="R1" s="72" t="s">
        <v>86</v>
      </c>
      <c r="S1" s="76" t="s">
        <v>36</v>
      </c>
      <c r="U1" s="188" t="s">
        <v>24</v>
      </c>
      <c r="V1" s="76" t="str">
        <f>'Check|List'!$S$1</f>
        <v>Ok</v>
      </c>
    </row>
    <row r="2" spans="1:26" s="77" customFormat="1" ht="13.5" thickBot="1">
      <c r="B2" s="78" t="str">
        <f>Index!$C$13</f>
        <v>Output | Models</v>
      </c>
      <c r="C2" s="78"/>
      <c r="D2" s="78"/>
      <c r="E2" s="78"/>
      <c r="F2" s="79"/>
      <c r="G2" s="79"/>
      <c r="H2" s="79"/>
      <c r="I2" s="79"/>
    </row>
    <row r="3" spans="1:26" s="80" customFormat="1">
      <c r="C3" s="81"/>
      <c r="D3" s="183"/>
      <c r="E3" s="183"/>
      <c r="F3" s="183"/>
      <c r="G3" s="183"/>
      <c r="H3" s="183"/>
      <c r="I3" s="183"/>
      <c r="J3" s="173" t="s">
        <v>126</v>
      </c>
      <c r="K3" s="173"/>
      <c r="L3" s="173"/>
      <c r="M3" s="183"/>
      <c r="N3" s="233"/>
      <c r="O3" s="233"/>
      <c r="P3" s="233"/>
      <c r="Q3" s="233"/>
      <c r="R3" s="233"/>
      <c r="S3" s="233"/>
      <c r="T3" s="82"/>
      <c r="U3" s="82"/>
      <c r="V3" s="82"/>
      <c r="W3" s="82"/>
      <c r="X3" s="82"/>
      <c r="Y3" s="82"/>
      <c r="Z3" s="82"/>
    </row>
    <row r="4" spans="1:26" s="103" customFormat="1">
      <c r="A4" s="83"/>
      <c r="B4" s="83"/>
      <c r="C4" s="83"/>
      <c r="D4" s="84" t="s">
        <v>7</v>
      </c>
      <c r="E4" s="84" t="s">
        <v>8</v>
      </c>
      <c r="F4" s="85" t="s">
        <v>22</v>
      </c>
      <c r="G4" s="86"/>
      <c r="H4" s="86"/>
      <c r="I4" s="86"/>
      <c r="J4" s="156">
        <f>DATE(PPFirstYear,MONTH('Input|General'!$G$9),1)</f>
        <v>42522</v>
      </c>
      <c r="K4" s="156">
        <f>DATE(PPFirstYear+1,MONTH('Input|General'!$G$9),1)</f>
        <v>42887</v>
      </c>
      <c r="L4" s="156">
        <f>DATE(PPFirstYear+2,MONTH('Input|General'!$G$9),1)</f>
        <v>43252</v>
      </c>
      <c r="M4" s="156">
        <f>DATE(PPFirstYear+3,MONTH('Input|General'!$G$9),1)</f>
        <v>43617</v>
      </c>
      <c r="N4" s="156">
        <f>DATE(PPFirstYear+4,MONTH('Input|General'!$G$9),1)</f>
        <v>43983</v>
      </c>
      <c r="O4" s="156">
        <f>DATE(PPFirstYear+5,MONTH('Input|General'!$G$9),1)</f>
        <v>44348</v>
      </c>
      <c r="P4" s="156">
        <f>DATE(PPFirstYear+6,MONTH('Input|General'!$G$9),1)</f>
        <v>44713</v>
      </c>
      <c r="Q4" s="156">
        <f>DATE(PPFirstYear+7,MONTH('Input|General'!$G$9),1)</f>
        <v>45078</v>
      </c>
      <c r="R4" s="156">
        <f>DATE(PPFirstYear+8,MONTH('Input|General'!$G$9),1)</f>
        <v>45444</v>
      </c>
      <c r="S4" s="156">
        <f>DATE(PPFirstYear+9,MONTH('Input|General'!$G$9),1)</f>
        <v>45809</v>
      </c>
      <c r="T4" s="87"/>
      <c r="U4" s="87"/>
      <c r="V4" s="88"/>
      <c r="W4" s="88"/>
    </row>
    <row r="5" spans="1:26" s="27" customFormat="1" ht="3" customHeight="1">
      <c r="D5" s="28"/>
      <c r="E5" s="28"/>
      <c r="F5" s="28"/>
      <c r="G5" s="28"/>
      <c r="H5" s="28"/>
      <c r="I5" s="28"/>
    </row>
    <row r="6" spans="1:26" s="27" customFormat="1" ht="9" customHeight="1">
      <c r="D6" s="28"/>
      <c r="E6" s="28"/>
      <c r="F6" s="28"/>
      <c r="G6" s="28"/>
      <c r="H6" s="28"/>
      <c r="I6" s="28"/>
    </row>
    <row r="7" spans="1:26" s="27" customFormat="1" ht="3" customHeight="1">
      <c r="D7" s="28"/>
      <c r="E7" s="28"/>
      <c r="F7" s="28"/>
      <c r="G7" s="28"/>
      <c r="H7" s="28"/>
      <c r="I7" s="28"/>
    </row>
    <row r="8" spans="1:26" s="103" customFormat="1" ht="12.75">
      <c r="A8" s="94"/>
      <c r="B8" s="95" t="s">
        <v>58</v>
      </c>
      <c r="C8" s="94"/>
      <c r="D8" s="94"/>
      <c r="E8" s="68" t="s">
        <v>15</v>
      </c>
      <c r="F8" s="207">
        <f>DATE(PPLastYear,MONTH('Input|General'!$G$9),1)</f>
        <v>43983</v>
      </c>
      <c r="G8" s="96"/>
      <c r="H8" s="96"/>
      <c r="I8" s="96"/>
      <c r="J8" s="149" t="s">
        <v>59</v>
      </c>
      <c r="K8" s="98"/>
      <c r="L8" s="97"/>
      <c r="M8" s="98"/>
      <c r="N8" s="97"/>
      <c r="O8" s="97"/>
      <c r="P8" s="97"/>
      <c r="Q8" s="97"/>
      <c r="R8" s="97"/>
      <c r="S8" s="97"/>
      <c r="T8" s="97"/>
      <c r="U8" s="97"/>
      <c r="V8" s="98"/>
      <c r="W8" s="98"/>
    </row>
    <row r="9" spans="1:26" ht="4.5" customHeight="1"/>
    <row r="10" spans="1:26">
      <c r="M10" s="107"/>
      <c r="N10" s="107"/>
      <c r="O10" s="107"/>
      <c r="P10" s="107"/>
      <c r="Q10" s="107"/>
      <c r="R10" s="107"/>
      <c r="S10" s="107"/>
    </row>
    <row r="11" spans="1:26">
      <c r="C11" s="67" t="s">
        <v>46</v>
      </c>
      <c r="D11" s="32" t="s">
        <v>7</v>
      </c>
      <c r="E11" s="32" t="s">
        <v>8</v>
      </c>
      <c r="F11" s="32" t="s">
        <v>22</v>
      </c>
      <c r="H11" s="32"/>
      <c r="I11" s="32"/>
      <c r="J11" s="163" t="str">
        <f>IF(YEAR(J$4)&gt;='Input|General'!$G$13,IF(YEAR(J$4)&lt;='Input|General'!$G$14,J$4,""),"")</f>
        <v/>
      </c>
      <c r="K11" s="163" t="str">
        <f>IF(YEAR(K$4)&gt;='Input|General'!$G$13,IF(YEAR(K$4)&lt;='Input|General'!$G$14,K$4,""),"")</f>
        <v/>
      </c>
      <c r="L11" s="163" t="str">
        <f>IF(YEAR(L$4)&gt;='Input|General'!$G$13,IF(YEAR(L$4)&lt;='Input|General'!$G$14,L$4,""),"")</f>
        <v/>
      </c>
      <c r="M11" s="163" t="str">
        <f>IF(YEAR(M$4)&gt;='Input|General'!$G$13,IF(YEAR(M$4)&lt;='Input|General'!$G$14,M$4,""),"")</f>
        <v/>
      </c>
      <c r="N11" s="163" t="str">
        <f>IF(YEAR(N$4)&gt;='Input|General'!$G$13,IF(YEAR(N$4)&lt;='Input|General'!$G$14,N$4,""),"")</f>
        <v/>
      </c>
      <c r="O11" s="163">
        <f>IF(YEAR(O$4)&gt;='Input|General'!$G$13,IF(YEAR(O$4)&lt;='Input|General'!$G$14,O$4,""),"")</f>
        <v>44348</v>
      </c>
      <c r="P11" s="163">
        <f>IF(YEAR(P$4)&gt;='Input|General'!$G$13,IF(YEAR(P$4)&lt;='Input|General'!$G$14,P$4,""),"")</f>
        <v>44713</v>
      </c>
      <c r="Q11" s="163">
        <f>IF(YEAR(Q$4)&gt;='Input|General'!$G$13,IF(YEAR(Q$4)&lt;='Input|General'!$G$14,Q$4,""),"")</f>
        <v>45078</v>
      </c>
      <c r="R11" s="163">
        <f>IF(YEAR(R$4)&gt;='Input|General'!$G$13,IF(YEAR(R$4)&lt;='Input|General'!$G$14,R$4,""),"")</f>
        <v>45444</v>
      </c>
      <c r="S11" s="163">
        <f>IF(YEAR(S$4)&gt;='Input|General'!$G$13,IF(YEAR(S$4)&lt;='Input|General'!$G$14,S$4,""),"")</f>
        <v>45809</v>
      </c>
      <c r="U11" s="137" t="s">
        <v>57</v>
      </c>
      <c r="V11" s="138"/>
      <c r="W11" s="138"/>
    </row>
    <row r="12" spans="1:26">
      <c r="C12" s="67"/>
      <c r="D12" s="32"/>
      <c r="E12" s="32"/>
      <c r="F12" s="32"/>
      <c r="H12" s="32"/>
      <c r="I12" s="32"/>
      <c r="J12" s="163"/>
      <c r="K12" s="163"/>
      <c r="L12" s="163"/>
      <c r="M12" s="163"/>
      <c r="N12" s="163"/>
      <c r="O12" s="163"/>
      <c r="P12" s="163"/>
      <c r="Q12" s="163"/>
      <c r="R12" s="163"/>
      <c r="S12" s="163"/>
      <c r="U12" s="124"/>
      <c r="V12" s="142"/>
      <c r="W12" s="142"/>
    </row>
    <row r="13" spans="1:26">
      <c r="C13" s="111" t="str">
        <f>'Calc|Opex forecast'!C100</f>
        <v>Total forecast opex, excluding category specific forecasts</v>
      </c>
      <c r="D13" s="34" t="s">
        <v>109</v>
      </c>
      <c r="E13" s="30" t="str">
        <f>$E$8</f>
        <v>$millions</v>
      </c>
      <c r="F13" s="161">
        <f>$F$8</f>
        <v>43983</v>
      </c>
      <c r="H13" s="32"/>
      <c r="I13" s="32"/>
      <c r="J13" s="181">
        <f>IF(J11="",0,'Calc|Opex forecast'!J100*IF('Calc|Opex forecast'!$F$100="nominal",LOOKUP($F13,Nominal_to_Real,'Input|Rate of change'!P$25:P$30),INDEX('Input|Rate of change'!$C$14:$O$21,MATCH('Calc|Opex forecast'!$F$100,'Input|Rate of change'!$C$14:$C$21,0),MATCH('Output|Models'!$F13,'Input|Rate of change'!$C$14:$O$14,0)))*IF('Calc|Opex forecast'!$E$100="$millions",1000000,IF('Calc|Opex forecast'!$E$100="$000",1000,1))/IF($E13="$millions",1000000,IF($E13="$000",1000,1)))</f>
        <v>0</v>
      </c>
      <c r="K13" s="181">
        <f>IF(K11="",0,'Calc|Opex forecast'!K100*IF('Calc|Opex forecast'!$F$100="nominal",LOOKUP($F13,Nominal_to_Real,'Input|Rate of change'!Q$25:Q$30),INDEX('Input|Rate of change'!$C$14:$O$21,MATCH('Calc|Opex forecast'!$F$100,'Input|Rate of change'!$C$14:$C$21,0),MATCH('Output|Models'!$F13,'Input|Rate of change'!$C$14:$O$14,0)))*IF('Calc|Opex forecast'!$E$100="$millions",1000000,IF('Calc|Opex forecast'!$E$100="$000",1000,1))/IF($E13="$millions",1000000,IF($E13="$000",1000,1)))</f>
        <v>0</v>
      </c>
      <c r="L13" s="181">
        <f>IF(L11="",0,'Calc|Opex forecast'!L100*IF('Calc|Opex forecast'!$F$100="nominal",LOOKUP($F13,Nominal_to_Real,'Input|Rate of change'!R$25:R$30),INDEX('Input|Rate of change'!$C$14:$O$21,MATCH('Calc|Opex forecast'!$F$100,'Input|Rate of change'!$C$14:$C$21,0),MATCH('Output|Models'!$F13,'Input|Rate of change'!$C$14:$O$14,0)))*IF('Calc|Opex forecast'!$E$100="$millions",1000000,IF('Calc|Opex forecast'!$E$100="$000",1000,1))/IF($E13="$millions",1000000,IF($E13="$000",1000,1)))</f>
        <v>0</v>
      </c>
      <c r="M13" s="181">
        <f>IF(M11="",0,'Calc|Opex forecast'!M100*IF('Calc|Opex forecast'!$F$100="nominal",LOOKUP($F13,Nominal_to_Real,'Input|Rate of change'!S$25:S$30),INDEX('Input|Rate of change'!$C$14:$O$21,MATCH('Calc|Opex forecast'!$F$100,'Input|Rate of change'!$C$14:$C$21,0),MATCH('Output|Models'!$F13,'Input|Rate of change'!$C$14:$O$14,0)))*IF('Calc|Opex forecast'!$E$100="$millions",1000000,IF('Calc|Opex forecast'!$E$100="$000",1000,1))/IF($E13="$millions",1000000,IF($E13="$000",1000,1)))</f>
        <v>0</v>
      </c>
      <c r="N13" s="181">
        <f>IF(N11="",0,'Calc|Opex forecast'!N100*IF('Calc|Opex forecast'!$F$100="nominal",LOOKUP($F13,Nominal_to_Real,'Input|Rate of change'!T$25:T$30),INDEX('Input|Rate of change'!$C$14:$O$21,MATCH('Calc|Opex forecast'!$F$100,'Input|Rate of change'!$C$14:$C$21,0),MATCH('Output|Models'!$F13,'Input|Rate of change'!$C$14:$O$14,0)))*IF('Calc|Opex forecast'!$E$100="$millions",1000000,IF('Calc|Opex forecast'!$E$100="$000",1000,1))/IF($E13="$millions",1000000,IF($E13="$000",1000,1)))</f>
        <v>0</v>
      </c>
      <c r="O13" s="181">
        <f>IF(O11="",0,'Calc|Opex forecast'!O100*IF('Calc|Opex forecast'!$F$100="nominal",LOOKUP($F13,Nominal_to_Real,'Input|Rate of change'!U$25:U$30),INDEX('Input|Rate of change'!$C$14:$O$21,MATCH('Calc|Opex forecast'!$F$100,'Input|Rate of change'!$C$14:$C$21,0),MATCH('Output|Models'!$F13,'Input|Rate of change'!$C$14:$O$14,0)))*IF('Calc|Opex forecast'!$E$100="$millions",1000000,IF('Calc|Opex forecast'!$E$100="$000",1000,1))/IF($E13="$millions",1000000,IF($E13="$000",1000,1)))</f>
        <v>371.30776710954115</v>
      </c>
      <c r="P13" s="181">
        <f>IF(P11="",0,'Calc|Opex forecast'!P100*IF('Calc|Opex forecast'!$F$100="nominal",LOOKUP($F13,Nominal_to_Real,'Input|Rate of change'!V$25:V$30),INDEX('Input|Rate of change'!$C$14:$O$21,MATCH('Calc|Opex forecast'!$F$100,'Input|Rate of change'!$C$14:$C$21,0),MATCH('Output|Models'!$F13,'Input|Rate of change'!$C$14:$O$14,0)))*IF('Calc|Opex forecast'!$E$100="$millions",1000000,IF('Calc|Opex forecast'!$E$100="$000",1000,1))/IF($E13="$millions",1000000,IF($E13="$000",1000,1)))</f>
        <v>375.37189408948655</v>
      </c>
      <c r="Q13" s="181">
        <f>IF(Q11="",0,'Calc|Opex forecast'!Q100*IF('Calc|Opex forecast'!$F$100="nominal",LOOKUP($F13,Nominal_to_Real,'Input|Rate of change'!W$25:W$30),INDEX('Input|Rate of change'!$C$14:$O$21,MATCH('Calc|Opex forecast'!$F$100,'Input|Rate of change'!$C$14:$C$21,0),MATCH('Output|Models'!$F13,'Input|Rate of change'!$C$14:$O$14,0)))*IF('Calc|Opex forecast'!$E$100="$millions",1000000,IF('Calc|Opex forecast'!$E$100="$000",1000,1))/IF($E13="$millions",1000000,IF($E13="$000",1000,1)))</f>
        <v>378.27766755486817</v>
      </c>
      <c r="R13" s="181">
        <f>IF(R11="",0,'Calc|Opex forecast'!R100*IF('Calc|Opex forecast'!$F$100="nominal",LOOKUP($F13,Nominal_to_Real,'Input|Rate of change'!X$25:X$30),INDEX('Input|Rate of change'!$C$14:$O$21,MATCH('Calc|Opex forecast'!$F$100,'Input|Rate of change'!$C$14:$C$21,0),MATCH('Output|Models'!$F13,'Input|Rate of change'!$C$14:$O$14,0)))*IF('Calc|Opex forecast'!$E$100="$millions",1000000,IF('Calc|Opex forecast'!$E$100="$000",1000,1))/IF($E13="$millions",1000000,IF($E13="$000",1000,1)))</f>
        <v>380.00995692918133</v>
      </c>
      <c r="S13" s="181">
        <f>IF(S11="",0,'Calc|Opex forecast'!S100*IF('Calc|Opex forecast'!$F$100="nominal",LOOKUP($F13,Nominal_to_Real,'Input|Rate of change'!Y$25:Y$30),INDEX('Input|Rate of change'!$C$14:$O$21,MATCH('Calc|Opex forecast'!$F$100,'Input|Rate of change'!$C$14:$C$21,0),MATCH('Output|Models'!$F13,'Input|Rate of change'!$C$14:$O$14,0)))*IF('Calc|Opex forecast'!$E$100="$millions",1000000,IF('Calc|Opex forecast'!$E$100="$000",1000,1))/IF($E13="$millions",1000000,IF($E13="$000",1000,1)))</f>
        <v>382.888802868347</v>
      </c>
      <c r="T13" s="218"/>
      <c r="U13" s="152"/>
    </row>
    <row r="14" spans="1:26">
      <c r="C14" s="111">
        <f>'Input|Step changes'!C28</f>
        <v>0</v>
      </c>
      <c r="D14" s="34" t="s">
        <v>109</v>
      </c>
      <c r="E14" s="30" t="str">
        <f t="shared" ref="E14:E16" si="0">$E$8</f>
        <v>$millions</v>
      </c>
      <c r="F14" s="161">
        <f t="shared" ref="F14:F16" si="1">$F$8</f>
        <v>43983</v>
      </c>
      <c r="H14" s="32"/>
      <c r="I14" s="32"/>
      <c r="J14" s="181">
        <f>IF(J$11="",0,'Calc|Opex forecast'!J90*IF('Calc|Opex forecast'!$F90="nominal",LOOKUP($F14,Nominal_to_Real,'Input|Rate of change'!P$25:P$30),INDEX('Input|Rate of change'!$C$14:$O$21,MATCH('Calc|Opex forecast'!$F90,'Input|Rate of change'!$C$14:$C$21,0),MATCH('Output|Models'!$F14,'Input|Rate of change'!$C$14:$O$14,0)))*IF('Calc|Opex forecast'!$E90="$millions",1000000,IF('Calc|Opex forecast'!$E90="$000",1000,1))/IF($E14="$millions",1000000,IF($E14="$000",1000,1)))</f>
        <v>0</v>
      </c>
      <c r="K14" s="181">
        <f>IF(K$11="",0,'Calc|Opex forecast'!K90*IF('Calc|Opex forecast'!$F90="nominal",LOOKUP($F14,Nominal_to_Real,'Input|Rate of change'!Q$25:Q$30),INDEX('Input|Rate of change'!$C$14:$O$21,MATCH('Calc|Opex forecast'!$F90,'Input|Rate of change'!$C$14:$C$21,0),MATCH('Output|Models'!$F14,'Input|Rate of change'!$C$14:$O$14,0)))*IF('Calc|Opex forecast'!$E90="$millions",1000000,IF('Calc|Opex forecast'!$E90="$000",1000,1))/IF($E14="$millions",1000000,IF($E14="$000",1000,1)))</f>
        <v>0</v>
      </c>
      <c r="L14" s="181">
        <f>IF(L$11="",0,'Calc|Opex forecast'!L90*IF('Calc|Opex forecast'!$F90="nominal",LOOKUP($F14,Nominal_to_Real,'Input|Rate of change'!R$25:R$30),INDEX('Input|Rate of change'!$C$14:$O$21,MATCH('Calc|Opex forecast'!$F90,'Input|Rate of change'!$C$14:$C$21,0),MATCH('Output|Models'!$F14,'Input|Rate of change'!$C$14:$O$14,0)))*IF('Calc|Opex forecast'!$E90="$millions",1000000,IF('Calc|Opex forecast'!$E90="$000",1000,1))/IF($E14="$millions",1000000,IF($E14="$000",1000,1)))</f>
        <v>0</v>
      </c>
      <c r="M14" s="181">
        <f>IF(M$11="",0,'Calc|Opex forecast'!M90*IF('Calc|Opex forecast'!$F90="nominal",LOOKUP($F14,Nominal_to_Real,'Input|Rate of change'!S$25:S$30),INDEX('Input|Rate of change'!$C$14:$O$21,MATCH('Calc|Opex forecast'!$F90,'Input|Rate of change'!$C$14:$C$21,0),MATCH('Output|Models'!$F14,'Input|Rate of change'!$C$14:$O$14,0)))*IF('Calc|Opex forecast'!$E90="$millions",1000000,IF('Calc|Opex forecast'!$E90="$000",1000,1))/IF($E14="$millions",1000000,IF($E14="$000",1000,1)))</f>
        <v>0</v>
      </c>
      <c r="N14" s="181">
        <f>IF(N$11="",0,'Calc|Opex forecast'!N90*IF('Calc|Opex forecast'!$F90="nominal",LOOKUP($F14,Nominal_to_Real,'Input|Rate of change'!T$25:T$30),INDEX('Input|Rate of change'!$C$14:$O$21,MATCH('Calc|Opex forecast'!$F90,'Input|Rate of change'!$C$14:$C$21,0),MATCH('Output|Models'!$F14,'Input|Rate of change'!$C$14:$O$14,0)))*IF('Calc|Opex forecast'!$E90="$millions",1000000,IF('Calc|Opex forecast'!$E90="$000",1000,1))/IF($E14="$millions",1000000,IF($E14="$000",1000,1)))</f>
        <v>0</v>
      </c>
      <c r="O14" s="181">
        <f>IF(O$11="",0,'Calc|Opex forecast'!O90*IF('Calc|Opex forecast'!$F90="nominal",LOOKUP($F14,Nominal_to_Real,'Input|Rate of change'!U$25:U$30),INDEX('Input|Rate of change'!$C$14:$O$21,MATCH('Calc|Opex forecast'!$F90,'Input|Rate of change'!$C$14:$C$21,0),MATCH('Output|Models'!$F14,'Input|Rate of change'!$C$14:$O$14,0)))*IF('Calc|Opex forecast'!$E90="$millions",1000000,IF('Calc|Opex forecast'!$E90="$000",1000,1))/IF($E14="$millions",1000000,IF($E14="$000",1000,1)))</f>
        <v>0</v>
      </c>
      <c r="P14" s="181">
        <f>IF(P$11="",0,'Calc|Opex forecast'!P90*IF('Calc|Opex forecast'!$F90="nominal",LOOKUP($F14,Nominal_to_Real,'Input|Rate of change'!V$25:V$30),INDEX('Input|Rate of change'!$C$14:$O$21,MATCH('Calc|Opex forecast'!$F90,'Input|Rate of change'!$C$14:$C$21,0),MATCH('Output|Models'!$F14,'Input|Rate of change'!$C$14:$O$14,0)))*IF('Calc|Opex forecast'!$E90="$millions",1000000,IF('Calc|Opex forecast'!$E90="$000",1000,1))/IF($E14="$millions",1000000,IF($E14="$000",1000,1)))</f>
        <v>0</v>
      </c>
      <c r="Q14" s="181">
        <f>IF(Q$11="",0,'Calc|Opex forecast'!Q90*IF('Calc|Opex forecast'!$F90="nominal",LOOKUP($F14,Nominal_to_Real,'Input|Rate of change'!W$25:W$30),INDEX('Input|Rate of change'!$C$14:$O$21,MATCH('Calc|Opex forecast'!$F90,'Input|Rate of change'!$C$14:$C$21,0),MATCH('Output|Models'!$F14,'Input|Rate of change'!$C$14:$O$14,0)))*IF('Calc|Opex forecast'!$E90="$millions",1000000,IF('Calc|Opex forecast'!$E90="$000",1000,1))/IF($E14="$millions",1000000,IF($E14="$000",1000,1)))</f>
        <v>0</v>
      </c>
      <c r="R14" s="181">
        <f>IF(R$11="",0,'Calc|Opex forecast'!R90*IF('Calc|Opex forecast'!$F90="nominal",LOOKUP($F14,Nominal_to_Real,'Input|Rate of change'!X$25:X$30),INDEX('Input|Rate of change'!$C$14:$O$21,MATCH('Calc|Opex forecast'!$F90,'Input|Rate of change'!$C$14:$C$21,0),MATCH('Output|Models'!$F14,'Input|Rate of change'!$C$14:$O$14,0)))*IF('Calc|Opex forecast'!$E90="$millions",1000000,IF('Calc|Opex forecast'!$E90="$000",1000,1))/IF($E14="$millions",1000000,IF($E14="$000",1000,1)))</f>
        <v>0</v>
      </c>
      <c r="S14" s="181">
        <f>IF(S$11="",0,'Calc|Opex forecast'!S90*IF('Calc|Opex forecast'!$F90="nominal",LOOKUP($F14,Nominal_to_Real,'Input|Rate of change'!Y$25:Y$30),INDEX('Input|Rate of change'!$C$14:$O$21,MATCH('Calc|Opex forecast'!$F90,'Input|Rate of change'!$C$14:$C$21,0),MATCH('Output|Models'!$F14,'Input|Rate of change'!$C$14:$O$14,0)))*IF('Calc|Opex forecast'!$E90="$millions",1000000,IF('Calc|Opex forecast'!$E90="$000",1000,1))/IF($E14="$millions",1000000,IF($E14="$000",1000,1)))</f>
        <v>0</v>
      </c>
      <c r="T14" s="111"/>
      <c r="U14" s="152"/>
    </row>
    <row r="15" spans="1:26">
      <c r="C15" s="111">
        <f>'Input|Step changes'!C29</f>
        <v>0</v>
      </c>
      <c r="D15" s="34" t="s">
        <v>109</v>
      </c>
      <c r="E15" s="30" t="str">
        <f t="shared" si="0"/>
        <v>$millions</v>
      </c>
      <c r="F15" s="161">
        <f t="shared" si="1"/>
        <v>43983</v>
      </c>
      <c r="H15" s="32"/>
      <c r="I15" s="32"/>
      <c r="J15" s="181">
        <f>IF(J$11="",0,'Calc|Opex forecast'!J91*IF('Calc|Opex forecast'!$F91="nominal",LOOKUP($F15,Nominal_to_Real,'Input|Rate of change'!P$25:P$30),INDEX('Input|Rate of change'!$C$14:$O$21,MATCH('Calc|Opex forecast'!$F91,'Input|Rate of change'!$C$14:$C$21,0),MATCH('Output|Models'!$F15,'Input|Rate of change'!$C$14:$O$14,0)))*IF('Calc|Opex forecast'!$E91="$millions",1000000,IF('Calc|Opex forecast'!$E91="$000",1000,1))/IF($E15="$millions",1000000,IF($E15="$000",1000,1)))</f>
        <v>0</v>
      </c>
      <c r="K15" s="181">
        <f>IF(K$11="",0,'Calc|Opex forecast'!K91*IF('Calc|Opex forecast'!$F91="nominal",LOOKUP($F15,Nominal_to_Real,'Input|Rate of change'!Q$25:Q$30),INDEX('Input|Rate of change'!$C$14:$O$21,MATCH('Calc|Opex forecast'!$F91,'Input|Rate of change'!$C$14:$C$21,0),MATCH('Output|Models'!$F15,'Input|Rate of change'!$C$14:$O$14,0)))*IF('Calc|Opex forecast'!$E91="$millions",1000000,IF('Calc|Opex forecast'!$E91="$000",1000,1))/IF($E15="$millions",1000000,IF($E15="$000",1000,1)))</f>
        <v>0</v>
      </c>
      <c r="L15" s="181">
        <f>IF(L$11="",0,'Calc|Opex forecast'!L91*IF('Calc|Opex forecast'!$F91="nominal",LOOKUP($F15,Nominal_to_Real,'Input|Rate of change'!R$25:R$30),INDEX('Input|Rate of change'!$C$14:$O$21,MATCH('Calc|Opex forecast'!$F91,'Input|Rate of change'!$C$14:$C$21,0),MATCH('Output|Models'!$F15,'Input|Rate of change'!$C$14:$O$14,0)))*IF('Calc|Opex forecast'!$E91="$millions",1000000,IF('Calc|Opex forecast'!$E91="$000",1000,1))/IF($E15="$millions",1000000,IF($E15="$000",1000,1)))</f>
        <v>0</v>
      </c>
      <c r="M15" s="181">
        <f>IF(M$11="",0,'Calc|Opex forecast'!M91*IF('Calc|Opex forecast'!$F91="nominal",LOOKUP($F15,Nominal_to_Real,'Input|Rate of change'!S$25:S$30),INDEX('Input|Rate of change'!$C$14:$O$21,MATCH('Calc|Opex forecast'!$F91,'Input|Rate of change'!$C$14:$C$21,0),MATCH('Output|Models'!$F15,'Input|Rate of change'!$C$14:$O$14,0)))*IF('Calc|Opex forecast'!$E91="$millions",1000000,IF('Calc|Opex forecast'!$E91="$000",1000,1))/IF($E15="$millions",1000000,IF($E15="$000",1000,1)))</f>
        <v>0</v>
      </c>
      <c r="N15" s="181">
        <f>IF(N$11="",0,'Calc|Opex forecast'!N91*IF('Calc|Opex forecast'!$F91="nominal",LOOKUP($F15,Nominal_to_Real,'Input|Rate of change'!T$25:T$30),INDEX('Input|Rate of change'!$C$14:$O$21,MATCH('Calc|Opex forecast'!$F91,'Input|Rate of change'!$C$14:$C$21,0),MATCH('Output|Models'!$F15,'Input|Rate of change'!$C$14:$O$14,0)))*IF('Calc|Opex forecast'!$E91="$millions",1000000,IF('Calc|Opex forecast'!$E91="$000",1000,1))/IF($E15="$millions",1000000,IF($E15="$000",1000,1)))</f>
        <v>0</v>
      </c>
      <c r="O15" s="181">
        <f>IF(O$11="",0,'Calc|Opex forecast'!O91*IF('Calc|Opex forecast'!$F91="nominal",LOOKUP($F15,Nominal_to_Real,'Input|Rate of change'!U$25:U$30),INDEX('Input|Rate of change'!$C$14:$O$21,MATCH('Calc|Opex forecast'!$F91,'Input|Rate of change'!$C$14:$C$21,0),MATCH('Output|Models'!$F15,'Input|Rate of change'!$C$14:$O$14,0)))*IF('Calc|Opex forecast'!$E91="$millions",1000000,IF('Calc|Opex forecast'!$E91="$000",1000,1))/IF($E15="$millions",1000000,IF($E15="$000",1000,1)))</f>
        <v>0</v>
      </c>
      <c r="P15" s="181">
        <f>IF(P$11="",0,'Calc|Opex forecast'!P91*IF('Calc|Opex forecast'!$F91="nominal",LOOKUP($F15,Nominal_to_Real,'Input|Rate of change'!V$25:V$30),INDEX('Input|Rate of change'!$C$14:$O$21,MATCH('Calc|Opex forecast'!$F91,'Input|Rate of change'!$C$14:$C$21,0),MATCH('Output|Models'!$F15,'Input|Rate of change'!$C$14:$O$14,0)))*IF('Calc|Opex forecast'!$E91="$millions",1000000,IF('Calc|Opex forecast'!$E91="$000",1000,1))/IF($E15="$millions",1000000,IF($E15="$000",1000,1)))</f>
        <v>0</v>
      </c>
      <c r="Q15" s="181">
        <f>IF(Q$11="",0,'Calc|Opex forecast'!Q91*IF('Calc|Opex forecast'!$F91="nominal",LOOKUP($F15,Nominal_to_Real,'Input|Rate of change'!W$25:W$30),INDEX('Input|Rate of change'!$C$14:$O$21,MATCH('Calc|Opex forecast'!$F91,'Input|Rate of change'!$C$14:$C$21,0),MATCH('Output|Models'!$F15,'Input|Rate of change'!$C$14:$O$14,0)))*IF('Calc|Opex forecast'!$E91="$millions",1000000,IF('Calc|Opex forecast'!$E91="$000",1000,1))/IF($E15="$millions",1000000,IF($E15="$000",1000,1)))</f>
        <v>0</v>
      </c>
      <c r="R15" s="181">
        <f>IF(R$11="",0,'Calc|Opex forecast'!R91*IF('Calc|Opex forecast'!$F91="nominal",LOOKUP($F15,Nominal_to_Real,'Input|Rate of change'!X$25:X$30),INDEX('Input|Rate of change'!$C$14:$O$21,MATCH('Calc|Opex forecast'!$F91,'Input|Rate of change'!$C$14:$C$21,0),MATCH('Output|Models'!$F15,'Input|Rate of change'!$C$14:$O$14,0)))*IF('Calc|Opex forecast'!$E91="$millions",1000000,IF('Calc|Opex forecast'!$E91="$000",1000,1))/IF($E15="$millions",1000000,IF($E15="$000",1000,1)))</f>
        <v>0</v>
      </c>
      <c r="S15" s="181">
        <f>IF(S$11="",0,'Calc|Opex forecast'!S91*IF('Calc|Opex forecast'!$F91="nominal",LOOKUP($F15,Nominal_to_Real,'Input|Rate of change'!Y$25:Y$30),INDEX('Input|Rate of change'!$C$14:$O$21,MATCH('Calc|Opex forecast'!$F91,'Input|Rate of change'!$C$14:$C$21,0),MATCH('Output|Models'!$F15,'Input|Rate of change'!$C$14:$O$14,0)))*IF('Calc|Opex forecast'!$E91="$millions",1000000,IF('Calc|Opex forecast'!$E91="$000",1000,1))/IF($E15="$millions",1000000,IF($E15="$000",1000,1)))</f>
        <v>0</v>
      </c>
      <c r="T15" s="111"/>
      <c r="U15" s="152"/>
    </row>
    <row r="16" spans="1:26">
      <c r="C16" s="111">
        <f>'Input|Step changes'!C30</f>
        <v>0</v>
      </c>
      <c r="D16" s="34" t="s">
        <v>109</v>
      </c>
      <c r="E16" s="30" t="str">
        <f t="shared" si="0"/>
        <v>$millions</v>
      </c>
      <c r="F16" s="161">
        <f t="shared" si="1"/>
        <v>43983</v>
      </c>
      <c r="H16" s="32"/>
      <c r="I16" s="32"/>
      <c r="J16" s="181">
        <f>IF(J$11="",0,'Calc|Opex forecast'!J92*IF('Calc|Opex forecast'!$F92="nominal",LOOKUP($F16,Nominal_to_Real,'Input|Rate of change'!P$25:P$30),INDEX('Input|Rate of change'!$C$14:$O$21,MATCH('Calc|Opex forecast'!$F92,'Input|Rate of change'!$C$14:$C$21,0),MATCH('Output|Models'!$F16,'Input|Rate of change'!$C$14:$O$14,0)))*IF('Calc|Opex forecast'!$E92="$millions",1000000,IF('Calc|Opex forecast'!$E92="$000",1000,1))/IF($E16="$millions",1000000,IF($E16="$000",1000,1)))</f>
        <v>0</v>
      </c>
      <c r="K16" s="181">
        <f>IF(K$11="",0,'Calc|Opex forecast'!K92*IF('Calc|Opex forecast'!$F92="nominal",LOOKUP($F16,Nominal_to_Real,'Input|Rate of change'!Q$25:Q$30),INDEX('Input|Rate of change'!$C$14:$O$21,MATCH('Calc|Opex forecast'!$F92,'Input|Rate of change'!$C$14:$C$21,0),MATCH('Output|Models'!$F16,'Input|Rate of change'!$C$14:$O$14,0)))*IF('Calc|Opex forecast'!$E92="$millions",1000000,IF('Calc|Opex forecast'!$E92="$000",1000,1))/IF($E16="$millions",1000000,IF($E16="$000",1000,1)))</f>
        <v>0</v>
      </c>
      <c r="L16" s="181">
        <f>IF(L$11="",0,'Calc|Opex forecast'!L92*IF('Calc|Opex forecast'!$F92="nominal",LOOKUP($F16,Nominal_to_Real,'Input|Rate of change'!R$25:R$30),INDEX('Input|Rate of change'!$C$14:$O$21,MATCH('Calc|Opex forecast'!$F92,'Input|Rate of change'!$C$14:$C$21,0),MATCH('Output|Models'!$F16,'Input|Rate of change'!$C$14:$O$14,0)))*IF('Calc|Opex forecast'!$E92="$millions",1000000,IF('Calc|Opex forecast'!$E92="$000",1000,1))/IF($E16="$millions",1000000,IF($E16="$000",1000,1)))</f>
        <v>0</v>
      </c>
      <c r="M16" s="181">
        <f>IF(M$11="",0,'Calc|Opex forecast'!M92*IF('Calc|Opex forecast'!$F92="nominal",LOOKUP($F16,Nominal_to_Real,'Input|Rate of change'!S$25:S$30),INDEX('Input|Rate of change'!$C$14:$O$21,MATCH('Calc|Opex forecast'!$F92,'Input|Rate of change'!$C$14:$C$21,0),MATCH('Output|Models'!$F16,'Input|Rate of change'!$C$14:$O$14,0)))*IF('Calc|Opex forecast'!$E92="$millions",1000000,IF('Calc|Opex forecast'!$E92="$000",1000,1))/IF($E16="$millions",1000000,IF($E16="$000",1000,1)))</f>
        <v>0</v>
      </c>
      <c r="N16" s="181">
        <f>IF(N$11="",0,'Calc|Opex forecast'!N92*IF('Calc|Opex forecast'!$F92="nominal",LOOKUP($F16,Nominal_to_Real,'Input|Rate of change'!T$25:T$30),INDEX('Input|Rate of change'!$C$14:$O$21,MATCH('Calc|Opex forecast'!$F92,'Input|Rate of change'!$C$14:$C$21,0),MATCH('Output|Models'!$F16,'Input|Rate of change'!$C$14:$O$14,0)))*IF('Calc|Opex forecast'!$E92="$millions",1000000,IF('Calc|Opex forecast'!$E92="$000",1000,1))/IF($E16="$millions",1000000,IF($E16="$000",1000,1)))</f>
        <v>0</v>
      </c>
      <c r="O16" s="181">
        <f>IF(O$11="",0,'Calc|Opex forecast'!O92*IF('Calc|Opex forecast'!$F92="nominal",LOOKUP($F16,Nominal_to_Real,'Input|Rate of change'!U$25:U$30),INDEX('Input|Rate of change'!$C$14:$O$21,MATCH('Calc|Opex forecast'!$F92,'Input|Rate of change'!$C$14:$C$21,0),MATCH('Output|Models'!$F16,'Input|Rate of change'!$C$14:$O$14,0)))*IF('Calc|Opex forecast'!$E92="$millions",1000000,IF('Calc|Opex forecast'!$E92="$000",1000,1))/IF($E16="$millions",1000000,IF($E16="$000",1000,1)))</f>
        <v>0</v>
      </c>
      <c r="P16" s="181">
        <f>IF(P$11="",0,'Calc|Opex forecast'!P92*IF('Calc|Opex forecast'!$F92="nominal",LOOKUP($F16,Nominal_to_Real,'Input|Rate of change'!V$25:V$30),INDEX('Input|Rate of change'!$C$14:$O$21,MATCH('Calc|Opex forecast'!$F92,'Input|Rate of change'!$C$14:$C$21,0),MATCH('Output|Models'!$F16,'Input|Rate of change'!$C$14:$O$14,0)))*IF('Calc|Opex forecast'!$E92="$millions",1000000,IF('Calc|Opex forecast'!$E92="$000",1000,1))/IF($E16="$millions",1000000,IF($E16="$000",1000,1)))</f>
        <v>0</v>
      </c>
      <c r="Q16" s="181">
        <f>IF(Q$11="",0,'Calc|Opex forecast'!Q92*IF('Calc|Opex forecast'!$F92="nominal",LOOKUP($F16,Nominal_to_Real,'Input|Rate of change'!W$25:W$30),INDEX('Input|Rate of change'!$C$14:$O$21,MATCH('Calc|Opex forecast'!$F92,'Input|Rate of change'!$C$14:$C$21,0),MATCH('Output|Models'!$F16,'Input|Rate of change'!$C$14:$O$14,0)))*IF('Calc|Opex forecast'!$E92="$millions",1000000,IF('Calc|Opex forecast'!$E92="$000",1000,1))/IF($E16="$millions",1000000,IF($E16="$000",1000,1)))</f>
        <v>0</v>
      </c>
      <c r="R16" s="181">
        <f>IF(R$11="",0,'Calc|Opex forecast'!R92*IF('Calc|Opex forecast'!$F92="nominal",LOOKUP($F16,Nominal_to_Real,'Input|Rate of change'!X$25:X$30),INDEX('Input|Rate of change'!$C$14:$O$21,MATCH('Calc|Opex forecast'!$F92,'Input|Rate of change'!$C$14:$C$21,0),MATCH('Output|Models'!$F16,'Input|Rate of change'!$C$14:$O$14,0)))*IF('Calc|Opex forecast'!$E92="$millions",1000000,IF('Calc|Opex forecast'!$E92="$000",1000,1))/IF($E16="$millions",1000000,IF($E16="$000",1000,1)))</f>
        <v>0</v>
      </c>
      <c r="S16" s="181">
        <f>IF(S$11="",0,'Calc|Opex forecast'!S92*IF('Calc|Opex forecast'!$F92="nominal",LOOKUP($F16,Nominal_to_Real,'Input|Rate of change'!Y$25:Y$30),INDEX('Input|Rate of change'!$C$14:$O$21,MATCH('Calc|Opex forecast'!$F92,'Input|Rate of change'!$C$14:$C$21,0),MATCH('Output|Models'!$F16,'Input|Rate of change'!$C$14:$O$14,0)))*IF('Calc|Opex forecast'!$E92="$millions",1000000,IF('Calc|Opex forecast'!$E92="$000",1000,1))/IF($E16="$millions",1000000,IF($E16="$000",1000,1)))</f>
        <v>0</v>
      </c>
      <c r="T16" s="111"/>
      <c r="U16" s="208"/>
    </row>
    <row r="17" spans="1:23">
      <c r="D17" s="34"/>
      <c r="H17" s="32"/>
      <c r="I17" s="32"/>
      <c r="N17" s="142"/>
      <c r="S17" s="23"/>
    </row>
    <row r="18" spans="1:23" s="103" customFormat="1" ht="12.75">
      <c r="A18" s="94"/>
      <c r="B18" s="95" t="s">
        <v>21</v>
      </c>
      <c r="C18" s="94"/>
      <c r="D18" s="94"/>
      <c r="E18" s="94"/>
      <c r="F18" s="96"/>
      <c r="G18" s="96"/>
      <c r="H18" s="96"/>
      <c r="I18" s="96"/>
      <c r="J18" s="97"/>
      <c r="K18" s="98"/>
      <c r="L18" s="97"/>
      <c r="M18" s="98"/>
      <c r="N18" s="97"/>
      <c r="O18" s="97"/>
      <c r="P18" s="97"/>
      <c r="Q18" s="97"/>
      <c r="R18" s="97"/>
      <c r="S18" s="97"/>
      <c r="T18" s="97"/>
      <c r="U18" s="97"/>
      <c r="V18" s="98"/>
      <c r="W18" s="98"/>
    </row>
    <row r="19" spans="1:23" hidden="1"/>
    <row r="20" spans="1:23" hidden="1"/>
    <row r="21" spans="1:23" hidden="1"/>
    <row r="22" spans="1:23" hidden="1"/>
    <row r="23" spans="1:23" hidden="1"/>
    <row r="24" spans="1:23" hidden="1">
      <c r="M24" s="146"/>
      <c r="N24" s="146"/>
      <c r="O24" s="146"/>
      <c r="P24" s="146"/>
      <c r="Q24" s="146"/>
      <c r="R24" s="146"/>
      <c r="S24" s="146"/>
    </row>
    <row r="25" spans="1:23" hidden="1"/>
    <row r="26" spans="1:23" hidden="1"/>
    <row r="27" spans="1:23" hidden="1"/>
    <row r="28" spans="1:23" hidden="1"/>
    <row r="29" spans="1:23" hidden="1"/>
    <row r="30" spans="1:23" hidden="1"/>
    <row r="31" spans="1:23" hidden="1"/>
    <row r="32" spans="1:23" hidden="1"/>
    <row r="33" hidden="1"/>
    <row r="34" hidden="1"/>
    <row r="35" hidden="1"/>
    <row r="36" hidden="1"/>
    <row r="37" hidden="1"/>
    <row r="38" hidden="1"/>
    <row r="39" hidden="1"/>
    <row r="40" hidden="1"/>
    <row r="41" hidden="1"/>
    <row r="42" hidden="1"/>
    <row r="43" hidden="1"/>
    <row r="44" hidden="1"/>
    <row r="45" hidden="1"/>
    <row r="46" hidden="1"/>
    <row r="47" hidden="1"/>
    <row r="48" hidden="1"/>
    <row r="49" hidden="1"/>
    <row r="50" hidden="1"/>
    <row r="51" hidden="1"/>
    <row r="52" hidden="1"/>
    <row r="53" hidden="1"/>
  </sheetData>
  <mergeCells count="1">
    <mergeCell ref="N3:S3"/>
  </mergeCells>
  <conditionalFormatting sqref="V1">
    <cfRule type="cellIs" dxfId="25" priority="14" operator="equal">
      <formula>"Check"</formula>
    </cfRule>
    <cfRule type="cellIs" dxfId="24" priority="15" operator="equal">
      <formula>"Ok"</formula>
    </cfRule>
  </conditionalFormatting>
  <conditionalFormatting sqref="J13:S16">
    <cfRule type="expression" dxfId="23" priority="4">
      <formula>AND($C13=0,J$11=J$4)</formula>
    </cfRule>
    <cfRule type="expression" dxfId="22" priority="5">
      <formula>NOT(J$11=J$4)</formula>
    </cfRule>
    <cfRule type="expression" dxfId="21" priority="6">
      <formula>J$11=J$4</formula>
    </cfRule>
  </conditionalFormatting>
  <conditionalFormatting sqref="J11:S11">
    <cfRule type="expression" dxfId="20" priority="8">
      <formula>J$11=J$4</formula>
    </cfRule>
  </conditionalFormatting>
  <conditionalFormatting sqref="S1">
    <cfRule type="cellIs" dxfId="19" priority="2" operator="equal">
      <formula>"Check"</formula>
    </cfRule>
    <cfRule type="cellIs" dxfId="18" priority="3" operator="equal">
      <formula>"Ok"</formula>
    </cfRule>
  </conditionalFormatting>
  <dataValidations count="2">
    <dataValidation type="list" allowBlank="1" showInputMessage="1" showErrorMessage="1" sqref="F13:F16" xr:uid="{00000000-0002-0000-0700-000000000000}">
      <formula1>$G$20:$G$26</formula1>
    </dataValidation>
    <dataValidation type="list" allowBlank="1" showInputMessage="1" showErrorMessage="1" sqref="F17" xr:uid="{00000000-0002-0000-0700-000001000000}">
      <formula1>#REF!</formula1>
    </dataValidation>
  </dataValidations>
  <hyperlinks>
    <hyperlink ref="J1" location="Index!A1" display="Back to Index" xr:uid="{00000000-0004-0000-0700-000000000000}"/>
    <hyperlink ref="D13" location="'Calc|Opex forecast'!A1" display="Calc | Opex forecast" xr:uid="{00000000-0004-0000-0700-000001000000}"/>
    <hyperlink ref="D14" location="'Calc|Opex forecast'!A1" display="Calc | Opex forecast" xr:uid="{00000000-0004-0000-0700-000002000000}"/>
    <hyperlink ref="D15" location="'Calc|Opex forecast'!A1" display="Calc | Opex forecast" xr:uid="{00000000-0004-0000-0700-000003000000}"/>
    <hyperlink ref="D16" location="'Calc|Opex forecast'!A1" display="Calc | Opex forecast" xr:uid="{00000000-0004-0000-0700-000004000000}"/>
    <hyperlink ref="U1" location="'Check|List'!A1" display="Overall Check:" xr:uid="{00000000-0004-0000-0700-000005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700-000002000000}">
          <x14:formula1>
            <xm:f>'Lookup|Tables'!$G$10:$G$12</xm:f>
          </x14:formula1>
          <xm:sqref>E8</xm:sqref>
        </x14:dataValidation>
        <x14:dataValidation type="list" allowBlank="1" showInputMessage="1" showErrorMessage="1" xr:uid="{00000000-0002-0000-0700-000003000000}">
          <x14:formula1>
            <xm:f>'Lookup|Tables'!$H$41:$H$60</xm:f>
          </x14:formula1>
          <xm:sqref>F8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1">
    <tabColor theme="1"/>
  </sheetPr>
  <dimension ref="A1:XER117"/>
  <sheetViews>
    <sheetView showGridLines="0" topLeftCell="A37" workbookViewId="0"/>
  </sheetViews>
  <sheetFormatPr defaultColWidth="0" defaultRowHeight="11.25" zeroHeight="1"/>
  <cols>
    <col min="1" max="2" width="1.5" style="8" customWidth="1"/>
    <col min="3" max="3" width="42" style="8" customWidth="1"/>
    <col min="4" max="4" width="17" style="7" customWidth="1"/>
    <col min="5" max="5" width="15.83203125" style="7" customWidth="1"/>
    <col min="6" max="6" width="10.6640625" style="7" customWidth="1"/>
    <col min="7" max="7" width="15" style="16" customWidth="1"/>
    <col min="8" max="9" width="15" style="8" customWidth="1"/>
    <col min="10" max="23" width="10.83203125" style="8" customWidth="1"/>
    <col min="24" max="311" width="10.5" style="8" hidden="1" customWidth="1"/>
    <col min="312" max="16371" width="10.5" style="8" hidden="1"/>
    <col min="16372" max="16372" width="0" style="8" hidden="1"/>
    <col min="16373" max="16384" width="10.5" style="8" hidden="1"/>
  </cols>
  <sheetData>
    <row r="1" spans="1:47" s="38" customFormat="1" ht="15.75">
      <c r="B1" s="35" t="str">
        <f>Index!$B$1</f>
        <v>AER opex model</v>
      </c>
      <c r="C1" s="35"/>
      <c r="D1" s="35"/>
      <c r="E1" s="35"/>
      <c r="F1" s="36"/>
      <c r="G1" s="36"/>
      <c r="H1" s="36"/>
      <c r="I1" s="36"/>
      <c r="J1" s="37" t="s">
        <v>2</v>
      </c>
      <c r="L1" s="39" t="s">
        <v>3</v>
      </c>
      <c r="M1" s="59" t="s">
        <v>4</v>
      </c>
      <c r="N1" s="11" t="s">
        <v>5</v>
      </c>
      <c r="O1" s="12" t="s">
        <v>6</v>
      </c>
      <c r="R1" s="39"/>
      <c r="S1" s="40"/>
      <c r="U1" s="182" t="s">
        <v>24</v>
      </c>
      <c r="V1" s="40" t="str">
        <f>'Check|List'!$S$1</f>
        <v>Ok</v>
      </c>
    </row>
    <row r="2" spans="1:47" s="38" customFormat="1" ht="12.75">
      <c r="B2" s="53" t="str">
        <f>Index!$C$14</f>
        <v>Lookup | Tables</v>
      </c>
      <c r="C2" s="53"/>
      <c r="D2" s="53"/>
      <c r="E2" s="53"/>
      <c r="F2" s="54"/>
      <c r="G2" s="54"/>
      <c r="H2" s="54"/>
      <c r="I2" s="54"/>
    </row>
    <row r="3" spans="1:47" s="58" customFormat="1" ht="12.75">
      <c r="A3" s="43"/>
      <c r="B3" s="51"/>
      <c r="C3" s="43"/>
      <c r="D3" s="43"/>
      <c r="E3" s="43"/>
      <c r="F3" s="44"/>
      <c r="G3" s="44"/>
      <c r="H3" s="44"/>
      <c r="I3" s="44"/>
      <c r="J3" s="45"/>
      <c r="K3" s="46"/>
      <c r="L3" s="45"/>
      <c r="M3" s="46"/>
      <c r="N3" s="45"/>
      <c r="O3" s="45"/>
      <c r="P3" s="45"/>
      <c r="Q3" s="45"/>
      <c r="R3" s="45"/>
      <c r="S3" s="45"/>
      <c r="T3" s="45"/>
      <c r="U3" s="45"/>
      <c r="V3" s="46"/>
      <c r="W3" s="46"/>
      <c r="X3" s="55"/>
      <c r="Y3" s="55"/>
      <c r="Z3" s="55"/>
      <c r="AA3" s="55"/>
      <c r="AB3" s="55"/>
      <c r="AC3" s="56"/>
      <c r="AD3" s="56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</row>
    <row r="4" spans="1:47" s="6" customFormat="1" ht="3" customHeight="1">
      <c r="D4" s="20"/>
      <c r="E4" s="20"/>
    </row>
    <row r="5" spans="1:47" s="6" customFormat="1" ht="9" customHeight="1">
      <c r="D5" s="20"/>
      <c r="E5" s="20"/>
    </row>
    <row r="6" spans="1:47" s="6" customFormat="1" ht="3" customHeight="1">
      <c r="D6" s="20"/>
      <c r="E6" s="20"/>
    </row>
    <row r="7" spans="1:47" customFormat="1" ht="12.75">
      <c r="A7" s="43"/>
      <c r="B7" s="51" t="s">
        <v>19</v>
      </c>
      <c r="C7" s="43"/>
      <c r="D7" s="43"/>
      <c r="E7" s="43"/>
      <c r="F7" s="44"/>
      <c r="G7" s="44"/>
      <c r="H7" s="44"/>
      <c r="I7" s="44"/>
      <c r="J7" s="45"/>
      <c r="K7" s="46"/>
      <c r="L7" s="45"/>
      <c r="M7" s="46"/>
      <c r="N7" s="45"/>
      <c r="O7" s="45"/>
      <c r="P7" s="45"/>
      <c r="Q7" s="45"/>
      <c r="R7" s="45"/>
      <c r="S7" s="45"/>
      <c r="T7" s="45"/>
      <c r="U7" s="45"/>
      <c r="V7" s="46"/>
      <c r="W7" s="46"/>
      <c r="X7" s="47"/>
      <c r="Y7" s="47"/>
      <c r="Z7" s="47"/>
      <c r="AA7" s="47"/>
      <c r="AB7" s="48"/>
      <c r="AC7" s="49"/>
      <c r="AD7" s="49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1:47"/>
    <row r="9" spans="1:47">
      <c r="C9" s="13" t="str">
        <f>B7</f>
        <v>Unit Denominations</v>
      </c>
      <c r="D9" s="21" t="s">
        <v>7</v>
      </c>
      <c r="E9" s="21"/>
      <c r="F9" s="14"/>
      <c r="G9" s="14" t="s">
        <v>9</v>
      </c>
      <c r="H9" s="14"/>
    </row>
    <row r="10" spans="1:47">
      <c r="C10" s="15" t="s">
        <v>10</v>
      </c>
      <c r="D10" s="16" t="s">
        <v>73</v>
      </c>
      <c r="E10" s="16"/>
      <c r="F10" s="16"/>
      <c r="G10" s="52" t="s">
        <v>12</v>
      </c>
    </row>
    <row r="11" spans="1:47">
      <c r="C11" s="15" t="s">
        <v>13</v>
      </c>
      <c r="D11" s="16" t="s">
        <v>73</v>
      </c>
      <c r="E11" s="16"/>
      <c r="F11" s="16"/>
      <c r="G11" s="52" t="s">
        <v>20</v>
      </c>
    </row>
    <row r="12" spans="1:47">
      <c r="C12" s="15" t="s">
        <v>14</v>
      </c>
      <c r="D12" s="16" t="s">
        <v>73</v>
      </c>
      <c r="E12" s="16"/>
      <c r="F12" s="16"/>
      <c r="G12" s="52" t="s">
        <v>15</v>
      </c>
      <c r="T12" s="17"/>
    </row>
    <row r="13" spans="1:47">
      <c r="F13" s="8"/>
      <c r="G13" s="8"/>
    </row>
    <row r="14" spans="1:47">
      <c r="C14" s="15" t="s">
        <v>16</v>
      </c>
      <c r="D14" s="16" t="s">
        <v>73</v>
      </c>
      <c r="E14" s="16"/>
      <c r="F14" s="16"/>
      <c r="G14" s="52" t="s">
        <v>31</v>
      </c>
    </row>
    <row r="15" spans="1:47">
      <c r="C15" s="15" t="s">
        <v>8</v>
      </c>
      <c r="D15" s="16" t="s">
        <v>73</v>
      </c>
      <c r="E15" s="16"/>
      <c r="F15" s="16"/>
      <c r="G15" s="52" t="s">
        <v>11</v>
      </c>
    </row>
    <row r="16" spans="1:47">
      <c r="C16" s="15" t="s">
        <v>17</v>
      </c>
      <c r="D16" s="16" t="s">
        <v>73</v>
      </c>
      <c r="E16" s="16"/>
      <c r="F16" s="16"/>
      <c r="G16" s="52" t="s">
        <v>18</v>
      </c>
    </row>
    <row r="17" spans="1:47">
      <c r="C17" s="15" t="s">
        <v>37</v>
      </c>
      <c r="D17" s="16" t="s">
        <v>73</v>
      </c>
      <c r="E17" s="16"/>
      <c r="F17" s="16"/>
      <c r="G17" s="52" t="s">
        <v>38</v>
      </c>
    </row>
    <row r="18" spans="1:47">
      <c r="C18" s="15"/>
      <c r="D18" s="16"/>
      <c r="E18" s="16"/>
      <c r="F18" s="16"/>
      <c r="G18" s="8"/>
    </row>
    <row r="19" spans="1:47">
      <c r="C19" s="15" t="s">
        <v>23</v>
      </c>
      <c r="D19" s="16" t="s">
        <v>73</v>
      </c>
      <c r="E19" s="16"/>
      <c r="F19" s="16"/>
      <c r="G19" s="52" t="s">
        <v>23</v>
      </c>
    </row>
    <row r="20" spans="1:47">
      <c r="C20" s="15" t="s">
        <v>78</v>
      </c>
      <c r="D20" s="16" t="s">
        <v>73</v>
      </c>
      <c r="E20" s="16"/>
      <c r="F20" s="16"/>
      <c r="G20" s="52" t="s">
        <v>78</v>
      </c>
    </row>
    <row r="21" spans="1:47">
      <c r="C21" s="15"/>
      <c r="D21" s="16"/>
      <c r="E21" s="16"/>
      <c r="F21" s="16"/>
      <c r="G21" s="8"/>
    </row>
    <row r="22" spans="1:47" customFormat="1" ht="12.75">
      <c r="A22" s="43"/>
      <c r="B22" s="51" t="s">
        <v>127</v>
      </c>
      <c r="C22" s="43"/>
      <c r="D22" s="43"/>
      <c r="E22" s="43"/>
      <c r="F22" s="44"/>
      <c r="G22" s="44"/>
      <c r="H22" s="44"/>
      <c r="I22" s="44"/>
      <c r="J22" s="45"/>
      <c r="K22" s="46"/>
      <c r="L22" s="45"/>
      <c r="M22" s="46"/>
      <c r="N22" s="45"/>
      <c r="O22" s="45"/>
      <c r="P22" s="45"/>
      <c r="Q22" s="45"/>
      <c r="R22" s="45"/>
      <c r="S22" s="45"/>
      <c r="T22" s="45"/>
      <c r="U22" s="45"/>
      <c r="V22" s="46"/>
      <c r="W22" s="46"/>
      <c r="X22" s="47"/>
      <c r="Y22" s="47"/>
      <c r="Z22" s="47"/>
      <c r="AA22" s="47"/>
      <c r="AB22" s="48"/>
      <c r="AC22" s="49"/>
      <c r="AD22" s="49"/>
      <c r="AE22" s="50"/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50"/>
      <c r="AT22" s="50"/>
      <c r="AU22" s="50"/>
    </row>
    <row r="23" spans="1:47"/>
    <row r="24" spans="1:47">
      <c r="C24" s="13" t="str">
        <f>B22</f>
        <v>Months</v>
      </c>
      <c r="D24" s="21" t="s">
        <v>7</v>
      </c>
      <c r="E24" s="21"/>
      <c r="F24" s="14"/>
      <c r="G24" s="14" t="s">
        <v>9</v>
      </c>
      <c r="H24" s="14"/>
    </row>
    <row r="25" spans="1:47">
      <c r="C25" s="15" t="s">
        <v>128</v>
      </c>
      <c r="D25" s="16" t="s">
        <v>73</v>
      </c>
      <c r="E25" s="16"/>
      <c r="F25" s="16"/>
      <c r="G25" s="154">
        <v>36526</v>
      </c>
      <c r="H25" s="14"/>
    </row>
    <row r="26" spans="1:47">
      <c r="C26" s="15" t="s">
        <v>129</v>
      </c>
      <c r="D26" s="16" t="s">
        <v>73</v>
      </c>
      <c r="E26" s="16"/>
      <c r="F26" s="16"/>
      <c r="G26" s="154">
        <v>36557</v>
      </c>
      <c r="H26" s="14"/>
    </row>
    <row r="27" spans="1:47">
      <c r="C27" s="15" t="s">
        <v>130</v>
      </c>
      <c r="D27" s="16" t="s">
        <v>73</v>
      </c>
      <c r="E27" s="16"/>
      <c r="F27" s="16"/>
      <c r="G27" s="154">
        <v>36586</v>
      </c>
      <c r="H27" s="14"/>
    </row>
    <row r="28" spans="1:47">
      <c r="C28" s="15" t="s">
        <v>131</v>
      </c>
      <c r="D28" s="16" t="s">
        <v>73</v>
      </c>
      <c r="E28" s="16"/>
      <c r="F28" s="16"/>
      <c r="G28" s="154">
        <v>36617</v>
      </c>
    </row>
    <row r="29" spans="1:47">
      <c r="C29" s="15" t="s">
        <v>132</v>
      </c>
      <c r="D29" s="16" t="s">
        <v>73</v>
      </c>
      <c r="E29" s="16"/>
      <c r="F29" s="16"/>
      <c r="G29" s="154">
        <v>36647</v>
      </c>
    </row>
    <row r="30" spans="1:47">
      <c r="C30" s="15" t="s">
        <v>133</v>
      </c>
      <c r="D30" s="16" t="s">
        <v>73</v>
      </c>
      <c r="E30" s="16"/>
      <c r="F30" s="16"/>
      <c r="G30" s="154">
        <v>36678</v>
      </c>
      <c r="T30" s="17"/>
    </row>
    <row r="31" spans="1:47">
      <c r="C31" s="15" t="s">
        <v>134</v>
      </c>
      <c r="D31" s="16" t="s">
        <v>73</v>
      </c>
      <c r="E31" s="16"/>
      <c r="F31" s="16"/>
      <c r="G31" s="154">
        <v>36708</v>
      </c>
      <c r="T31" s="17"/>
    </row>
    <row r="32" spans="1:47">
      <c r="C32" s="15" t="s">
        <v>135</v>
      </c>
      <c r="D32" s="16" t="s">
        <v>73</v>
      </c>
      <c r="E32" s="16"/>
      <c r="F32" s="16"/>
      <c r="G32" s="154">
        <v>36739</v>
      </c>
      <c r="T32" s="17"/>
    </row>
    <row r="33" spans="1:47">
      <c r="C33" s="15" t="s">
        <v>136</v>
      </c>
      <c r="D33" s="16" t="s">
        <v>73</v>
      </c>
      <c r="E33" s="16"/>
      <c r="F33" s="16"/>
      <c r="G33" s="154">
        <v>36770</v>
      </c>
      <c r="T33" s="17"/>
    </row>
    <row r="34" spans="1:47">
      <c r="C34" s="15" t="s">
        <v>137</v>
      </c>
      <c r="D34" s="16" t="s">
        <v>73</v>
      </c>
      <c r="E34" s="16"/>
      <c r="F34" s="16"/>
      <c r="G34" s="154">
        <v>36800</v>
      </c>
      <c r="T34" s="17"/>
    </row>
    <row r="35" spans="1:47">
      <c r="C35" s="15" t="s">
        <v>138</v>
      </c>
      <c r="D35" s="16" t="s">
        <v>73</v>
      </c>
      <c r="E35" s="16"/>
      <c r="F35" s="16"/>
      <c r="G35" s="154">
        <v>36831</v>
      </c>
      <c r="T35" s="17"/>
    </row>
    <row r="36" spans="1:47">
      <c r="C36" s="15" t="s">
        <v>139</v>
      </c>
      <c r="D36" s="16" t="s">
        <v>73</v>
      </c>
      <c r="E36" s="16"/>
      <c r="F36" s="16"/>
      <c r="G36" s="154">
        <v>36861</v>
      </c>
      <c r="T36" s="17"/>
    </row>
    <row r="37" spans="1:47">
      <c r="C37" s="15"/>
      <c r="D37" s="16"/>
      <c r="E37" s="16"/>
      <c r="F37" s="16"/>
      <c r="T37" s="17"/>
    </row>
    <row r="38" spans="1:47" customFormat="1" ht="12.75">
      <c r="A38" s="43"/>
      <c r="B38" s="51" t="s">
        <v>74</v>
      </c>
      <c r="C38" s="43"/>
      <c r="D38" s="43"/>
      <c r="E38" s="43"/>
      <c r="F38" s="44"/>
      <c r="G38" s="44"/>
      <c r="H38" s="44"/>
      <c r="I38" s="44"/>
      <c r="J38" s="45"/>
      <c r="K38" s="46"/>
      <c r="L38" s="45"/>
      <c r="M38" s="46"/>
      <c r="N38" s="45"/>
      <c r="O38" s="45"/>
      <c r="P38" s="45"/>
      <c r="Q38" s="45"/>
      <c r="R38" s="45"/>
      <c r="S38" s="45"/>
      <c r="T38" s="45"/>
      <c r="U38" s="45"/>
      <c r="V38" s="46"/>
      <c r="W38" s="46"/>
      <c r="X38" s="47"/>
      <c r="Y38" s="47"/>
      <c r="Z38" s="47"/>
      <c r="AA38" s="47"/>
      <c r="AB38" s="48"/>
      <c r="AC38" s="49"/>
      <c r="AD38" s="49"/>
      <c r="AE38" s="50"/>
      <c r="AF38" s="50"/>
      <c r="AG38" s="50"/>
      <c r="AH38" s="50"/>
      <c r="AI38" s="50"/>
      <c r="AJ38" s="50"/>
      <c r="AK38" s="50"/>
      <c r="AL38" s="50"/>
      <c r="AM38" s="50"/>
      <c r="AN38" s="50"/>
      <c r="AO38" s="50"/>
      <c r="AP38" s="50"/>
      <c r="AQ38" s="50"/>
      <c r="AR38" s="50"/>
      <c r="AS38" s="50"/>
      <c r="AT38" s="50"/>
      <c r="AU38" s="50"/>
    </row>
    <row r="39" spans="1:47"/>
    <row r="40" spans="1:47">
      <c r="C40" s="13" t="str">
        <f>B38</f>
        <v>Years</v>
      </c>
      <c r="D40" s="21" t="s">
        <v>7</v>
      </c>
      <c r="E40" s="21"/>
      <c r="F40" s="14"/>
      <c r="G40" s="14" t="s">
        <v>163</v>
      </c>
      <c r="H40" s="14" t="s">
        <v>161</v>
      </c>
      <c r="I40" s="14" t="s">
        <v>162</v>
      </c>
    </row>
    <row r="41" spans="1:47">
      <c r="C41" s="160">
        <v>40695</v>
      </c>
      <c r="D41" s="16" t="s">
        <v>73</v>
      </c>
      <c r="E41" s="16"/>
      <c r="F41" s="16"/>
      <c r="G41" s="155">
        <v>2011</v>
      </c>
      <c r="H41" s="186">
        <f>DATE(G41,MONTH('Input|General'!$G$9),1)</f>
        <v>40695</v>
      </c>
      <c r="I41" s="184" t="str">
        <f>G41-1&amp;"–"&amp;RIGHT(G41,2)</f>
        <v>2010–11</v>
      </c>
    </row>
    <row r="42" spans="1:47">
      <c r="C42" s="160">
        <v>41061</v>
      </c>
      <c r="D42" s="16" t="s">
        <v>73</v>
      </c>
      <c r="E42" s="16"/>
      <c r="F42" s="16"/>
      <c r="G42" s="155">
        <v>2012</v>
      </c>
      <c r="H42" s="186">
        <f>DATE(G42,MONTH('Input|General'!$G$9),1)</f>
        <v>41061</v>
      </c>
      <c r="I42" s="184" t="str">
        <f t="shared" ref="I42:I60" si="0">G42-1&amp;"–"&amp;RIGHT(G42,2)</f>
        <v>2011–12</v>
      </c>
    </row>
    <row r="43" spans="1:47">
      <c r="C43" s="160">
        <v>41426</v>
      </c>
      <c r="D43" s="16" t="s">
        <v>73</v>
      </c>
      <c r="E43" s="16"/>
      <c r="F43" s="16"/>
      <c r="G43" s="155">
        <v>2013</v>
      </c>
      <c r="H43" s="186">
        <f>DATE(G43,MONTH('Input|General'!$G$9),1)</f>
        <v>41426</v>
      </c>
      <c r="I43" s="184" t="str">
        <f t="shared" si="0"/>
        <v>2012–13</v>
      </c>
    </row>
    <row r="44" spans="1:47">
      <c r="C44" s="160">
        <v>41791</v>
      </c>
      <c r="D44" s="16" t="s">
        <v>73</v>
      </c>
      <c r="E44" s="16"/>
      <c r="F44" s="16"/>
      <c r="G44" s="155">
        <v>2014</v>
      </c>
      <c r="H44" s="186">
        <f>DATE(G44,MONTH('Input|General'!$G$9),1)</f>
        <v>41791</v>
      </c>
      <c r="I44" s="184" t="str">
        <f t="shared" si="0"/>
        <v>2013–14</v>
      </c>
    </row>
    <row r="45" spans="1:47">
      <c r="C45" s="160">
        <v>42156</v>
      </c>
      <c r="D45" s="16" t="s">
        <v>73</v>
      </c>
      <c r="E45" s="16"/>
      <c r="F45" s="16"/>
      <c r="G45" s="155">
        <v>2015</v>
      </c>
      <c r="H45" s="186">
        <f>DATE(G45,MONTH('Input|General'!$G$9),1)</f>
        <v>42156</v>
      </c>
      <c r="I45" s="184" t="str">
        <f t="shared" si="0"/>
        <v>2014–15</v>
      </c>
      <c r="T45" s="17"/>
    </row>
    <row r="46" spans="1:47">
      <c r="C46" s="160">
        <v>42522</v>
      </c>
      <c r="D46" s="16" t="s">
        <v>73</v>
      </c>
      <c r="E46" s="16"/>
      <c r="F46" s="16"/>
      <c r="G46" s="155">
        <v>2016</v>
      </c>
      <c r="H46" s="186">
        <f>DATE(G46,MONTH('Input|General'!$G$9),1)</f>
        <v>42522</v>
      </c>
      <c r="I46" s="184" t="str">
        <f t="shared" si="0"/>
        <v>2015–16</v>
      </c>
      <c r="T46" s="17"/>
    </row>
    <row r="47" spans="1:47">
      <c r="C47" s="160">
        <v>42887</v>
      </c>
      <c r="D47" s="16" t="s">
        <v>73</v>
      </c>
      <c r="E47" s="16"/>
      <c r="F47" s="16"/>
      <c r="G47" s="155">
        <v>2017</v>
      </c>
      <c r="H47" s="186">
        <f>DATE(G47,MONTH('Input|General'!$G$9),1)</f>
        <v>42887</v>
      </c>
      <c r="I47" s="184" t="str">
        <f t="shared" si="0"/>
        <v>2016–17</v>
      </c>
      <c r="T47" s="17"/>
    </row>
    <row r="48" spans="1:47">
      <c r="C48" s="160">
        <v>43252</v>
      </c>
      <c r="D48" s="16" t="s">
        <v>73</v>
      </c>
      <c r="E48" s="16"/>
      <c r="F48" s="16"/>
      <c r="G48" s="155">
        <v>2018</v>
      </c>
      <c r="H48" s="186">
        <f>DATE(G48,MONTH('Input|General'!$G$9),1)</f>
        <v>43252</v>
      </c>
      <c r="I48" s="184" t="str">
        <f t="shared" si="0"/>
        <v>2017–18</v>
      </c>
      <c r="T48" s="17"/>
    </row>
    <row r="49" spans="1:47">
      <c r="C49" s="160">
        <v>43617</v>
      </c>
      <c r="D49" s="16" t="s">
        <v>73</v>
      </c>
      <c r="E49" s="16"/>
      <c r="F49" s="16"/>
      <c r="G49" s="155">
        <v>2019</v>
      </c>
      <c r="H49" s="186">
        <f>DATE(G49,MONTH('Input|General'!$G$9),1)</f>
        <v>43617</v>
      </c>
      <c r="I49" s="184" t="str">
        <f t="shared" si="0"/>
        <v>2018–19</v>
      </c>
      <c r="T49" s="17"/>
    </row>
    <row r="50" spans="1:47">
      <c r="C50" s="160">
        <v>43983</v>
      </c>
      <c r="D50" s="16" t="s">
        <v>73</v>
      </c>
      <c r="E50" s="16"/>
      <c r="F50" s="16"/>
      <c r="G50" s="155">
        <v>2020</v>
      </c>
      <c r="H50" s="186">
        <f>DATE(G50,MONTH('Input|General'!$G$9),1)</f>
        <v>43983</v>
      </c>
      <c r="I50" s="184" t="str">
        <f t="shared" si="0"/>
        <v>2019–20</v>
      </c>
      <c r="T50" s="17"/>
    </row>
    <row r="51" spans="1:47">
      <c r="C51" s="160">
        <v>44348</v>
      </c>
      <c r="D51" s="16" t="s">
        <v>73</v>
      </c>
      <c r="E51" s="16"/>
      <c r="F51" s="16"/>
      <c r="G51" s="155">
        <v>2021</v>
      </c>
      <c r="H51" s="186">
        <f>DATE(G51,MONTH('Input|General'!$G$9),1)</f>
        <v>44348</v>
      </c>
      <c r="I51" s="184" t="str">
        <f t="shared" si="0"/>
        <v>2020–21</v>
      </c>
      <c r="T51" s="17"/>
    </row>
    <row r="52" spans="1:47">
      <c r="C52" s="160">
        <v>44713</v>
      </c>
      <c r="D52" s="16" t="s">
        <v>73</v>
      </c>
      <c r="E52" s="16"/>
      <c r="F52" s="16"/>
      <c r="G52" s="155">
        <v>2022</v>
      </c>
      <c r="H52" s="186">
        <f>DATE(G52,MONTH('Input|General'!$G$9),1)</f>
        <v>44713</v>
      </c>
      <c r="I52" s="184" t="str">
        <f t="shared" si="0"/>
        <v>2021–22</v>
      </c>
      <c r="T52" s="17"/>
    </row>
    <row r="53" spans="1:47">
      <c r="C53" s="160">
        <v>45078</v>
      </c>
      <c r="D53" s="16" t="s">
        <v>73</v>
      </c>
      <c r="E53" s="16"/>
      <c r="F53" s="16"/>
      <c r="G53" s="155">
        <v>2023</v>
      </c>
      <c r="H53" s="186">
        <f>DATE(G53,MONTH('Input|General'!$G$9),1)</f>
        <v>45078</v>
      </c>
      <c r="I53" s="184" t="str">
        <f t="shared" si="0"/>
        <v>2022–23</v>
      </c>
      <c r="T53" s="17"/>
    </row>
    <row r="54" spans="1:47">
      <c r="C54" s="160">
        <v>45444</v>
      </c>
      <c r="D54" s="16" t="s">
        <v>73</v>
      </c>
      <c r="E54" s="16"/>
      <c r="F54" s="16"/>
      <c r="G54" s="155">
        <v>2024</v>
      </c>
      <c r="H54" s="186">
        <f>DATE(G54,MONTH('Input|General'!$G$9),1)</f>
        <v>45444</v>
      </c>
      <c r="I54" s="184" t="str">
        <f t="shared" si="0"/>
        <v>2023–24</v>
      </c>
      <c r="T54" s="17"/>
    </row>
    <row r="55" spans="1:47">
      <c r="C55" s="160">
        <v>45809</v>
      </c>
      <c r="D55" s="16" t="s">
        <v>73</v>
      </c>
      <c r="E55" s="16"/>
      <c r="F55" s="16"/>
      <c r="G55" s="155">
        <v>2025</v>
      </c>
      <c r="H55" s="186">
        <f>DATE(G55,MONTH('Input|General'!$G$9),1)</f>
        <v>45809</v>
      </c>
      <c r="I55" s="184" t="str">
        <f t="shared" si="0"/>
        <v>2024–25</v>
      </c>
      <c r="T55" s="17"/>
    </row>
    <row r="56" spans="1:47">
      <c r="C56" s="160">
        <v>46174</v>
      </c>
      <c r="D56" s="16" t="s">
        <v>73</v>
      </c>
      <c r="E56" s="16"/>
      <c r="F56" s="16"/>
      <c r="G56" s="155">
        <v>2026</v>
      </c>
      <c r="H56" s="186">
        <f>DATE(G56,MONTH('Input|General'!$G$9),1)</f>
        <v>46174</v>
      </c>
      <c r="I56" s="184" t="str">
        <f t="shared" si="0"/>
        <v>2025–26</v>
      </c>
      <c r="T56" s="17"/>
    </row>
    <row r="57" spans="1:47">
      <c r="C57" s="160">
        <v>46539</v>
      </c>
      <c r="D57" s="16" t="s">
        <v>73</v>
      </c>
      <c r="E57" s="16"/>
      <c r="F57" s="16"/>
      <c r="G57" s="155">
        <v>2027</v>
      </c>
      <c r="H57" s="186">
        <f>DATE(G57,MONTH('Input|General'!$G$9),1)</f>
        <v>46539</v>
      </c>
      <c r="I57" s="184" t="str">
        <f t="shared" si="0"/>
        <v>2026–27</v>
      </c>
      <c r="T57" s="17"/>
    </row>
    <row r="58" spans="1:47">
      <c r="C58" s="160">
        <v>46905</v>
      </c>
      <c r="D58" s="16" t="s">
        <v>73</v>
      </c>
      <c r="E58" s="16"/>
      <c r="F58" s="16"/>
      <c r="G58" s="155">
        <v>2028</v>
      </c>
      <c r="H58" s="186">
        <f>DATE(G58,MONTH('Input|General'!$G$9),1)</f>
        <v>46905</v>
      </c>
      <c r="I58" s="184" t="str">
        <f t="shared" si="0"/>
        <v>2027–28</v>
      </c>
      <c r="T58" s="17"/>
    </row>
    <row r="59" spans="1:47">
      <c r="C59" s="160">
        <v>47270</v>
      </c>
      <c r="D59" s="16" t="s">
        <v>73</v>
      </c>
      <c r="E59" s="16"/>
      <c r="F59" s="16"/>
      <c r="G59" s="155">
        <v>2029</v>
      </c>
      <c r="H59" s="186">
        <f>DATE(G59,MONTH('Input|General'!$G$9),1)</f>
        <v>47270</v>
      </c>
      <c r="I59" s="184" t="str">
        <f t="shared" si="0"/>
        <v>2028–29</v>
      </c>
      <c r="T59" s="17"/>
    </row>
    <row r="60" spans="1:47">
      <c r="C60" s="160">
        <v>47635</v>
      </c>
      <c r="D60" s="16" t="s">
        <v>73</v>
      </c>
      <c r="E60" s="16"/>
      <c r="F60" s="16"/>
      <c r="G60" s="155">
        <v>2030</v>
      </c>
      <c r="H60" s="186">
        <f>DATE(G60,MONTH('Input|General'!$G$9),1)</f>
        <v>47635</v>
      </c>
      <c r="I60" s="184" t="str">
        <f t="shared" si="0"/>
        <v>2029–30</v>
      </c>
      <c r="T60" s="17"/>
    </row>
    <row r="61" spans="1:47">
      <c r="H61" s="8" t="s">
        <v>105</v>
      </c>
    </row>
    <row r="62" spans="1:47" customFormat="1" ht="12.75">
      <c r="A62" s="43"/>
      <c r="B62" s="51" t="s">
        <v>159</v>
      </c>
      <c r="C62" s="43"/>
      <c r="D62" s="43"/>
      <c r="E62" s="43"/>
      <c r="F62" s="44"/>
      <c r="G62" s="44"/>
      <c r="H62" s="44"/>
      <c r="I62" s="44"/>
      <c r="J62" s="45"/>
      <c r="K62" s="46"/>
      <c r="L62" s="45"/>
      <c r="M62" s="46"/>
      <c r="N62" s="45"/>
      <c r="O62" s="45"/>
      <c r="P62" s="45"/>
      <c r="Q62" s="45"/>
      <c r="R62" s="45"/>
      <c r="S62" s="45"/>
      <c r="T62" s="45"/>
      <c r="U62" s="45"/>
      <c r="V62" s="46"/>
      <c r="W62" s="46"/>
      <c r="X62" s="47"/>
      <c r="Y62" s="47"/>
      <c r="Z62" s="47"/>
      <c r="AA62" s="47"/>
      <c r="AB62" s="48"/>
      <c r="AC62" s="49"/>
      <c r="AD62" s="49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/>
      <c r="AS62" s="50"/>
      <c r="AT62" s="50"/>
      <c r="AU62" s="50"/>
    </row>
    <row r="63" spans="1:47"/>
    <row r="64" spans="1:47">
      <c r="C64" s="13" t="str">
        <f>B62</f>
        <v>Regulatory years</v>
      </c>
      <c r="D64" s="21" t="s">
        <v>7</v>
      </c>
      <c r="E64" s="21"/>
      <c r="F64" s="14"/>
      <c r="G64" s="14" t="s">
        <v>160</v>
      </c>
      <c r="H64" s="14" t="s">
        <v>126</v>
      </c>
    </row>
    <row r="65" spans="1:47">
      <c r="C65" s="15" t="s">
        <v>147</v>
      </c>
      <c r="D65" s="16" t="s">
        <v>103</v>
      </c>
      <c r="E65" s="16"/>
      <c r="F65" s="16"/>
      <c r="G65" s="184" t="str">
        <f>IF(MONTH('Input|General'!$G$9)=12,PPFirstYear,PPFirstYear-1&amp;"–"&amp;RIGHT(PPFirstYear,2))</f>
        <v>2015–16</v>
      </c>
      <c r="H65" s="186">
        <f>DATE(PPFirstYear,MONTH('Input|General'!$G$9),1)</f>
        <v>42522</v>
      </c>
    </row>
    <row r="66" spans="1:47">
      <c r="C66" s="15" t="s">
        <v>148</v>
      </c>
      <c r="D66" s="16" t="s">
        <v>103</v>
      </c>
      <c r="E66" s="16"/>
      <c r="F66" s="16"/>
      <c r="G66" s="185" t="str">
        <f>IF(PPLastYear-PPFirstYear&lt;1,"",LEFT(G65,4)+1&amp;"–"&amp;RIGHT(G65,2)+1)</f>
        <v>2016–17</v>
      </c>
      <c r="H66" s="186">
        <f>IF(PPLastYear-PPFirstYear&lt;1,"",DATE(PPFirstYear+1,MONTH('Input|General'!$G$9),1))</f>
        <v>42887</v>
      </c>
    </row>
    <row r="67" spans="1:47">
      <c r="C67" s="15" t="s">
        <v>149</v>
      </c>
      <c r="D67" s="16" t="s">
        <v>103</v>
      </c>
      <c r="E67" s="16"/>
      <c r="F67" s="16"/>
      <c r="G67" s="185" t="str">
        <f>IF(PPLastYear-PPFirstYear&lt;2,"",LEFT(G66,4)+1&amp;"–"&amp;RIGHT(G66,2)+1)</f>
        <v>2017–18</v>
      </c>
      <c r="H67" s="186">
        <f>IF(PPLastYear-PPFirstYear&lt;2,"",DATE(PPFirstYear+2,MONTH('Input|General'!$G$9),1))</f>
        <v>43252</v>
      </c>
    </row>
    <row r="68" spans="1:47">
      <c r="C68" s="15" t="s">
        <v>150</v>
      </c>
      <c r="D68" s="16" t="s">
        <v>103</v>
      </c>
      <c r="E68" s="16"/>
      <c r="F68" s="16"/>
      <c r="G68" s="185" t="str">
        <f>IF(PPLastYear-PPFirstYear&lt;3,"",LEFT(G67,4)+1&amp;"–"&amp;RIGHT(G67,2)+1)</f>
        <v>2018–19</v>
      </c>
      <c r="H68" s="186">
        <f>IF(PPLastYear-PPFirstYear&lt;3,"",DATE(PPFirstYear+3,MONTH('Input|General'!$G$9),1))</f>
        <v>43617</v>
      </c>
    </row>
    <row r="69" spans="1:47">
      <c r="C69" s="15" t="s">
        <v>151</v>
      </c>
      <c r="D69" s="16" t="s">
        <v>103</v>
      </c>
      <c r="E69" s="16"/>
      <c r="F69" s="16"/>
      <c r="G69" s="185" t="str">
        <f>IF(PPLastYear-PPFirstYear&lt;4,"",LEFT(G68,4)+1&amp;"–"&amp;RIGHT(G68,2)+1)</f>
        <v>2019–20</v>
      </c>
      <c r="H69" s="186">
        <f>IF(PPLastYear-PPFirstYear&lt;4,"",DATE(PPFirstYear+4,MONTH('Input|General'!$G$9),1))</f>
        <v>43983</v>
      </c>
    </row>
    <row r="70" spans="1:47">
      <c r="C70" s="15" t="s">
        <v>152</v>
      </c>
      <c r="D70" s="16" t="s">
        <v>103</v>
      </c>
      <c r="E70" s="16"/>
      <c r="F70" s="16"/>
      <c r="G70" s="185" t="str">
        <f>IF(MONTH('Input|General'!$G$9)=12,FPFirstYear,FPFirstYear-1&amp;"–"&amp;RIGHT(FPFirstYear,2))</f>
        <v>2020–21</v>
      </c>
      <c r="H70" s="186">
        <f>DATE(FPFirstYear,MONTH('Input|General'!$G$9),1)</f>
        <v>44348</v>
      </c>
      <c r="T70" s="17"/>
    </row>
    <row r="71" spans="1:47">
      <c r="C71" s="15" t="s">
        <v>153</v>
      </c>
      <c r="D71" s="16" t="s">
        <v>103</v>
      </c>
      <c r="E71" s="16"/>
      <c r="F71" s="16"/>
      <c r="G71" s="185" t="str">
        <f>IF(FPLastYear-FPFirstYear&lt;1,"",LEFT(G70,4)+1&amp;"–"&amp;RIGHT(G70,2)+1)</f>
        <v>2021–22</v>
      </c>
      <c r="H71" s="186">
        <f>IF(FPLastYear-FPFirstYear&lt;1,"",DATE(FPFirstYear+1,MONTH('Input|General'!$G$9),1))</f>
        <v>44713</v>
      </c>
      <c r="T71" s="17"/>
    </row>
    <row r="72" spans="1:47">
      <c r="C72" s="15" t="s">
        <v>154</v>
      </c>
      <c r="D72" s="16" t="s">
        <v>103</v>
      </c>
      <c r="E72" s="16"/>
      <c r="F72" s="16"/>
      <c r="G72" s="185" t="str">
        <f>IF(FPLastYear-FPFirstYear&lt;2,"",LEFT(G71,4)+1&amp;"–"&amp;RIGHT(G71,2)+1)</f>
        <v>2022–23</v>
      </c>
      <c r="H72" s="186">
        <f>IF(FPLastYear-FPFirstYear&lt;2,"",DATE(FPFirstYear+2,MONTH('Input|General'!$G$9),1))</f>
        <v>45078</v>
      </c>
      <c r="T72" s="17"/>
    </row>
    <row r="73" spans="1:47">
      <c r="C73" s="15" t="s">
        <v>155</v>
      </c>
      <c r="D73" s="16" t="s">
        <v>103</v>
      </c>
      <c r="E73" s="16"/>
      <c r="F73" s="16"/>
      <c r="G73" s="185" t="str">
        <f>IF(FPLastYear-FPFirstYear&lt;3,"",LEFT(G72,4)+1&amp;"–"&amp;RIGHT(G72,2)+1)</f>
        <v>2023–24</v>
      </c>
      <c r="H73" s="186">
        <f>IF(FPLastYear-FPFirstYear&lt;3,"",DATE(FPFirstYear+3,MONTH('Input|General'!$G$9),1))</f>
        <v>45444</v>
      </c>
      <c r="T73" s="17"/>
    </row>
    <row r="74" spans="1:47">
      <c r="C74" s="15" t="s">
        <v>156</v>
      </c>
      <c r="D74" s="16" t="s">
        <v>103</v>
      </c>
      <c r="E74" s="16"/>
      <c r="F74" s="16"/>
      <c r="G74" s="185" t="str">
        <f>IF(FPLastYear-FPFirstYear&lt;4,"",LEFT(G73,4)+1&amp;"–"&amp;RIGHT(G73,2)+1)</f>
        <v>2024–25</v>
      </c>
      <c r="H74" s="186">
        <f>IF(FPLastYear-FPFirstYear&lt;4,"",DATE(FPFirstYear+4,MONTH('Input|General'!$G$9),1))</f>
        <v>45809</v>
      </c>
      <c r="T74" s="17"/>
    </row>
    <row r="75" spans="1:47">
      <c r="C75" s="15"/>
      <c r="D75" s="16"/>
      <c r="E75" s="16"/>
      <c r="F75" s="16"/>
      <c r="G75" s="212"/>
      <c r="H75" s="213"/>
      <c r="T75" s="17"/>
    </row>
    <row r="76" spans="1:47" customFormat="1" ht="12.75">
      <c r="A76" s="43"/>
      <c r="B76" s="51" t="s">
        <v>42</v>
      </c>
      <c r="C76" s="43"/>
      <c r="D76" s="43"/>
      <c r="E76" s="43"/>
      <c r="F76" s="44"/>
      <c r="G76" s="44"/>
      <c r="H76" s="44"/>
      <c r="I76" s="44"/>
      <c r="J76" s="45"/>
      <c r="K76" s="46"/>
      <c r="L76" s="45"/>
      <c r="M76" s="46"/>
      <c r="N76" s="45"/>
      <c r="O76" s="45"/>
      <c r="P76" s="45"/>
      <c r="Q76" s="45"/>
      <c r="R76" s="45"/>
      <c r="S76" s="45"/>
      <c r="T76" s="45"/>
      <c r="U76" s="45"/>
      <c r="V76" s="46"/>
      <c r="W76" s="46"/>
      <c r="X76" s="47"/>
      <c r="Y76" s="47"/>
      <c r="Z76" s="47"/>
      <c r="AA76" s="47"/>
      <c r="AB76" s="48"/>
      <c r="AC76" s="49"/>
      <c r="AD76" s="49"/>
      <c r="AE76" s="50"/>
      <c r="AF76" s="50"/>
      <c r="AG76" s="50"/>
      <c r="AH76" s="50"/>
      <c r="AI76" s="50"/>
      <c r="AJ76" s="50"/>
      <c r="AK76" s="50"/>
      <c r="AL76" s="50"/>
      <c r="AM76" s="50"/>
      <c r="AN76" s="50"/>
      <c r="AO76" s="50"/>
      <c r="AP76" s="50"/>
      <c r="AQ76" s="50"/>
      <c r="AR76" s="50"/>
      <c r="AS76" s="50"/>
      <c r="AT76" s="50"/>
      <c r="AU76" s="50"/>
    </row>
    <row r="77" spans="1:47"/>
    <row r="78" spans="1:47">
      <c r="C78" s="13" t="str">
        <f>B76</f>
        <v>Rate of change</v>
      </c>
      <c r="D78" s="21" t="s">
        <v>7</v>
      </c>
      <c r="E78" s="21"/>
      <c r="F78" s="14"/>
      <c r="G78" s="14" t="s">
        <v>160</v>
      </c>
      <c r="H78" s="214"/>
    </row>
    <row r="79" spans="1:47">
      <c r="C79" s="15" t="s">
        <v>195</v>
      </c>
      <c r="D79" s="16" t="s">
        <v>73</v>
      </c>
      <c r="E79" s="16"/>
      <c r="F79" s="16"/>
      <c r="G79" s="184" t="s">
        <v>112</v>
      </c>
      <c r="H79" s="213"/>
    </row>
    <row r="80" spans="1:47">
      <c r="C80" s="15" t="s">
        <v>196</v>
      </c>
      <c r="D80" s="16" t="s">
        <v>73</v>
      </c>
      <c r="E80" s="16"/>
      <c r="F80" s="16"/>
      <c r="G80" s="185" t="s">
        <v>197</v>
      </c>
      <c r="H80" s="213"/>
    </row>
    <row r="81" spans="1:47"/>
    <row r="82" spans="1:47" customFormat="1" ht="12.75">
      <c r="A82" s="43"/>
      <c r="B82" s="51" t="s">
        <v>21</v>
      </c>
      <c r="C82" s="43"/>
      <c r="D82" s="43"/>
      <c r="E82" s="43"/>
      <c r="F82" s="44"/>
      <c r="G82" s="44"/>
      <c r="H82" s="44"/>
      <c r="I82" s="44"/>
      <c r="J82" s="45"/>
      <c r="K82" s="46"/>
      <c r="L82" s="45"/>
      <c r="M82" s="46"/>
      <c r="N82" s="45"/>
      <c r="O82" s="45"/>
      <c r="P82" s="45"/>
      <c r="Q82" s="45"/>
      <c r="R82" s="45"/>
      <c r="S82" s="45"/>
      <c r="T82" s="45"/>
      <c r="U82" s="45"/>
      <c r="V82" s="46"/>
      <c r="W82" s="46"/>
      <c r="X82" s="47"/>
      <c r="Y82" s="47"/>
      <c r="Z82" s="47"/>
      <c r="AA82" s="47"/>
      <c r="AB82" s="48"/>
      <c r="AC82" s="49"/>
      <c r="AD82" s="49"/>
      <c r="AE82" s="50"/>
      <c r="AF82" s="50"/>
      <c r="AG82" s="50"/>
      <c r="AH82" s="50"/>
      <c r="AI82" s="50"/>
      <c r="AJ82" s="50"/>
      <c r="AK82" s="50"/>
      <c r="AL82" s="50"/>
      <c r="AM82" s="50"/>
      <c r="AN82" s="50"/>
      <c r="AO82" s="50"/>
      <c r="AP82" s="50"/>
      <c r="AQ82" s="50"/>
      <c r="AR82" s="50"/>
      <c r="AS82" s="50"/>
      <c r="AT82" s="50"/>
      <c r="AU82" s="50"/>
    </row>
    <row r="83" spans="1:47" hidden="1"/>
    <row r="84" spans="1:47" hidden="1"/>
    <row r="85" spans="1:47" hidden="1"/>
    <row r="86" spans="1:47" hidden="1"/>
    <row r="87" spans="1:47" hidden="1"/>
    <row r="88" spans="1:47" hidden="1"/>
    <row r="89" spans="1:47" hidden="1"/>
    <row r="90" spans="1:47" hidden="1"/>
    <row r="91" spans="1:47" hidden="1"/>
    <row r="92" spans="1:47" hidden="1"/>
    <row r="93" spans="1:47" hidden="1"/>
    <row r="94" spans="1:47" hidden="1"/>
    <row r="95" spans="1:47" hidden="1"/>
    <row r="96" spans="1:47" hidden="1"/>
    <row r="97" hidden="1"/>
    <row r="98" hidden="1"/>
    <row r="99" hidden="1"/>
    <row r="100" hidden="1"/>
    <row r="101" hidden="1"/>
    <row r="102" hidden="1"/>
    <row r="103" hidden="1"/>
    <row r="104" hidden="1"/>
    <row r="105" hidden="1"/>
    <row r="106" hidden="1"/>
    <row r="107" hidden="1"/>
    <row r="108" hidden="1"/>
    <row r="109" hidden="1"/>
    <row r="110" hidden="1"/>
    <row r="111" hidden="1"/>
    <row r="112" hidden="1"/>
    <row r="113" hidden="1"/>
    <row r="114" hidden="1"/>
    <row r="115" hidden="1"/>
    <row r="116" hidden="1"/>
    <row r="117" hidden="1"/>
  </sheetData>
  <conditionalFormatting sqref="P14:Q21">
    <cfRule type="expression" dxfId="17" priority="56" stopIfTrue="1">
      <formula>#REF!="Actual"</formula>
    </cfRule>
  </conditionalFormatting>
  <conditionalFormatting sqref="P14:P21">
    <cfRule type="expression" dxfId="16" priority="55" stopIfTrue="1">
      <formula>#REF!="Actual"</formula>
    </cfRule>
  </conditionalFormatting>
  <conditionalFormatting sqref="P81">
    <cfRule type="expression" dxfId="15" priority="53" stopIfTrue="1">
      <formula>#REF!="Actual"</formula>
    </cfRule>
  </conditionalFormatting>
  <conditionalFormatting sqref="Q81">
    <cfRule type="expression" dxfId="14" priority="50" stopIfTrue="1">
      <formula>#REF!="Actual"</formula>
    </cfRule>
  </conditionalFormatting>
  <conditionalFormatting sqref="V1">
    <cfRule type="cellIs" dxfId="13" priority="5" operator="equal">
      <formula>"Check"</formula>
    </cfRule>
    <cfRule type="cellIs" dxfId="12" priority="6" operator="equal">
      <formula>"Ok"</formula>
    </cfRule>
  </conditionalFormatting>
  <conditionalFormatting sqref="S1">
    <cfRule type="cellIs" dxfId="11" priority="3" operator="equal">
      <formula>"Check"</formula>
    </cfRule>
    <cfRule type="cellIs" dxfId="10" priority="4" operator="equal">
      <formula>"Ok"</formula>
    </cfRule>
  </conditionalFormatting>
  <conditionalFormatting sqref="P61">
    <cfRule type="expression" dxfId="9" priority="2" stopIfTrue="1">
      <formula>#REF!="Actual"</formula>
    </cfRule>
  </conditionalFormatting>
  <conditionalFormatting sqref="Q61">
    <cfRule type="expression" dxfId="8" priority="1" stopIfTrue="1">
      <formula>#REF!="Actual"</formula>
    </cfRule>
  </conditionalFormatting>
  <hyperlinks>
    <hyperlink ref="J1" location="Index!A1" display="Back to Index" xr:uid="{00000000-0004-0000-0800-000000000000}"/>
    <hyperlink ref="U1" location="'Check|List'!A1" display="Overall Check:" xr:uid="{00000000-0004-0000-0800-000001000000}"/>
  </hyperlinks>
  <pageMargins left="0.7" right="0.7" top="0.75" bottom="0.75" header="0.3" footer="0.3"/>
  <pageSetup paperSize="9" orientation="portrait" verticalDpi="4" r:id="rId1"/>
  <ignoredErrors>
    <ignoredError sqref="G11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2">
    <tabColor theme="1"/>
  </sheetPr>
  <dimension ref="A1:AU24"/>
  <sheetViews>
    <sheetView showGridLines="0" topLeftCell="A1048576" workbookViewId="0"/>
  </sheetViews>
  <sheetFormatPr defaultColWidth="0" defaultRowHeight="11.25" zeroHeight="1"/>
  <cols>
    <col min="1" max="2" width="1.5" style="8" customWidth="1"/>
    <col min="3" max="3" width="42" style="8" customWidth="1"/>
    <col min="4" max="4" width="20.33203125" style="7" bestFit="1" customWidth="1"/>
    <col min="5" max="5" width="15.83203125" style="7" customWidth="1"/>
    <col min="6" max="6" width="10.6640625" style="7" customWidth="1"/>
    <col min="7" max="7" width="15" style="16" customWidth="1"/>
    <col min="8" max="9" width="5.33203125" style="8" customWidth="1"/>
    <col min="10" max="20" width="10.83203125" style="8" customWidth="1"/>
    <col min="21" max="23" width="10.83203125" style="8" hidden="1" customWidth="1"/>
    <col min="24" max="38" width="10.5" style="8" hidden="1" customWidth="1"/>
    <col min="39" max="16384" width="10.5" style="8" hidden="1"/>
  </cols>
  <sheetData>
    <row r="1" spans="1:47" s="38" customFormat="1" ht="15.75">
      <c r="B1" s="35" t="str">
        <f>Index!$B$1</f>
        <v>AER opex model</v>
      </c>
      <c r="C1" s="35"/>
      <c r="D1" s="35"/>
      <c r="E1" s="35"/>
      <c r="F1" s="36"/>
      <c r="G1" s="36"/>
      <c r="H1" s="36"/>
      <c r="I1" s="36"/>
      <c r="J1" s="37" t="s">
        <v>2</v>
      </c>
      <c r="L1" s="39" t="s">
        <v>3</v>
      </c>
      <c r="M1" s="59" t="s">
        <v>4</v>
      </c>
      <c r="N1" s="11" t="s">
        <v>5</v>
      </c>
      <c r="O1" s="12" t="s">
        <v>6</v>
      </c>
      <c r="R1" s="182" t="s">
        <v>24</v>
      </c>
      <c r="S1" s="40" t="str">
        <f>IF(COUNTIF(G10:G16,"Check")=0,"Ok","Check")</f>
        <v>Ok</v>
      </c>
      <c r="U1" s="39"/>
      <c r="V1" s="40"/>
    </row>
    <row r="2" spans="1:47" s="38" customFormat="1" ht="12.75">
      <c r="B2" s="53" t="str">
        <f>Index!$C$15</f>
        <v>Check | List</v>
      </c>
      <c r="C2" s="53"/>
      <c r="D2" s="53"/>
      <c r="E2" s="53"/>
      <c r="F2" s="54"/>
      <c r="G2" s="54"/>
      <c r="H2" s="54"/>
      <c r="I2" s="54"/>
    </row>
    <row r="3" spans="1:47" s="58" customFormat="1" ht="12.75">
      <c r="A3" s="43"/>
      <c r="B3" s="51"/>
      <c r="C3" s="43"/>
      <c r="D3" s="43"/>
      <c r="E3" s="43"/>
      <c r="F3" s="44"/>
      <c r="G3" s="44"/>
      <c r="H3" s="44"/>
      <c r="I3" s="44"/>
      <c r="J3" s="45"/>
      <c r="K3" s="46"/>
      <c r="L3" s="45"/>
      <c r="M3" s="46"/>
      <c r="N3" s="45"/>
      <c r="O3" s="45"/>
      <c r="P3" s="45"/>
      <c r="Q3" s="45"/>
      <c r="R3" s="45"/>
      <c r="S3" s="45"/>
      <c r="T3" s="45"/>
      <c r="U3" s="45"/>
      <c r="V3" s="46"/>
      <c r="W3" s="46"/>
      <c r="X3" s="55"/>
      <c r="Y3" s="55"/>
      <c r="Z3" s="55"/>
      <c r="AA3" s="55"/>
      <c r="AB3" s="55"/>
      <c r="AC3" s="56"/>
      <c r="AD3" s="56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</row>
    <row r="4" spans="1:47" s="6" customFormat="1" ht="3" customHeight="1"/>
    <row r="5" spans="1:47" s="6" customFormat="1" ht="9" customHeight="1"/>
    <row r="6" spans="1:47" s="6" customFormat="1" ht="3" customHeight="1"/>
    <row r="7" spans="1:47" customFormat="1" ht="12.75">
      <c r="A7" s="43"/>
      <c r="B7" s="51" t="s">
        <v>26</v>
      </c>
      <c r="C7" s="43"/>
      <c r="D7" s="43"/>
      <c r="E7" s="43"/>
      <c r="F7" s="44"/>
      <c r="G7" s="44"/>
      <c r="H7" s="44"/>
      <c r="I7" s="44"/>
      <c r="J7" s="45"/>
      <c r="K7" s="46"/>
      <c r="L7" s="45"/>
      <c r="M7" s="46"/>
      <c r="N7" s="45"/>
      <c r="O7" s="45"/>
      <c r="P7" s="45"/>
      <c r="Q7" s="45"/>
      <c r="R7" s="45"/>
      <c r="S7" s="45"/>
      <c r="T7" s="45"/>
      <c r="U7" s="45"/>
      <c r="V7" s="46"/>
      <c r="W7" s="46"/>
      <c r="X7" s="47"/>
      <c r="Y7" s="47"/>
      <c r="Z7" s="47"/>
      <c r="AA7" s="47"/>
      <c r="AB7" s="48"/>
      <c r="AC7" s="49"/>
      <c r="AD7" s="49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1:47"/>
    <row r="9" spans="1:47">
      <c r="C9" s="13" t="s">
        <v>27</v>
      </c>
      <c r="D9" s="14" t="s">
        <v>7</v>
      </c>
      <c r="E9" s="14" t="s">
        <v>8</v>
      </c>
      <c r="F9" s="14"/>
      <c r="G9" s="14" t="s">
        <v>29</v>
      </c>
    </row>
    <row r="10" spans="1:47">
      <c r="C10" s="15" t="str">
        <f>Index!C7</f>
        <v>Input | General</v>
      </c>
      <c r="D10" s="34" t="str">
        <f>C10</f>
        <v>Input | General</v>
      </c>
      <c r="E10" s="16" t="s">
        <v>28</v>
      </c>
      <c r="F10" s="16"/>
      <c r="G10" s="18" t="str">
        <f>'Input|General'!S1</f>
        <v>OK</v>
      </c>
      <c r="T10" s="17"/>
    </row>
    <row r="11" spans="1:47">
      <c r="C11" s="15" t="str">
        <f>Index!C8</f>
        <v>Input | Inflation</v>
      </c>
      <c r="D11" s="167" t="str">
        <f>C11</f>
        <v>Input | Inflation</v>
      </c>
      <c r="E11" s="16" t="s">
        <v>28</v>
      </c>
      <c r="F11" s="16"/>
      <c r="G11" s="18" t="str">
        <f>'Input|Inflation'!T1</f>
        <v>OK</v>
      </c>
      <c r="T11" s="17"/>
    </row>
    <row r="12" spans="1:47">
      <c r="C12" s="15" t="str">
        <f>Index!C9</f>
        <v>Input | Reported opex</v>
      </c>
      <c r="D12" s="34" t="str">
        <f t="shared" ref="D12:D16" si="0">C12</f>
        <v>Input | Reported opex</v>
      </c>
      <c r="E12" s="16" t="s">
        <v>28</v>
      </c>
      <c r="G12" s="18" t="str">
        <f>'Input|Reported opex'!S1</f>
        <v>OK</v>
      </c>
      <c r="H12" s="16"/>
      <c r="T12" s="17"/>
    </row>
    <row r="13" spans="1:47">
      <c r="C13" s="15" t="str">
        <f>Index!C10</f>
        <v>Input | Rate of change</v>
      </c>
      <c r="D13" s="34" t="str">
        <f t="shared" si="0"/>
        <v>Input | Rate of change</v>
      </c>
      <c r="E13" s="16" t="s">
        <v>28</v>
      </c>
      <c r="F13" s="16"/>
      <c r="G13" s="18" t="str">
        <f>'Input|Rate of change'!T1</f>
        <v>Ok</v>
      </c>
      <c r="H13" s="16"/>
      <c r="T13" s="17"/>
    </row>
    <row r="14" spans="1:47">
      <c r="C14" s="15" t="str">
        <f>Index!C11</f>
        <v>Input | Step changes</v>
      </c>
      <c r="D14" s="34" t="str">
        <f t="shared" si="0"/>
        <v>Input | Step changes</v>
      </c>
      <c r="E14" s="16" t="s">
        <v>28</v>
      </c>
      <c r="F14" s="16"/>
      <c r="G14" s="18" t="str">
        <f>'Input|Step changes'!S1</f>
        <v>OK</v>
      </c>
      <c r="H14" s="16"/>
      <c r="T14" s="17"/>
    </row>
    <row r="15" spans="1:47">
      <c r="C15" s="15" t="str">
        <f>Index!C12</f>
        <v>Calc | Opex Forecast</v>
      </c>
      <c r="D15" s="34" t="str">
        <f t="shared" si="0"/>
        <v>Calc | Opex Forecast</v>
      </c>
      <c r="E15" s="16" t="s">
        <v>28</v>
      </c>
      <c r="F15" s="16"/>
      <c r="G15" s="18" t="str">
        <f>'Calc|Opex forecast'!S1</f>
        <v>n/a</v>
      </c>
      <c r="H15" s="16"/>
      <c r="T15" s="17"/>
    </row>
    <row r="16" spans="1:47">
      <c r="C16" s="15" t="str">
        <f>Index!C13</f>
        <v>Output | Models</v>
      </c>
      <c r="D16" s="34" t="str">
        <f t="shared" si="0"/>
        <v>Output | Models</v>
      </c>
      <c r="E16" s="16" t="s">
        <v>28</v>
      </c>
      <c r="F16" s="16"/>
      <c r="G16" s="18" t="str">
        <f>'Output|Models'!S1</f>
        <v>n/a</v>
      </c>
      <c r="H16" s="16"/>
      <c r="T16" s="17"/>
    </row>
    <row r="17" spans="1:47">
      <c r="C17" s="15"/>
    </row>
    <row r="18" spans="1:47" customFormat="1" ht="12.75">
      <c r="A18" s="43"/>
      <c r="B18" s="51" t="s">
        <v>21</v>
      </c>
      <c r="C18" s="43"/>
      <c r="D18" s="43"/>
      <c r="E18" s="43"/>
      <c r="F18" s="44"/>
      <c r="G18" s="44"/>
      <c r="H18" s="44"/>
      <c r="I18" s="44"/>
      <c r="J18" s="45"/>
      <c r="K18" s="46"/>
      <c r="L18" s="45"/>
      <c r="M18" s="46"/>
      <c r="N18" s="45"/>
      <c r="O18" s="45"/>
      <c r="P18" s="45"/>
      <c r="Q18" s="45"/>
      <c r="R18" s="45"/>
      <c r="S18" s="45"/>
      <c r="T18" s="45"/>
      <c r="U18" s="45"/>
      <c r="V18" s="46"/>
      <c r="W18" s="46"/>
      <c r="X18" s="47"/>
      <c r="Y18" s="47"/>
      <c r="Z18" s="47"/>
      <c r="AA18" s="47"/>
      <c r="AB18" s="48"/>
      <c r="AC18" s="49"/>
      <c r="AD18" s="49"/>
      <c r="AE18" s="50"/>
      <c r="AF18" s="50"/>
      <c r="AG18" s="50"/>
      <c r="AH18" s="50"/>
      <c r="AI18" s="50"/>
      <c r="AJ18" s="50"/>
      <c r="AK18" s="50"/>
      <c r="AL18" s="50"/>
      <c r="AM18" s="50"/>
      <c r="AN18" s="50"/>
      <c r="AO18" s="50"/>
      <c r="AP18" s="50"/>
      <c r="AQ18" s="50"/>
      <c r="AR18" s="50"/>
      <c r="AS18" s="50"/>
      <c r="AT18" s="50"/>
      <c r="AU18" s="50"/>
    </row>
    <row r="19" spans="1:47" hidden="1">
      <c r="C19" s="15"/>
    </row>
    <row r="20" spans="1:47" hidden="1">
      <c r="C20" s="15"/>
    </row>
    <row r="21" spans="1:47" hidden="1">
      <c r="C21" s="15"/>
    </row>
    <row r="22" spans="1:47" hidden="1">
      <c r="C22" s="15"/>
    </row>
    <row r="23" spans="1:47" hidden="1"/>
    <row r="24" spans="1:47" hidden="1"/>
  </sheetData>
  <conditionalFormatting sqref="G10:G11">
    <cfRule type="cellIs" dxfId="7" priority="13" operator="equal">
      <formula>"Check"</formula>
    </cfRule>
    <cfRule type="cellIs" dxfId="6" priority="14" operator="equal">
      <formula>"Ok"</formula>
    </cfRule>
  </conditionalFormatting>
  <conditionalFormatting sqref="G12:G16">
    <cfRule type="cellIs" dxfId="5" priority="5" operator="equal">
      <formula>"Check"</formula>
    </cfRule>
    <cfRule type="cellIs" dxfId="4" priority="6" operator="equal">
      <formula>"Ok"</formula>
    </cfRule>
  </conditionalFormatting>
  <conditionalFormatting sqref="V1">
    <cfRule type="cellIs" dxfId="3" priority="3" operator="equal">
      <formula>"Check"</formula>
    </cfRule>
    <cfRule type="cellIs" dxfId="2" priority="4" operator="equal">
      <formula>"Ok"</formula>
    </cfRule>
  </conditionalFormatting>
  <conditionalFormatting sqref="S1">
    <cfRule type="cellIs" dxfId="1" priority="1" operator="equal">
      <formula>"Check"</formula>
    </cfRule>
    <cfRule type="cellIs" dxfId="0" priority="2" operator="equal">
      <formula>"Ok"</formula>
    </cfRule>
  </conditionalFormatting>
  <hyperlinks>
    <hyperlink ref="J1" location="Index!A1" display="Back to Index" xr:uid="{00000000-0004-0000-0900-000000000000}"/>
    <hyperlink ref="D10" location="'Input|General'!A1" display="'Input|General'!A1" xr:uid="{00000000-0004-0000-0900-000001000000}"/>
    <hyperlink ref="D12" location="'Input|Reported opex'!A1" display="'Input|Reported opex'!A1" xr:uid="{00000000-0004-0000-0900-000002000000}"/>
    <hyperlink ref="D13" location="'Input| Rate of change'!A1" display="'Input| Rate of change'!A1" xr:uid="{00000000-0004-0000-0900-000003000000}"/>
    <hyperlink ref="D14" location="'Input|Step changes'!A1" display="'Input|Step changes'!A1" xr:uid="{00000000-0004-0000-0900-000004000000}"/>
    <hyperlink ref="D15" location="'Calc|Opex Forecast'!A1" display="'Calc|Opex Forecast'!A1" xr:uid="{00000000-0004-0000-0900-000005000000}"/>
    <hyperlink ref="D16" location="'Output|Models'!A1" display="'Output|Models'!A1" xr:uid="{00000000-0004-0000-0900-000006000000}"/>
    <hyperlink ref="D11" location="'Input|Inflation'!A1" display="'Input|Inflation'!A1" xr:uid="{00000000-0004-0000-0900-000007000000}"/>
    <hyperlink ref="R1" location="'Check|List'!A1" display="Overall Check:" xr:uid="{00000000-0004-0000-0900-000008000000}"/>
  </hyperlinks>
  <pageMargins left="0.7" right="0.7" top="0.75" bottom="0.75" header="0.3" footer="0.3"/>
  <pageSetup paperSize="9" orientation="portrait" verticalDpi="4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DC9BADB7961D94AA479786BE745AB6B" ma:contentTypeVersion="5" ma:contentTypeDescription="Create a new document." ma:contentTypeScope="" ma:versionID="cd2ee2c1adfa42f862662ca3fdc1150d">
  <xsd:schema xmlns:xsd="http://www.w3.org/2001/XMLSchema" xmlns:xs="http://www.w3.org/2001/XMLSchema" xmlns:p="http://schemas.microsoft.com/office/2006/metadata/properties" xmlns:ns2="65930c9a-4307-4bf5-9068-61a0eebb0c4e" targetNamespace="http://schemas.microsoft.com/office/2006/metadata/properties" ma:root="true" ma:fieldsID="ebcd64067fedc2813dfb0fdf83e74e36" ns2:_="">
    <xsd:import namespace="65930c9a-4307-4bf5-9068-61a0eebb0c4e"/>
    <xsd:element name="properties">
      <xsd:complexType>
        <xsd:sequence>
          <xsd:element name="documentManagement">
            <xsd:complexType>
              <xsd:all>
                <xsd:element ref="ns2:Internal_x0020__x002f__x0020_Public" minOccurs="0"/>
                <xsd:element ref="ns2:Stage" minOccurs="0"/>
                <xsd:element ref="ns2:Document_x0020_Section" minOccurs="0"/>
                <xsd:element ref="ns2:Responsibil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930c9a-4307-4bf5-9068-61a0eebb0c4e" elementFormDefault="qualified">
    <xsd:import namespace="http://schemas.microsoft.com/office/2006/documentManagement/types"/>
    <xsd:import namespace="http://schemas.microsoft.com/office/infopath/2007/PartnerControls"/>
    <xsd:element name="Internal_x0020__x002f__x0020_Public" ma:index="8" nillable="true" ma:displayName="Internal / Public" ma:format="Dropdown" ma:internalName="Internal_x0020__x002f__x0020_Public">
      <xsd:simpleType>
        <xsd:restriction base="dms:Choice">
          <xsd:enumeration value="Internal"/>
          <xsd:enumeration value="Public"/>
        </xsd:restriction>
      </xsd:simpleType>
    </xsd:element>
    <xsd:element name="Stage" ma:index="9" nillable="true" ma:displayName="Document Type" ma:format="Dropdown" ma:internalName="Stage">
      <xsd:simpleType>
        <xsd:restriction base="dms:Choice">
          <xsd:enumeration value="Forecast"/>
          <xsd:enumeration value="Historical"/>
          <xsd:enumeration value="Regulatory documents"/>
          <xsd:enumeration value="Submitted justification documents"/>
          <xsd:enumeration value="Management"/>
          <xsd:enumeration value="Internal Comms"/>
          <xsd:enumeration value="Governance"/>
          <xsd:enumeration value="Decision Support"/>
          <xsd:enumeration value="Customer Communications"/>
          <xsd:enumeration value="AER communications"/>
          <xsd:enumeration value="Government Relations"/>
          <xsd:enumeration value="Preliminary Proposal"/>
        </xsd:restriction>
      </xsd:simpleType>
    </xsd:element>
    <xsd:element name="Document_x0020_Section" ma:index="10" nillable="true" ma:displayName="Audience" ma:format="Dropdown" ma:internalName="Document_x0020_Section">
      <xsd:simpleType>
        <xsd:restriction base="dms:Choice">
          <xsd:enumeration value="Project internal"/>
          <xsd:enumeration value="GM Governance Group"/>
          <xsd:enumeration value="RSSC"/>
          <xsd:enumeration value="DNSP Boards"/>
          <xsd:enumeration value="Board Regulatory Committee"/>
          <xsd:enumeration value="EQL Board"/>
          <xsd:enumeration value="Public"/>
        </xsd:restriction>
      </xsd:simpleType>
    </xsd:element>
    <xsd:element name="Responsibility" ma:index="11" nillable="true" ma:displayName="Responsibility" ma:format="Dropdown" ma:indexed="true" ma:internalName="Responsibility">
      <xsd:simpleType>
        <xsd:restriction base="dms:Choice">
          <xsd:enumeration value="Central"/>
          <xsd:enumeration value="Regulatory"/>
          <xsd:enumeration value="Customer"/>
          <xsd:enumeration value="Investment"/>
          <xsd:enumeration value="Financ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ument_x0020_Section xmlns="65930c9a-4307-4bf5-9068-61a0eebb0c4e" xsi:nil="true"/>
    <Internal_x0020__x002f__x0020_Public xmlns="65930c9a-4307-4bf5-9068-61a0eebb0c4e" xsi:nil="true"/>
    <Stage xmlns="65930c9a-4307-4bf5-9068-61a0eebb0c4e" xsi:nil="true"/>
    <Responsibility xmlns="65930c9a-4307-4bf5-9068-61a0eebb0c4e" xsi:nil="true"/>
  </documentManagement>
</p:properties>
</file>

<file path=customXml/itemProps1.xml><?xml version="1.0" encoding="utf-8"?>
<ds:datastoreItem xmlns:ds="http://schemas.openxmlformats.org/officeDocument/2006/customXml" ds:itemID="{ABAB8E5E-70F3-40E7-A41E-B870DA8EA299}"/>
</file>

<file path=customXml/itemProps2.xml><?xml version="1.0" encoding="utf-8"?>
<ds:datastoreItem xmlns:ds="http://schemas.openxmlformats.org/officeDocument/2006/customXml" ds:itemID="{DF98D4AF-7B26-4383-95B8-C374D1DB7B1A}"/>
</file>

<file path=customXml/itemProps3.xml><?xml version="1.0" encoding="utf-8"?>
<ds:datastoreItem xmlns:ds="http://schemas.openxmlformats.org/officeDocument/2006/customXml" ds:itemID="{C631BBAF-645F-49BE-91D8-937B1A31DF6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15</vt:i4>
      </vt:variant>
    </vt:vector>
  </HeadingPairs>
  <TitlesOfParts>
    <vt:vector size="25" baseType="lpstr">
      <vt:lpstr>Index</vt:lpstr>
      <vt:lpstr>Input|General</vt:lpstr>
      <vt:lpstr>Input|Inflation</vt:lpstr>
      <vt:lpstr>Input|Reported opex</vt:lpstr>
      <vt:lpstr>Input|Rate of change</vt:lpstr>
      <vt:lpstr>Input|Step changes</vt:lpstr>
      <vt:lpstr>Calc|Opex forecast</vt:lpstr>
      <vt:lpstr>Output|Models</vt:lpstr>
      <vt:lpstr>Lookup|Tables</vt:lpstr>
      <vt:lpstr>Check|List</vt:lpstr>
      <vt:lpstr>BaseYear</vt:lpstr>
      <vt:lpstr>dollars</vt:lpstr>
      <vt:lpstr>factor</vt:lpstr>
      <vt:lpstr>FPFirstYear</vt:lpstr>
      <vt:lpstr>FPLastYear</vt:lpstr>
      <vt:lpstr>millions</vt:lpstr>
      <vt:lpstr>Nominal_to_Real</vt:lpstr>
      <vt:lpstr>NSP</vt:lpstr>
      <vt:lpstr>number</vt:lpstr>
      <vt:lpstr>percent</vt:lpstr>
      <vt:lpstr>PPFirstYear</vt:lpstr>
      <vt:lpstr>PPLastYear</vt:lpstr>
      <vt:lpstr>Real_to_Nominal</vt:lpstr>
      <vt:lpstr>thousands</vt:lpstr>
      <vt:lpstr>unit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EGX 7.006 Opex forecast - SCS DEC19 PUBLIC</dc:title>
  <dc:creator/>
  <dc:description>Energex 2020 - 2025</dc:description>
  <cp:lastModifiedBy/>
  <dcterms:created xsi:type="dcterms:W3CDTF">2019-11-27T21:22:06Z</dcterms:created>
  <dcterms:modified xsi:type="dcterms:W3CDTF">2019-12-03T03:54:22Z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0x0101001DC9BADB7961D94AA479786BE745AB6B</vt:lpwstr>
  </property>
</Properties>
</file>