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29040" windowHeight="17640" tabRatio="691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30" i="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L22" i="1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2" i="4" l="1"/>
  <c r="C44" i="4"/>
  <c r="D10" i="4"/>
  <c r="D12" i="4" s="1"/>
  <c r="G10" i="13"/>
  <c r="H10" i="13" s="1"/>
  <c r="I10" i="13" s="1"/>
  <c r="J10" i="13" s="1"/>
  <c r="K10" i="13" s="1"/>
  <c r="L10" i="13" s="1"/>
  <c r="I30" i="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L15" i="13"/>
  <c r="M15" i="13" s="1"/>
  <c r="B1" i="5"/>
  <c r="B1" i="3"/>
  <c r="B1" i="13"/>
  <c r="B1" i="4"/>
  <c r="F13" i="4" l="1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N22" i="13"/>
  <c r="F25" i="4" s="1"/>
  <c r="F27" i="4" s="1"/>
  <c r="G12" i="4"/>
  <c r="G20" i="4" s="1"/>
  <c r="N15" i="13"/>
  <c r="M10" i="13"/>
  <c r="N10" i="13" s="1"/>
  <c r="K30" i="3" s="1"/>
  <c r="O14" i="13"/>
  <c r="O22" i="13" s="1"/>
  <c r="I31" i="3"/>
  <c r="E26" i="4" s="1"/>
  <c r="E28" i="4" s="1"/>
  <c r="G15" i="4" l="1"/>
  <c r="G18" i="4" s="1"/>
  <c r="G21" i="4" s="1"/>
  <c r="H15" i="4"/>
  <c r="H16" i="4"/>
  <c r="H14" i="4"/>
  <c r="E20" i="4"/>
  <c r="F14" i="4"/>
  <c r="F18" i="4" s="1"/>
  <c r="F21" i="4" s="1"/>
  <c r="J30" i="3"/>
  <c r="J31" i="3" s="1"/>
  <c r="F26" i="4" s="1"/>
  <c r="F28" i="4" s="1"/>
  <c r="O10" i="13"/>
  <c r="P10" i="13" s="1"/>
  <c r="P14" i="13"/>
  <c r="G25" i="4"/>
  <c r="G27" i="4" s="1"/>
  <c r="K31" i="3"/>
  <c r="G26" i="4" s="1"/>
  <c r="O15" i="13"/>
  <c r="H18" i="4" l="1"/>
  <c r="H21" i="4" s="1"/>
  <c r="D35" i="4" s="1"/>
  <c r="P22" i="13"/>
  <c r="H25" i="4" s="1"/>
  <c r="H27" i="4" s="1"/>
  <c r="P15" i="13"/>
  <c r="L30" i="3"/>
  <c r="L31" i="3" s="1"/>
  <c r="H26" i="4" s="1"/>
  <c r="G28" i="4"/>
  <c r="H28" i="4" l="1"/>
  <c r="D31" i="4" s="1"/>
  <c r="D34" i="4" s="1"/>
  <c r="D36" i="4" s="1"/>
  <c r="D42" i="4" s="1"/>
  <c r="E42" i="4" s="1"/>
  <c r="F42" i="4" s="1"/>
  <c r="G42" i="4" s="1"/>
  <c r="H42" i="4" s="1"/>
  <c r="D33" i="4" l="1"/>
  <c r="J8" i="10"/>
  <c r="K8" i="10" l="1"/>
  <c r="L8" i="10" l="1"/>
  <c r="M8" i="10" l="1"/>
  <c r="N8" i="10" l="1"/>
  <c r="O8" i="10" s="1"/>
  <c r="D44" i="4"/>
</calcChain>
</file>

<file path=xl/sharedStrings.xml><?xml version="1.0" encoding="utf-8"?>
<sst xmlns="http://schemas.openxmlformats.org/spreadsheetml/2006/main" count="199" uniqueCount="105">
  <si>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</si>
  <si>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</si>
  <si>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</si>
  <si>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</si>
  <si>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</si>
  <si>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</si>
  <si>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</si>
  <si>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</si>
  <si>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</si>
  <si>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</si>
  <si>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</si>
  <si>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</si>
  <si>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</si>
  <si>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</si>
  <si>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</si>
  <si>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</si>
  <si>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</si>
  <si>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</si>
  <si>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</si>
  <si>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</si>
  <si>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</si>
  <si>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</si>
  <si>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</si>
  <si>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</si>
  <si>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</si>
  <si>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</si>
  <si>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</si>
  <si>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</si>
  <si>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</si>
  <si>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</si>
  <si>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</si>
  <si>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</si>
  <si>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</si>
  <si>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</si>
  <si>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</si>
  <si>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</si>
  <si>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</si>
  <si>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</si>
  <si>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</si>
  <si>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</si>
  <si>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</si>
  <si>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</si>
  <si>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</si>
  <si>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</si>
  <si>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</si>
  <si>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</si>
  <si>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</si>
  <si>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</si>
  <si>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</si>
  <si>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</si>
  <si>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</si>
  <si>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</si>
  <si>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</si>
  <si>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</si>
  <si>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</si>
  <si>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</si>
  <si>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</si>
  <si>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</si>
  <si>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</si>
  <si>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</si>
  <si>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</si>
  <si>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</si>
  <si>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</si>
  <si>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</si>
  <si>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</si>
  <si>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</si>
  <si>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</si>
  <si>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</si>
  <si>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</si>
  <si>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</si>
  <si>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</si>
  <si>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</si>
  <si>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</si>
  <si>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</si>
  <si>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</si>
  <si>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</si>
  <si>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</si>
  <si>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</si>
  <si>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</si>
  <si>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</si>
  <si>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</si>
  <si>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</si>
  <si>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</si>
  <si>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</si>
  <si>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</si>
  <si>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</si>
  <si>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</si>
  <si>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</si>
  <si>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</si>
  <si>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</si>
  <si>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</si>
  <si>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</si>
  <si>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</si>
  <si>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</si>
  <si>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</si>
  <si>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</si>
  <si>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</si>
  <si>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</si>
  <si>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</si>
  <si>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2021-25</t>
  </si>
  <si>
    <t>Base regulatory year</t>
  </si>
  <si>
    <t>Energex</t>
  </si>
  <si>
    <t>DNSP</t>
  </si>
  <si>
    <t>2020-21</t>
  </si>
  <si>
    <t>Revised Regulatory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</si>
</sst>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0.000"/>
    <numFmt numFmtId="189" formatCode="_(* #,##0.0_);_(* \(#,##0.0\);_(* &quot;-&quot;?_);_(@_)"/>
    <numFmt numFmtId="190" formatCode="_-* #,##0.00000_-;\-* #,##0.00000_-;_-* &quot;-&quot;??_-;_-@_-"/>
  </numFmts>
  <fonts count="10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89" fontId="23" fillId="39" borderId="0" applyFont="0" applyBorder="0">
      <alignment horizontal="right"/>
    </xf>
    <xf numFmtId="174" fontId="23" fillId="39" borderId="0" applyFont="0" applyBorder="0" applyAlignment="0"/>
    <xf numFmtId="189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5" fillId="50" borderId="0" applyBorder="0" applyAlignment="0"/>
    <xf numFmtId="189" fontId="96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04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0" fontId="15" fillId="3" borderId="0" xfId="0" applyNumberFormat="1" applyFont="1" applyFill="1" applyBorder="1" applyAlignment="1">
      <alignment horizontal="center" vertical="center"/>
    </xf>
    <xf numFmtId="188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188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0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8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0" fillId="0" borderId="0" xfId="265" applyFont="1" applyFill="1" applyBorder="1" applyAlignment="1" applyProtection="1">
      <alignment horizontal="center" vertical="center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0" fontId="8" fillId="3" borderId="0" xfId="0" applyFont="1" applyFill="1"/>
    <xf numFmtId="188" fontId="24" fillId="3" borderId="26" xfId="268" applyNumberFormat="1" applyFont="1" applyFill="1" applyBorder="1" applyAlignment="1">
      <alignment horizontal="center" vertical="center"/>
    </xf>
    <xf numFmtId="188" fontId="24" fillId="0" borderId="26" xfId="268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8" fillId="3" borderId="0" xfId="0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tabSelected="1" zoomScaleNormal="100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customWidth="1"/>
    <col min="29" max="16384" width="9.140625" style="2" hidden="1"/>
  </cols>
  <sheetData>
    <row r="1" spans="2:6" s="5" customFormat="1" ht="18" customHeight="1">
      <c r="B1" s="3" t="str">
        <f>'Input | General'!$B$1</f>
        <v>Energex 2021-25 Revised Regulatory Proposal - Capital expenditure sharing scheme model</v>
      </c>
      <c r="D1" s="4"/>
      <c r="E1" s="4"/>
    </row>
    <row r="2" spans="2:6" ht="18" customHeight="1">
      <c r="B2" s="33" t="s">
        <v>30</v>
      </c>
    </row>
    <row r="3" spans="2:6" ht="3" customHeight="1">
      <c r="C3" s="2"/>
    </row>
    <row r="4" spans="2:6" s="8" customFormat="1" ht="12.75" customHeight="1">
      <c r="C4" s="29" t="s">
        <v>31</v>
      </c>
      <c r="D4" s="7"/>
      <c r="E4" s="7"/>
    </row>
    <row r="5" spans="2:6" ht="11.25" customHeight="1"/>
    <row r="6" spans="2:6" ht="11.25" customHeight="1">
      <c r="C6" s="31" t="s">
        <v>32</v>
      </c>
      <c r="D6" s="31" t="s">
        <v>33</v>
      </c>
      <c r="E6" s="31"/>
    </row>
    <row r="7" spans="2:6" ht="11.25" customHeight="1">
      <c r="C7" s="108" t="s">
        <v>35</v>
      </c>
      <c r="D7" s="32" t="s">
        <v>46</v>
      </c>
      <c r="E7" s="32"/>
      <c r="F7" s="30"/>
    </row>
    <row r="8" spans="2:6" ht="11.25" customHeight="1">
      <c r="C8" s="108" t="s">
        <v>79</v>
      </c>
      <c r="D8" s="32" t="s">
        <v>78</v>
      </c>
      <c r="E8" s="32"/>
      <c r="F8" s="30"/>
    </row>
    <row r="9" spans="2:6" ht="11.25" customHeight="1">
      <c r="C9" s="108" t="s">
        <v>55</v>
      </c>
      <c r="D9" s="32" t="s">
        <v>38</v>
      </c>
      <c r="E9" s="32"/>
      <c r="F9" s="30"/>
    </row>
    <row r="10" spans="2:6" ht="11.25" customHeight="1">
      <c r="C10" s="108" t="s">
        <v>58</v>
      </c>
      <c r="D10" s="32" t="s">
        <v>39</v>
      </c>
      <c r="E10" s="32"/>
      <c r="F10" s="30"/>
    </row>
    <row r="11" spans="2:6" ht="11.25" customHeight="1">
      <c r="C11" s="108" t="s">
        <v>80</v>
      </c>
      <c r="D11" s="32" t="s">
        <v>54</v>
      </c>
      <c r="E11" s="32"/>
      <c r="F11" s="30"/>
    </row>
    <row r="12" spans="2:6" ht="12.75" customHeight="1"/>
    <row r="13" spans="2:6" s="8" customFormat="1" ht="12.75" customHeight="1">
      <c r="C13" s="29" t="s">
        <v>34</v>
      </c>
      <c r="D13" s="7"/>
      <c r="E13" s="7"/>
    </row>
    <row r="14" spans="2:6" ht="18" customHeight="1">
      <c r="C14" s="2"/>
      <c r="D14" s="2"/>
      <c r="E14" s="2"/>
    </row>
    <row r="15" spans="2:6" ht="18" customHeight="1"/>
    <row r="16" spans="2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zoomScaleNormal="100" workbookViewId="0"/>
  </sheetViews>
  <sheetFormatPr defaultColWidth="0" defaultRowHeight="0" customHeight="1" zeroHeight="1"/>
  <cols>
    <col min="1" max="2" width="1.28515625" style="14" customWidth="1"/>
    <col min="3" max="3" width="55.7109375" style="15" customWidth="1"/>
    <col min="4" max="4" width="22.5703125" style="14" customWidth="1"/>
    <col min="5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customWidth="1"/>
    <col min="23" max="16384" width="12.7109375" style="14" hidden="1"/>
  </cols>
  <sheetData>
    <row r="1" spans="1:12" s="11" customFormat="1" ht="18" customHeight="1">
      <c r="B1" s="12" t="str">
        <f>$D$6&amp;" "&amp;$D$8&amp;" "&amp;D7&amp;" - "&amp;"Capital expenditure sharing scheme model"</f>
        <v>Energex 2021-25 Revised Regulatory Proposal - Capital expenditure sharing scheme model</v>
      </c>
      <c r="F1" s="104"/>
      <c r="G1" s="105" t="s">
        <v>47</v>
      </c>
      <c r="H1" s="158" t="s">
        <v>48</v>
      </c>
      <c r="I1" s="163" t="s">
        <v>36</v>
      </c>
    </row>
    <row r="2" spans="1:12" s="11" customFormat="1" ht="18" customHeight="1">
      <c r="B2" s="13" t="s">
        <v>35</v>
      </c>
    </row>
    <row r="3" spans="1:12" s="11" customFormat="1" ht="3" customHeight="1">
      <c r="B3" s="10"/>
    </row>
    <row r="4" spans="1:12" s="62" customFormat="1" ht="12.75" customHeight="1">
      <c r="A4" s="8"/>
      <c r="B4" s="29" t="s">
        <v>35</v>
      </c>
    </row>
    <row r="5" spans="1:12" s="30" customFormat="1" ht="11.25" customHeight="1">
      <c r="C5" s="31"/>
    </row>
    <row r="6" spans="1:12" s="70" customFormat="1" ht="11.25" customHeight="1">
      <c r="C6" s="69" t="s">
        <v>0</v>
      </c>
      <c r="D6" s="159" t="s">
        <v>101</v>
      </c>
      <c r="J6" s="79"/>
      <c r="K6" s="79"/>
      <c r="L6" s="79"/>
    </row>
    <row r="7" spans="1:12" s="70" customFormat="1" ht="11.25" customHeight="1">
      <c r="C7" s="69" t="s">
        <v>88</v>
      </c>
      <c r="D7" s="159" t="s">
        <v>104</v>
      </c>
      <c r="I7" s="79"/>
      <c r="J7" s="79"/>
      <c r="K7" s="79"/>
      <c r="L7" s="79"/>
    </row>
    <row r="8" spans="1:12" s="70" customFormat="1" ht="11.25" customHeight="1">
      <c r="C8" s="69" t="s">
        <v>89</v>
      </c>
      <c r="D8" s="159" t="s">
        <v>99</v>
      </c>
      <c r="J8" s="79"/>
      <c r="K8" s="79"/>
      <c r="L8" s="79"/>
    </row>
    <row r="9" spans="1:12" s="70" customFormat="1" ht="11.25" customHeight="1">
      <c r="C9" s="190" t="s">
        <v>100</v>
      </c>
      <c r="D9" s="159" t="s">
        <v>103</v>
      </c>
      <c r="J9" s="79"/>
      <c r="K9" s="79"/>
      <c r="L9" s="79"/>
    </row>
    <row r="10" spans="1:12" s="70" customFormat="1" ht="11.25" customHeight="1">
      <c r="C10" s="69"/>
      <c r="J10" s="79"/>
      <c r="K10" s="79"/>
      <c r="L10" s="79"/>
    </row>
    <row r="11" spans="1:12" s="70" customFormat="1" ht="11.25" customHeight="1">
      <c r="C11" s="133" t="s">
        <v>87</v>
      </c>
      <c r="J11" s="79"/>
      <c r="K11" s="79"/>
      <c r="L11" s="79"/>
    </row>
    <row r="12" spans="1:12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</row>
    <row r="13" spans="1:12" s="70" customFormat="1" ht="11.25" customHeight="1">
      <c r="C13" s="69" t="s">
        <v>61</v>
      </c>
      <c r="D13" s="189" t="str">
        <f t="shared" ref="D13:F13" si="0">IF(LEN(E13)&gt;4,CONCATENATE(LEFT(E13,4)-1&amp;"–"&amp;IF(RIGHT(E13,2)="00","99",IF(RIGHT(E13,2)-1&lt;10,"0","")&amp;RIGHT(E13,2)-1)),E13-1)</f>
        <v>2015–16</v>
      </c>
      <c r="E13" s="189" t="str">
        <f t="shared" si="0"/>
        <v>2016–17</v>
      </c>
      <c r="F13" s="189" t="str">
        <f t="shared" si="0"/>
        <v>2017–18</v>
      </c>
      <c r="G13" s="189" t="str">
        <f>IF(LEN(H13)&gt;4,CONCATENATE(LEFT(H13,4)-1&amp;"–"&amp;IF(RIGHT(H13,2)="00","99",IF(RIGHT(H13,2)-1&lt;10,"0","")&amp;RIGHT(H13,2)-1)),H13-1)</f>
        <v>2018–19</v>
      </c>
      <c r="H13" s="189" t="str">
        <f>IF(LEN(D9)&gt;4,CONCATENATE(LEFT(D9,4)-1&amp;"–"&amp;IF(RIGHT(D9,2)="00","99",IF(RIGHT(D9,2)-1&lt;10,"0","")&amp;RIGHT(D9,2)-1)),D9-1)</f>
        <v>2019–20</v>
      </c>
      <c r="J13" s="79"/>
      <c r="K13" s="79"/>
      <c r="L13" s="79"/>
    </row>
    <row r="14" spans="1:12" s="70" customFormat="1" ht="11.25" customHeight="1">
      <c r="C14" s="69" t="s">
        <v>1</v>
      </c>
      <c r="D14" s="159" t="s">
        <v>8</v>
      </c>
      <c r="E14" s="159" t="s">
        <v>8</v>
      </c>
      <c r="F14" s="159" t="s">
        <v>8</v>
      </c>
      <c r="G14" s="159" t="s">
        <v>8</v>
      </c>
      <c r="H14" s="159" t="s">
        <v>8</v>
      </c>
      <c r="J14" s="79"/>
      <c r="K14" s="79"/>
      <c r="L14" s="79"/>
    </row>
    <row r="15" spans="1:12" s="70" customFormat="1" ht="11.25" customHeight="1">
      <c r="C15" s="69" t="s">
        <v>2</v>
      </c>
      <c r="D15" s="159" t="s">
        <v>7</v>
      </c>
      <c r="E15" s="159" t="s">
        <v>7</v>
      </c>
      <c r="F15" s="159" t="s">
        <v>7</v>
      </c>
      <c r="G15" s="159" t="s">
        <v>29</v>
      </c>
      <c r="H15" s="159" t="s">
        <v>29</v>
      </c>
      <c r="J15" s="79"/>
      <c r="K15" s="79"/>
      <c r="L15" s="79"/>
    </row>
    <row r="16" spans="1:12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</row>
    <row r="17" spans="1:12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</row>
    <row r="18" spans="1:12" s="70" customFormat="1" ht="11.25" customHeight="1">
      <c r="C18" s="69" t="s">
        <v>62</v>
      </c>
      <c r="D18" s="189" t="str">
        <f>D9</f>
        <v>2020-21</v>
      </c>
      <c r="E18" s="189" t="str">
        <f>IF(LEN(D18)&gt;4,CONCATENATE(LEFT(D18,4)+1&amp;"–"&amp;IF(RIGHT(D18,2)+1&gt;9,"","0")&amp;RIGHT(D18,2)+1),D18+1)</f>
        <v>2021–22</v>
      </c>
      <c r="F18" s="189" t="str">
        <f t="shared" ref="F18:H18" si="1">IF(LEN(E18)&gt;4,CONCATENATE(LEFT(E18,4)+1&amp;"–"&amp;IF(RIGHT(E18,2)+1&gt;9,"","0")&amp;RIGHT(E18,2)+1),E18+1)</f>
        <v>2022–23</v>
      </c>
      <c r="G18" s="189" t="str">
        <f t="shared" si="1"/>
        <v>2023–24</v>
      </c>
      <c r="H18" s="189" t="str">
        <f t="shared" si="1"/>
        <v>2024–25</v>
      </c>
      <c r="J18" s="79"/>
      <c r="K18" s="79"/>
      <c r="L18" s="79"/>
    </row>
    <row r="19" spans="1:12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</row>
    <row r="20" spans="1:12" s="70" customFormat="1" ht="11.25" customHeight="1">
      <c r="J20" s="79"/>
      <c r="K20" s="79"/>
      <c r="L20" s="79"/>
    </row>
    <row r="21" spans="1:12" s="62" customFormat="1" ht="12.75" customHeight="1">
      <c r="A21" s="8"/>
      <c r="B21" s="29" t="s">
        <v>34</v>
      </c>
    </row>
    <row r="22" spans="1:12" ht="18" customHeight="1">
      <c r="C22" s="14"/>
    </row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customWidth="1"/>
    <col min="33" max="16384" width="9.140625" style="24" hidden="1"/>
  </cols>
  <sheetData>
    <row r="1" spans="1:18" s="11" customFormat="1" ht="18" customHeight="1">
      <c r="B1" s="3" t="str">
        <f>'Input | General'!$B$1</f>
        <v>Energex 2021-25 Revised Regulatory Proposal - Capital expenditure sharing scheme model</v>
      </c>
      <c r="D1" s="12"/>
      <c r="E1" s="12"/>
      <c r="F1" s="12"/>
      <c r="G1" s="104"/>
      <c r="H1" s="105" t="s">
        <v>47</v>
      </c>
      <c r="I1" s="158" t="s">
        <v>48</v>
      </c>
      <c r="J1" s="163" t="s">
        <v>36</v>
      </c>
      <c r="K1" s="154"/>
      <c r="N1" s="106"/>
      <c r="O1" s="79"/>
      <c r="P1" s="79"/>
      <c r="Q1" s="79"/>
      <c r="R1" s="79"/>
    </row>
    <row r="2" spans="1:18" s="11" customFormat="1" ht="18" customHeight="1">
      <c r="C2" s="13" t="s">
        <v>90</v>
      </c>
      <c r="D2" s="13"/>
      <c r="E2" s="13"/>
      <c r="F2" s="13"/>
    </row>
    <row r="3" spans="1:18" s="11" customFormat="1" ht="3" customHeight="1">
      <c r="C3" s="10"/>
      <c r="D3" s="10"/>
      <c r="E3" s="10"/>
      <c r="F3" s="10"/>
      <c r="M3" s="22"/>
    </row>
    <row r="4" spans="1:18" s="81" customFormat="1" ht="12.75" customHeight="1">
      <c r="C4" s="29" t="s">
        <v>43</v>
      </c>
      <c r="D4" s="82"/>
      <c r="E4" s="82"/>
      <c r="F4" s="82"/>
      <c r="M4" s="83"/>
    </row>
    <row r="5" spans="1:18" ht="11.25" customHeight="1">
      <c r="A5" s="11"/>
      <c r="B5" s="11"/>
      <c r="C5" s="16"/>
      <c r="D5" s="79"/>
      <c r="E5" s="79"/>
      <c r="F5" s="79"/>
      <c r="N5" s="11"/>
    </row>
    <row r="6" spans="1:18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18" ht="11.25" customHeight="1">
      <c r="A7" s="11"/>
      <c r="B7" s="11"/>
      <c r="C7" s="16"/>
      <c r="D7" s="79"/>
      <c r="E7" s="79"/>
      <c r="F7" s="176" t="str">
        <f>IF(LEN(G7)&gt;4,CONCATENATE(LEFT(G7,4)-1&amp;"–"&amp;IF(RIGHT(G7,2)="00","99",IF(RIGHT(G7,2)-1&lt;10,"0","")&amp;RIGHT(G7,2)-1)),G7-1)</f>
        <v>2014–15</v>
      </c>
      <c r="G7" s="175" t="str">
        <f>'Input | General'!D13</f>
        <v>2015–16</v>
      </c>
      <c r="H7" s="175" t="str">
        <f>'Input | General'!E13</f>
        <v>2016–17</v>
      </c>
      <c r="I7" s="175" t="str">
        <f>'Input | General'!F13</f>
        <v>2017–18</v>
      </c>
      <c r="J7" s="175" t="str">
        <f>'Input | General'!G13</f>
        <v>2018–19</v>
      </c>
      <c r="K7" s="175" t="str">
        <f>'Input | General'!H13</f>
        <v>2019–20</v>
      </c>
      <c r="L7" s="175" t="str">
        <f>'Input | General'!D18</f>
        <v>2020-21</v>
      </c>
      <c r="M7" s="175" t="str">
        <f>'Input | General'!E18</f>
        <v>2021–22</v>
      </c>
      <c r="N7" s="175" t="str">
        <f>'Input | General'!F18</f>
        <v>2022–23</v>
      </c>
      <c r="O7" s="175" t="str">
        <f>'Input | General'!G18</f>
        <v>2023–24</v>
      </c>
      <c r="P7" s="175" t="str">
        <f>'Input | General'!H18</f>
        <v>2024–25</v>
      </c>
    </row>
    <row r="8" spans="1:18" ht="11.25" customHeight="1">
      <c r="A8" s="11"/>
      <c r="B8" s="11"/>
      <c r="C8" s="80" t="s">
        <v>81</v>
      </c>
      <c r="D8" s="78" t="s">
        <v>102</v>
      </c>
      <c r="E8" s="78" t="s">
        <v>51</v>
      </c>
      <c r="F8" s="78"/>
      <c r="G8" s="160">
        <v>1.6885553470919357E-2</v>
      </c>
      <c r="H8" s="160">
        <v>1.4760147601476037E-2</v>
      </c>
      <c r="I8" s="160">
        <v>1.9090909090909047E-2</v>
      </c>
      <c r="J8" s="160">
        <v>1.7500000000000071E-2</v>
      </c>
      <c r="K8" s="160">
        <v>2.2499999999999964E-2</v>
      </c>
      <c r="L8" s="85"/>
      <c r="M8" s="85"/>
      <c r="N8" s="85"/>
      <c r="O8" s="85"/>
      <c r="P8" s="85"/>
    </row>
    <row r="9" spans="1:18" ht="11.25" customHeight="1">
      <c r="A9" s="11"/>
      <c r="B9" s="11"/>
      <c r="C9" s="80" t="s">
        <v>82</v>
      </c>
      <c r="D9" s="78" t="s">
        <v>102</v>
      </c>
      <c r="E9" s="78" t="s">
        <v>51</v>
      </c>
      <c r="F9" s="78"/>
      <c r="G9" s="129"/>
      <c r="H9" s="129"/>
      <c r="I9" s="129"/>
      <c r="J9" s="129"/>
      <c r="K9" s="129"/>
      <c r="L9" s="160">
        <v>2.4199999999999999E-2</v>
      </c>
      <c r="M9" s="141">
        <f t="shared" ref="M9:P9" si="0">L9</f>
        <v>2.4199999999999999E-2</v>
      </c>
      <c r="N9" s="141">
        <f t="shared" si="0"/>
        <v>2.4199999999999999E-2</v>
      </c>
      <c r="O9" s="141">
        <f t="shared" si="0"/>
        <v>2.4199999999999999E-2</v>
      </c>
      <c r="P9" s="141">
        <f t="shared" si="0"/>
        <v>2.4199999999999999E-2</v>
      </c>
    </row>
    <row r="10" spans="1:18" ht="11.25" customHeight="1">
      <c r="A10" s="11"/>
      <c r="B10" s="11"/>
      <c r="C10" s="138" t="str">
        <f>"CPI Index (base year "&amp;F7&amp;")"</f>
        <v>CPI Index (base year 2014–15)</v>
      </c>
      <c r="D10" s="78" t="s">
        <v>102</v>
      </c>
      <c r="E10" s="78" t="s">
        <v>30</v>
      </c>
      <c r="F10" s="136">
        <v>1</v>
      </c>
      <c r="G10" s="122">
        <f>IF(G7&lt;&gt;"",(F10*(1+G8)),"")</f>
        <v>1.0168855534709194</v>
      </c>
      <c r="H10" s="122">
        <f>IF(H7&lt;&gt;"",(G10*(1+H8)),"")</f>
        <v>1.0318949343339587</v>
      </c>
      <c r="I10" s="122">
        <f>IF(I7&lt;&gt;"",(H10*(1+I8)),"")</f>
        <v>1.0515947467166979</v>
      </c>
      <c r="J10" s="122">
        <f>IF(J7&lt;&gt;"",(I10*(1+J8)),"")</f>
        <v>1.0699976547842402</v>
      </c>
      <c r="K10" s="122">
        <f>IF(K7&lt;&gt;"",(J10*(1+K8)),"")</f>
        <v>1.0940726020168856</v>
      </c>
      <c r="L10" s="86">
        <f t="shared" ref="L10:P10" si="1">IF(L7&lt;&gt;"",(K10*(1+L9)),"")</f>
        <v>1.1205491589856942</v>
      </c>
      <c r="M10" s="86">
        <f t="shared" si="1"/>
        <v>1.147666448633148</v>
      </c>
      <c r="N10" s="86">
        <f t="shared" si="1"/>
        <v>1.1754399766900703</v>
      </c>
      <c r="O10" s="86">
        <f t="shared" si="1"/>
        <v>1.2038856241259699</v>
      </c>
      <c r="P10" s="86">
        <f t="shared" si="1"/>
        <v>1.2330196562298184</v>
      </c>
    </row>
    <row r="11" spans="1:18" ht="11.25" customHeight="1">
      <c r="A11" s="11"/>
      <c r="B11" s="11"/>
      <c r="C11" s="80"/>
      <c r="D11" s="78"/>
      <c r="E11" s="78"/>
      <c r="F11" s="78"/>
      <c r="G11" s="85"/>
      <c r="H11" s="85"/>
      <c r="I11" s="85"/>
      <c r="J11" s="85"/>
      <c r="K11" s="130"/>
      <c r="L11" s="130"/>
      <c r="M11" s="130"/>
      <c r="N11" s="130"/>
      <c r="O11" s="130"/>
      <c r="P11" s="130"/>
    </row>
    <row r="12" spans="1:18" ht="11.25" customHeight="1">
      <c r="A12" s="11"/>
      <c r="B12" s="11"/>
      <c r="C12" s="80"/>
      <c r="D12" s="78"/>
      <c r="E12" s="78"/>
      <c r="F12" s="78"/>
      <c r="G12" s="126"/>
      <c r="H12" s="126"/>
      <c r="I12" s="192"/>
      <c r="J12" s="192"/>
      <c r="K12" s="193"/>
      <c r="L12" s="193"/>
      <c r="M12" s="193"/>
      <c r="N12" s="193"/>
      <c r="O12" s="193"/>
      <c r="P12" s="193"/>
    </row>
    <row r="13" spans="1:18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160">
        <v>1.6885553470919357E-2</v>
      </c>
      <c r="H13" s="160">
        <v>1.4760147601476037E-2</v>
      </c>
      <c r="I13" s="160">
        <v>1.9090909090909047E-2</v>
      </c>
      <c r="J13" s="160">
        <v>1.7841213202497899E-2</v>
      </c>
      <c r="K13" s="160">
        <v>1.7000000000000001E-2</v>
      </c>
      <c r="L13" s="192"/>
      <c r="M13" s="192"/>
      <c r="N13" s="192"/>
      <c r="O13" s="192"/>
      <c r="P13" s="192"/>
    </row>
    <row r="14" spans="1:18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5"/>
      <c r="H14" s="85"/>
      <c r="I14" s="130"/>
      <c r="J14" s="130"/>
      <c r="K14" s="130"/>
      <c r="L14" s="160">
        <v>2.3699999999999999E-2</v>
      </c>
      <c r="M14" s="141">
        <f t="shared" ref="M14:P14" si="2">L14</f>
        <v>2.3699999999999999E-2</v>
      </c>
      <c r="N14" s="141">
        <f t="shared" si="2"/>
        <v>2.3699999999999999E-2</v>
      </c>
      <c r="O14" s="141">
        <f t="shared" si="2"/>
        <v>2.3699999999999999E-2</v>
      </c>
      <c r="P14" s="141">
        <f t="shared" si="2"/>
        <v>2.3699999999999999E-2</v>
      </c>
    </row>
    <row r="15" spans="1:18" ht="11.25" customHeight="1">
      <c r="A15" s="11"/>
      <c r="B15" s="11"/>
      <c r="C15" s="138" t="str">
        <f>"CPI Index (base year "&amp;F7&amp;")"</f>
        <v>CPI Index (base year 2014–15)</v>
      </c>
      <c r="D15" s="78" t="s">
        <v>49</v>
      </c>
      <c r="E15" s="78" t="s">
        <v>30</v>
      </c>
      <c r="F15" s="136">
        <v>1</v>
      </c>
      <c r="G15" s="122">
        <f>IF(G7&lt;&gt;"",(F15*(1+G13)),"")</f>
        <v>1.0168855534709194</v>
      </c>
      <c r="H15" s="122">
        <f>IF(H7&lt;&gt;"",(G15*(1+H13)),"")</f>
        <v>1.0318949343339587</v>
      </c>
      <c r="I15" s="194">
        <f>IF(I7&lt;&gt;"",(H15*(1+I13)),"")</f>
        <v>1.0515947467166979</v>
      </c>
      <c r="J15" s="194">
        <f>IF(J7&lt;&gt;"",(I15*(1+J13)),"")</f>
        <v>1.0703564727954973</v>
      </c>
      <c r="K15" s="195">
        <f>IF(K7&lt;&gt;"",(J15*(1+K13)),"")</f>
        <v>1.0885525328330206</v>
      </c>
      <c r="L15" s="195">
        <f t="shared" ref="L15:P15" si="3">IF(L7&lt;&gt;"",(K15*(1+L14)),"")</f>
        <v>1.1143512278611631</v>
      </c>
      <c r="M15" s="195">
        <f t="shared" si="3"/>
        <v>1.1407613519614728</v>
      </c>
      <c r="N15" s="195">
        <f t="shared" si="3"/>
        <v>1.1677973960029597</v>
      </c>
      <c r="O15" s="195">
        <f t="shared" si="3"/>
        <v>1.1954741942882299</v>
      </c>
      <c r="P15" s="195">
        <f t="shared" si="3"/>
        <v>1.2238069326928609</v>
      </c>
    </row>
    <row r="16" spans="1:18" s="128" customFormat="1" ht="11.25" customHeight="1">
      <c r="A16" s="2"/>
      <c r="B16" s="2"/>
      <c r="C16" s="80"/>
      <c r="D16" s="127"/>
      <c r="E16" s="127"/>
      <c r="F16" s="127"/>
      <c r="G16" s="85"/>
      <c r="H16" s="85"/>
      <c r="I16" s="130"/>
      <c r="J16" s="130"/>
      <c r="K16" s="196"/>
      <c r="L16" s="196"/>
      <c r="M16" s="196"/>
      <c r="N16" s="196"/>
      <c r="O16" s="196"/>
      <c r="P16" s="196"/>
    </row>
    <row r="17" spans="1:16" s="81" customFormat="1" ht="12.75" customHeight="1">
      <c r="C17" s="29" t="s">
        <v>68</v>
      </c>
      <c r="D17" s="82"/>
      <c r="E17" s="82"/>
      <c r="F17" s="82"/>
      <c r="I17" s="197"/>
      <c r="J17" s="197"/>
      <c r="K17" s="197"/>
      <c r="L17" s="197"/>
      <c r="M17" s="198"/>
      <c r="N17" s="197"/>
      <c r="O17" s="197"/>
      <c r="P17" s="197"/>
    </row>
    <row r="18" spans="1:16" ht="11.25" customHeight="1">
      <c r="A18" s="16"/>
      <c r="B18" s="79"/>
      <c r="C18" s="79"/>
      <c r="D18" s="79"/>
      <c r="E18" s="79"/>
      <c r="F18" s="75"/>
      <c r="I18" s="14"/>
      <c r="J18" s="14"/>
      <c r="K18" s="14"/>
      <c r="L18" s="14"/>
      <c r="M18" s="199"/>
      <c r="N18" s="14"/>
      <c r="O18" s="193"/>
      <c r="P18" s="193"/>
    </row>
    <row r="19" spans="1:16" ht="11.25" customHeight="1">
      <c r="C19" s="16"/>
      <c r="D19" s="75" t="s">
        <v>6</v>
      </c>
      <c r="E19" s="75" t="s">
        <v>52</v>
      </c>
      <c r="F19" s="79"/>
      <c r="G19" s="175" t="str">
        <f>G7</f>
        <v>2015–16</v>
      </c>
      <c r="H19" s="175" t="str">
        <f t="shared" ref="H19:P19" si="4">H7</f>
        <v>2016–17</v>
      </c>
      <c r="I19" s="200" t="str">
        <f t="shared" si="4"/>
        <v>2017–18</v>
      </c>
      <c r="J19" s="200" t="str">
        <f t="shared" si="4"/>
        <v>2018–19</v>
      </c>
      <c r="K19" s="200" t="str">
        <f t="shared" si="4"/>
        <v>2019–20</v>
      </c>
      <c r="L19" s="200" t="str">
        <f t="shared" si="4"/>
        <v>2020-21</v>
      </c>
      <c r="M19" s="200" t="str">
        <f t="shared" si="4"/>
        <v>2021–22</v>
      </c>
      <c r="N19" s="200" t="str">
        <f t="shared" si="4"/>
        <v>2022–23</v>
      </c>
      <c r="O19" s="200" t="str">
        <f t="shared" si="4"/>
        <v>2023–24</v>
      </c>
      <c r="P19" s="200" t="str">
        <f t="shared" si="4"/>
        <v>2024–25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0">
        <v>3.4223677885352854E-2</v>
      </c>
      <c r="H20" s="160">
        <v>3.4525892490292698E-2</v>
      </c>
      <c r="I20" s="160">
        <v>3.4583434536381352E-2</v>
      </c>
      <c r="J20" s="160">
        <v>3.4290771868183745E-2</v>
      </c>
      <c r="K20" s="160">
        <v>3.3975376840037708E-2</v>
      </c>
      <c r="L20" s="130"/>
      <c r="M20" s="130"/>
      <c r="N20" s="130"/>
      <c r="O20" s="130"/>
      <c r="P20" s="130"/>
    </row>
    <row r="21" spans="1:16" ht="11.25" customHeight="1">
      <c r="C21" s="153" t="s">
        <v>95</v>
      </c>
      <c r="D21" s="78" t="s">
        <v>49</v>
      </c>
      <c r="E21" s="78" t="s">
        <v>51</v>
      </c>
      <c r="F21" s="79"/>
      <c r="G21" s="79"/>
      <c r="H21" s="79"/>
      <c r="I21" s="201"/>
      <c r="J21" s="201"/>
      <c r="K21" s="201"/>
      <c r="L21" s="160">
        <v>2.2500915501016697E-2</v>
      </c>
      <c r="M21" s="160">
        <v>2.1203731772142343E-2</v>
      </c>
      <c r="N21" s="160">
        <v>1.9906548043268125E-2</v>
      </c>
      <c r="O21" s="160">
        <v>1.8609364314393771E-2</v>
      </c>
      <c r="P21" s="160">
        <v>1.7312180585519421E-2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2">
        <f>IF(AND(G13&lt;&gt;"",G20&lt;&gt;""),((1+G20)*(1+G13)-1),"")</f>
        <v>5.1687117099176838E-2</v>
      </c>
      <c r="H22" s="142">
        <f>IF(AND(H13&lt;&gt;"",H20&lt;&gt;""),((1+H20)*(1+H13)-1),"")</f>
        <v>4.9795647360998174E-2</v>
      </c>
      <c r="I22" s="141">
        <f>IF(AND(I13&lt;&gt;"",I20&lt;&gt;""),((1+I20)*(1+I13)-1),"")</f>
        <v>5.4334572832075878E-2</v>
      </c>
      <c r="J22" s="141">
        <f>IF(AND(J13&lt;&gt;"",J20&lt;&gt;""),((1+J20)*(1+J13)-1),"")</f>
        <v>5.2743774042460112E-2</v>
      </c>
      <c r="K22" s="141">
        <f>IF(AND(K13&lt;&gt;"",K20&lt;&gt;""),((1+K20)*(1+K13)-1),"")</f>
        <v>5.1552958246318337E-2</v>
      </c>
      <c r="L22" s="141">
        <f>IF(AND(L14&lt;&gt;"",L21&lt;&gt;""),((1+L21)*(1+L14)-1),"")</f>
        <v>4.6734187198390842E-2</v>
      </c>
      <c r="M22" s="141">
        <f t="shared" ref="M22:P22" si="5">IF(AND(M14&lt;&gt;"",M21&lt;&gt;""),((1+M21)*(1+M14)-1),"")</f>
        <v>4.5406260215142158E-2</v>
      </c>
      <c r="N22" s="141">
        <f t="shared" si="5"/>
        <v>4.4078333231893696E-2</v>
      </c>
      <c r="O22" s="141">
        <f t="shared" si="5"/>
        <v>4.2750406248645012E-2</v>
      </c>
      <c r="P22" s="141">
        <f t="shared" si="5"/>
        <v>4.1422479265396328E-2</v>
      </c>
    </row>
    <row r="23" spans="1:16" ht="11.25" customHeight="1">
      <c r="A23" s="11"/>
      <c r="B23" s="11"/>
      <c r="C23" s="80"/>
      <c r="D23" s="78"/>
      <c r="E23" s="78"/>
      <c r="F23" s="79"/>
      <c r="G23" s="85"/>
      <c r="H23" s="20"/>
      <c r="I23" s="202"/>
      <c r="J23" s="202"/>
      <c r="K23" s="202"/>
      <c r="L23" s="14"/>
      <c r="M23" s="199"/>
      <c r="N23" s="14"/>
      <c r="O23" s="193"/>
      <c r="P23" s="193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customHeight="1">
      <c r="G25" s="24"/>
      <c r="H25" s="24"/>
      <c r="I25" s="24"/>
      <c r="J25" s="24"/>
      <c r="K25" s="24"/>
      <c r="L25" s="24"/>
      <c r="M25" s="24"/>
    </row>
    <row r="26" spans="1:16" ht="18" customHeight="1"/>
    <row r="27" spans="1:16" ht="18" customHeight="1"/>
    <row r="28" spans="1:16" ht="18" customHeight="1"/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zoomScaleNormal="100" workbookViewId="0"/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9.140625" style="11" customWidth="1"/>
    <col min="24" max="16384" width="12.7109375" style="11" hidden="1"/>
  </cols>
  <sheetData>
    <row r="1" spans="2:14" ht="18" customHeight="1">
      <c r="B1" s="3" t="str">
        <f>'Input | General'!$B$1</f>
        <v>Energex 2021-25 Revised Regulatory Proposal - Capital expenditure sharing scheme model</v>
      </c>
      <c r="D1" s="12"/>
      <c r="E1" s="12"/>
      <c r="F1" s="12"/>
      <c r="G1" s="12"/>
      <c r="H1" s="104"/>
      <c r="I1" s="105" t="s">
        <v>47</v>
      </c>
      <c r="J1" s="158" t="s">
        <v>48</v>
      </c>
      <c r="K1" s="163" t="s">
        <v>36</v>
      </c>
      <c r="L1" s="79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7" t="str">
        <f>IF('Input | General'!D14="Yes",'Input | General'!D13,"n/a")</f>
        <v>2015–16</v>
      </c>
      <c r="I6" s="177" t="str">
        <f>IF('Input | General'!E14="Yes",'Input | General'!E13,"n/a")</f>
        <v>2016–17</v>
      </c>
      <c r="J6" s="177" t="str">
        <f>IF('Input | General'!F14="Yes",'Input | General'!F13,"n/a")</f>
        <v>2017–18</v>
      </c>
      <c r="K6" s="177" t="str">
        <f>IF('Input | General'!G14="Yes",'Input | General'!G13,"n/a")</f>
        <v>2018–19</v>
      </c>
      <c r="L6" s="177" t="str">
        <f>IF('Input | General'!H14="Yes",'Input | General'!H13,"n/a")</f>
        <v>2019–20</v>
      </c>
      <c r="M6" s="107"/>
      <c r="N6" s="107"/>
    </row>
    <row r="7" spans="2:14" s="68" customFormat="1" ht="10.5" customHeight="1">
      <c r="M7" s="107"/>
      <c r="N7" s="107"/>
    </row>
    <row r="8" spans="2:14" ht="10.5" customHeight="1">
      <c r="C8" s="80" t="s">
        <v>3</v>
      </c>
      <c r="D8" s="78" t="s">
        <v>49</v>
      </c>
      <c r="E8" s="78" t="s">
        <v>50</v>
      </c>
      <c r="F8" s="180" t="str">
        <f>'Input | Inflation and Disc Rate'!$F$7</f>
        <v>2014–15</v>
      </c>
      <c r="G8" s="68"/>
      <c r="H8" s="161">
        <v>603.66527968520211</v>
      </c>
      <c r="I8" s="161">
        <v>624.35046985538247</v>
      </c>
      <c r="J8" s="161">
        <v>575.41350508295272</v>
      </c>
      <c r="K8" s="161">
        <v>570.96178661501654</v>
      </c>
      <c r="L8" s="161">
        <v>564.2138070340003</v>
      </c>
      <c r="M8" s="2"/>
      <c r="N8" s="2"/>
    </row>
    <row r="9" spans="2:14" ht="10.5" customHeight="1">
      <c r="C9" s="80" t="s">
        <v>97</v>
      </c>
      <c r="D9" s="78" t="s">
        <v>49</v>
      </c>
      <c r="E9" s="78" t="s">
        <v>50</v>
      </c>
      <c r="F9" s="180" t="str">
        <f>'Input | Inflation and Disc Rate'!$F$7</f>
        <v>2014–15</v>
      </c>
      <c r="G9" s="68"/>
      <c r="H9" s="161">
        <v>29.954850285730501</v>
      </c>
      <c r="I9" s="161">
        <v>33.21124783941616</v>
      </c>
      <c r="J9" s="161">
        <v>34.721721737438486</v>
      </c>
      <c r="K9" s="161">
        <v>36.846233383920094</v>
      </c>
      <c r="L9" s="161">
        <v>37.553938428442628</v>
      </c>
      <c r="M9" s="2"/>
      <c r="N9" s="2"/>
    </row>
    <row r="10" spans="2:14" ht="10.5" customHeight="1">
      <c r="C10" s="80" t="s">
        <v>91</v>
      </c>
      <c r="D10" s="78" t="s">
        <v>49</v>
      </c>
      <c r="E10" s="78" t="s">
        <v>50</v>
      </c>
      <c r="F10" s="180" t="str">
        <f>'Input | Inflation and Disc Rate'!$F$7</f>
        <v>2014–15</v>
      </c>
      <c r="G10" s="68"/>
      <c r="H10" s="161">
        <v>19.13871687112918</v>
      </c>
      <c r="I10" s="161">
        <v>33.941838835915206</v>
      </c>
      <c r="J10" s="161">
        <v>30.670191719479213</v>
      </c>
      <c r="K10" s="161">
        <v>24.129510568666667</v>
      </c>
      <c r="L10" s="161">
        <v>13.272645523000001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7"/>
      <c r="N11" s="107"/>
    </row>
    <row r="12" spans="2:14" ht="10.5" customHeight="1">
      <c r="C12" s="77" t="s">
        <v>5</v>
      </c>
      <c r="D12" s="76" t="s">
        <v>60</v>
      </c>
      <c r="E12" s="178" t="s">
        <v>50</v>
      </c>
      <c r="F12" s="179" t="str">
        <f>'Input | Inflation and Disc Rate'!$F$7</f>
        <v>2014–15</v>
      </c>
      <c r="G12" s="68"/>
      <c r="H12" s="66">
        <f>IF(H6="", "", H8-H9-H10)</f>
        <v>554.57171252834246</v>
      </c>
      <c r="I12" s="66">
        <f t="shared" ref="I12:L12" si="0">IF(I6="", "", I8-I9-I10)</f>
        <v>557.19738318005113</v>
      </c>
      <c r="J12" s="66">
        <f t="shared" si="0"/>
        <v>510.0215916260351</v>
      </c>
      <c r="K12" s="66">
        <f t="shared" si="0"/>
        <v>509.98604266242978</v>
      </c>
      <c r="L12" s="66">
        <f t="shared" si="0"/>
        <v>513.38722308255763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7" t="str">
        <f>H6</f>
        <v>2015–16</v>
      </c>
      <c r="I16" s="177" t="str">
        <f t="shared" ref="I16:L16" si="1">I6</f>
        <v>2016–17</v>
      </c>
      <c r="J16" s="177" t="str">
        <f t="shared" si="1"/>
        <v>2017–18</v>
      </c>
      <c r="K16" s="177" t="str">
        <f t="shared" si="1"/>
        <v>2018–19</v>
      </c>
      <c r="L16" s="177" t="str">
        <f t="shared" si="1"/>
        <v>2019–20</v>
      </c>
      <c r="M16" s="107"/>
      <c r="N16" s="107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7"/>
      <c r="N17" s="107"/>
    </row>
    <row r="18" spans="2:14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161">
        <v>609.48212318545302</v>
      </c>
      <c r="I18" s="161">
        <v>575.41235199999994</v>
      </c>
      <c r="J18" s="161">
        <v>544.69619450067512</v>
      </c>
      <c r="K18" s="161">
        <v>517.25179200000002</v>
      </c>
      <c r="L18" s="161">
        <v>522.46415910814039</v>
      </c>
    </row>
    <row r="19" spans="2:14" s="2" customFormat="1" ht="10.5" customHeight="1">
      <c r="B19" s="73"/>
      <c r="C19" s="80" t="s">
        <v>97</v>
      </c>
      <c r="D19" s="78" t="s">
        <v>49</v>
      </c>
      <c r="E19" s="78" t="s">
        <v>50</v>
      </c>
      <c r="F19" s="78" t="s">
        <v>53</v>
      </c>
      <c r="G19" s="140"/>
      <c r="H19" s="162">
        <v>79.659051981209004</v>
      </c>
      <c r="I19" s="161">
        <v>62.504508999999999</v>
      </c>
      <c r="J19" s="161">
        <v>56.411411176241835</v>
      </c>
      <c r="K19" s="161">
        <v>48.825648999999991</v>
      </c>
      <c r="L19" s="161">
        <v>53.68752940384271</v>
      </c>
    </row>
    <row r="20" spans="2:14" s="2" customFormat="1" ht="10.5" customHeight="1">
      <c r="B20" s="73"/>
      <c r="C20" s="139" t="s">
        <v>91</v>
      </c>
      <c r="D20" s="78" t="s">
        <v>49</v>
      </c>
      <c r="E20" s="78" t="s">
        <v>50</v>
      </c>
      <c r="F20" s="78" t="s">
        <v>53</v>
      </c>
      <c r="G20" s="140"/>
      <c r="H20" s="162">
        <v>12.465389499999969</v>
      </c>
      <c r="I20" s="161">
        <v>5.6274879999999996</v>
      </c>
      <c r="J20" s="161">
        <v>7.7294441500000008</v>
      </c>
      <c r="K20" s="161">
        <v>4.7279080000000002</v>
      </c>
      <c r="L20" s="161">
        <v>11.644561059048584</v>
      </c>
    </row>
    <row r="21" spans="2:14" s="2" customFormat="1" ht="10.5" customHeight="1">
      <c r="B21" s="73"/>
      <c r="C21" s="155" t="s">
        <v>96</v>
      </c>
      <c r="D21" s="78" t="s">
        <v>49</v>
      </c>
      <c r="E21" s="78" t="s">
        <v>50</v>
      </c>
      <c r="F21" s="78" t="s">
        <v>53</v>
      </c>
      <c r="G21" s="68"/>
      <c r="H21" s="162"/>
      <c r="I21" s="161"/>
      <c r="J21" s="161"/>
      <c r="K21" s="161"/>
      <c r="L21" s="161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7"/>
      <c r="N22" s="107"/>
    </row>
    <row r="23" spans="2:14" s="2" customFormat="1" ht="10.5" customHeight="1">
      <c r="B23" s="73"/>
      <c r="C23" s="77" t="s">
        <v>76</v>
      </c>
      <c r="D23" s="76" t="s">
        <v>60</v>
      </c>
      <c r="E23" s="181" t="s">
        <v>50</v>
      </c>
      <c r="F23" s="181" t="s">
        <v>53</v>
      </c>
      <c r="G23" s="68"/>
      <c r="H23" s="66">
        <f>IF(H16="", "", H18-H19-H20-H21)</f>
        <v>517.35768170424399</v>
      </c>
      <c r="I23" s="66">
        <f t="shared" ref="I23:L23" si="2">IF(I16="", "", I18-I19-I20-I21)</f>
        <v>507.28035499999999</v>
      </c>
      <c r="J23" s="66">
        <f t="shared" si="2"/>
        <v>480.5553391744333</v>
      </c>
      <c r="K23" s="66">
        <f t="shared" si="2"/>
        <v>463.69823500000001</v>
      </c>
      <c r="L23" s="66">
        <f t="shared" si="2"/>
        <v>457.13206864524909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7" t="str">
        <f>'Input | General'!D18</f>
        <v>2020-21</v>
      </c>
      <c r="I27" s="177" t="str">
        <f>'Input | General'!E18</f>
        <v>2021–22</v>
      </c>
      <c r="J27" s="177" t="str">
        <f>'Input | General'!F18</f>
        <v>2022–23</v>
      </c>
      <c r="K27" s="177" t="str">
        <f>'Input | General'!G18</f>
        <v>2023–24</v>
      </c>
      <c r="L27" s="177" t="str">
        <f>'Input | General'!H18</f>
        <v>2024–25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85</v>
      </c>
      <c r="D29" s="65" t="s">
        <v>102</v>
      </c>
      <c r="E29" s="78" t="s">
        <v>50</v>
      </c>
      <c r="F29" s="78" t="s">
        <v>53</v>
      </c>
      <c r="G29" s="68"/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2"/>
      <c r="N29" s="2"/>
    </row>
    <row r="30" spans="2:14" ht="11.25" customHeight="1">
      <c r="C30" s="84" t="s">
        <v>85</v>
      </c>
      <c r="D30" s="65" t="s">
        <v>60</v>
      </c>
      <c r="E30" s="78" t="s">
        <v>50</v>
      </c>
      <c r="F30" s="78" t="str">
        <f>'Input | Inflation and Disc Rate'!$F$7</f>
        <v>2014–15</v>
      </c>
      <c r="G30" s="68"/>
      <c r="H30" s="148">
        <f>IF(H29&lt;&gt;"",H29/('Input | Inflation and Disc Rate'!K10*(1+'Input | Inflation and Disc Rate'!L9)^0.5),"")</f>
        <v>0</v>
      </c>
      <c r="I30" s="148">
        <f>IF(I29&lt;&gt;"",I29/('Input | Inflation and Disc Rate'!L10*(1+'Input | Inflation and Disc Rate'!M9)^0.5),"")</f>
        <v>0</v>
      </c>
      <c r="J30" s="148">
        <f>IF(J29&lt;&gt;"",J29/('Input | Inflation and Disc Rate'!M10*(1+'Input | Inflation and Disc Rate'!N9)^0.5),"")</f>
        <v>0</v>
      </c>
      <c r="K30" s="148">
        <f>IF(K29&lt;&gt;"",K29/('Input | Inflation and Disc Rate'!N10*(1+'Input | Inflation and Disc Rate'!O9)^0.5),"")</f>
        <v>0</v>
      </c>
      <c r="L30" s="148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48">
        <f>IF(H29&lt;&gt;"",H30*'Input | Inflation and Disc Rate'!K15*(1+'Input | Inflation and Disc Rate'!L14)^0.5,"")</f>
        <v>0</v>
      </c>
      <c r="I31" s="148">
        <f>IF(I29&lt;&gt;"",I30*'Input | Inflation and Disc Rate'!L15*(1+'Input | Inflation and Disc Rate'!M14)^0.5,"")</f>
        <v>0</v>
      </c>
      <c r="J31" s="148">
        <f>IF(J29&lt;&gt;"",J30*'Input | Inflation and Disc Rate'!M15*(1+'Input | Inflation and Disc Rate'!N14)^0.5,"")</f>
        <v>0</v>
      </c>
      <c r="K31" s="148">
        <f>IF(K29&lt;&gt;"",K30*'Input | Inflation and Disc Rate'!N15*(1+'Input | Inflation and Disc Rate'!O14)^0.5,"")</f>
        <v>0</v>
      </c>
      <c r="L31" s="148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14" s="62" customFormat="1" ht="12.75" customHeight="1">
      <c r="A33" s="8"/>
      <c r="B33" s="29" t="s">
        <v>34</v>
      </c>
      <c r="D33" s="63"/>
      <c r="E33" s="63"/>
      <c r="F33" s="63"/>
    </row>
    <row r="34" spans="1:14" ht="10.5" customHeight="1">
      <c r="C34" s="11"/>
      <c r="D34" s="11"/>
      <c r="E34" s="11"/>
      <c r="F34" s="11"/>
      <c r="G34" s="11"/>
    </row>
    <row r="35" spans="1:14" ht="18" customHeight="1"/>
    <row r="36" spans="1:14" s="2" customFormat="1" ht="18" customHeight="1">
      <c r="A36" s="11"/>
      <c r="B36" s="11"/>
      <c r="C36" s="16"/>
      <c r="D36" s="16"/>
      <c r="E36" s="16"/>
      <c r="F36" s="16"/>
      <c r="G36" s="16"/>
      <c r="H36" s="11"/>
      <c r="I36" s="11"/>
      <c r="J36" s="11"/>
      <c r="K36" s="11"/>
      <c r="L36" s="11"/>
      <c r="M36" s="11"/>
      <c r="N36" s="11"/>
    </row>
    <row r="37" spans="1:14" ht="18" customHeight="1"/>
    <row r="38" spans="1:14" ht="18" customHeight="1"/>
    <row r="39" spans="1:14" s="17" customFormat="1" ht="18" customHeight="1">
      <c r="A39" s="11"/>
      <c r="B39" s="11"/>
      <c r="C39" s="16"/>
      <c r="D39" s="16"/>
      <c r="E39" s="16"/>
      <c r="F39" s="16"/>
      <c r="G39" s="16"/>
      <c r="H39" s="11"/>
      <c r="I39" s="11"/>
      <c r="J39" s="11"/>
      <c r="K39" s="11"/>
      <c r="L39" s="11"/>
      <c r="M39" s="11"/>
      <c r="N39" s="11"/>
    </row>
    <row r="40" spans="1:14" ht="18" customHeight="1"/>
    <row r="41" spans="1:14" ht="18" customHeight="1"/>
    <row r="42" spans="1:14" ht="18" customHeight="1"/>
    <row r="43" spans="1:14" ht="18" customHeight="1"/>
    <row r="44" spans="1:14" s="17" customFormat="1" ht="18" customHeight="1">
      <c r="A44" s="11"/>
      <c r="B44" s="11"/>
      <c r="C44" s="16"/>
      <c r="D44" s="16"/>
      <c r="E44" s="16"/>
      <c r="F44" s="16"/>
      <c r="G44" s="16"/>
      <c r="H44" s="11"/>
      <c r="I44" s="11"/>
      <c r="J44" s="11"/>
      <c r="K44" s="11"/>
      <c r="L44" s="11"/>
      <c r="M44" s="11"/>
      <c r="N44" s="11"/>
    </row>
    <row r="45" spans="1:14" ht="18" customHeight="1"/>
    <row r="46" spans="1:14" ht="18" customHeight="1"/>
    <row r="47" spans="1:14" ht="18" customHeight="1"/>
    <row r="48" spans="1:14" ht="18" customHeight="1"/>
    <row r="49" spans="1:14" ht="18" customHeight="1"/>
    <row r="50" spans="1:14" ht="18" customHeight="1"/>
    <row r="51" spans="1:14" s="2" customFormat="1" ht="18" customHeight="1">
      <c r="A51" s="11"/>
      <c r="B51" s="11"/>
      <c r="C51" s="16"/>
      <c r="D51" s="16"/>
      <c r="E51" s="16"/>
      <c r="F51" s="16"/>
      <c r="G51" s="16"/>
      <c r="H51" s="11"/>
      <c r="I51" s="11"/>
      <c r="J51" s="11"/>
      <c r="K51" s="11"/>
      <c r="L51" s="11"/>
      <c r="M51" s="11"/>
      <c r="N51" s="11"/>
    </row>
    <row r="52" spans="1:14" ht="18" customHeight="1"/>
    <row r="53" spans="1:14" ht="18" customHeight="1"/>
    <row r="54" spans="1:14" ht="18" customHeight="1"/>
    <row r="55" spans="1:14" s="17" customFormat="1" ht="18" customHeight="1">
      <c r="A55" s="11"/>
      <c r="B55" s="11"/>
      <c r="C55" s="16"/>
      <c r="D55" s="16"/>
      <c r="E55" s="16"/>
      <c r="F55" s="16"/>
      <c r="G55" s="16"/>
      <c r="H55" s="11"/>
      <c r="I55" s="11"/>
      <c r="J55" s="11"/>
      <c r="K55" s="11"/>
      <c r="L55" s="11"/>
      <c r="M55" s="11"/>
      <c r="N55" s="11"/>
    </row>
    <row r="56" spans="1:14" ht="18" customHeight="1"/>
    <row r="57" spans="1:14" ht="18" customHeight="1"/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  <row r="63" spans="1:14" ht="18" customHeight="1"/>
    <row r="64" spans="1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UAM53"/>
  <sheetViews>
    <sheetView zoomScaleNormal="100" workbookViewId="0"/>
  </sheetViews>
  <sheetFormatPr defaultColWidth="12.7109375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4235" width="0" style="2" hidden="1" customWidth="1"/>
    <col min="14236" max="16381" width="12.7109375" style="2" customWidth="1"/>
    <col min="16382" max="16382" width="12.7109375" style="2"/>
    <col min="16383" max="16384" width="0" style="2" hidden="1" customWidth="1"/>
  </cols>
  <sheetData>
    <row r="1" spans="2:23" s="11" customFormat="1" ht="18" customHeight="1">
      <c r="B1" s="3" t="str">
        <f>'Input | General'!$B$1</f>
        <v>Energex 2021-25 Revised Regulatory Proposal - Capital expenditure sharing scheme model</v>
      </c>
      <c r="J1" s="121"/>
      <c r="K1" s="105" t="s">
        <v>47</v>
      </c>
      <c r="L1" s="158" t="s">
        <v>48</v>
      </c>
      <c r="M1" s="163" t="s">
        <v>36</v>
      </c>
      <c r="N1"/>
      <c r="Q1" s="106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4"/>
      <c r="D5" s="94"/>
      <c r="E5" s="94"/>
      <c r="F5" s="94"/>
      <c r="G5" s="94"/>
      <c r="H5" s="94"/>
      <c r="I5" s="87"/>
      <c r="J5" s="87"/>
      <c r="K5" s="87"/>
      <c r="L5" s="87"/>
      <c r="M5" s="87"/>
      <c r="N5" s="87"/>
      <c r="O5" s="87"/>
    </row>
    <row r="6" spans="2:23" ht="11.25" customHeight="1">
      <c r="C6" s="117" t="s">
        <v>11</v>
      </c>
      <c r="D6" s="118"/>
      <c r="E6" s="119"/>
      <c r="F6" s="119"/>
      <c r="G6" s="119"/>
      <c r="H6" s="119"/>
      <c r="I6" s="96"/>
    </row>
    <row r="7" spans="2:23" ht="11.25" customHeight="1">
      <c r="C7" s="116" t="s">
        <v>9</v>
      </c>
      <c r="D7" s="177" t="str">
        <f>IF('Input | General'!D14="Yes",'Input | General'!D13,"n/a")</f>
        <v>2015–16</v>
      </c>
      <c r="E7" s="177" t="str">
        <f>IF('Input | General'!E14="Yes",'Input | General'!E13,"n/a")</f>
        <v>2016–17</v>
      </c>
      <c r="F7" s="177" t="str">
        <f>IF('Input | General'!F14="Yes",'Input | General'!F13,"n/a")</f>
        <v>2017–18</v>
      </c>
      <c r="G7" s="177" t="str">
        <f>IF('Input | General'!G14="Yes",'Input | General'!G13,"n/a")</f>
        <v>2018–19</v>
      </c>
      <c r="H7" s="182" t="str">
        <f>IF('Input | General'!H14="Yes",'Input | General'!H13,"n/a")</f>
        <v>2019–20</v>
      </c>
      <c r="I7" s="96"/>
    </row>
    <row r="8" spans="2:23" ht="11.25" customHeight="1">
      <c r="C8" s="143" t="s">
        <v>93</v>
      </c>
      <c r="D8" s="164">
        <f>'Input | Inflation and Disc Rate'!G20</f>
        <v>3.4223677885352854E-2</v>
      </c>
      <c r="E8" s="165">
        <f>'Input | Inflation and Disc Rate'!H20</f>
        <v>3.4525892490292698E-2</v>
      </c>
      <c r="F8" s="165">
        <f>'Input | Inflation and Disc Rate'!I20</f>
        <v>3.4583434536381352E-2</v>
      </c>
      <c r="G8" s="165">
        <f>'Input | Inflation and Disc Rate'!J20</f>
        <v>3.4290771868183745E-2</v>
      </c>
      <c r="H8" s="166">
        <f>'Input | Inflation and Disc Rate'!K20</f>
        <v>3.3975376840037708E-2</v>
      </c>
      <c r="I8" s="96"/>
      <c r="J8" s="79"/>
      <c r="K8" s="79"/>
    </row>
    <row r="9" spans="2:23" ht="11.25" customHeight="1">
      <c r="C9" s="146" t="s">
        <v>94</v>
      </c>
      <c r="D9" s="165">
        <f>'Input | Inflation and Disc Rate'!G22</f>
        <v>5.1687117099176838E-2</v>
      </c>
      <c r="E9" s="165">
        <f>'Input | Inflation and Disc Rate'!H22</f>
        <v>4.9795647360998174E-2</v>
      </c>
      <c r="F9" s="165">
        <f>'Input | Inflation and Disc Rate'!I22</f>
        <v>5.4334572832075878E-2</v>
      </c>
      <c r="G9" s="165">
        <f>'Input | Inflation and Disc Rate'!J22</f>
        <v>5.2743774042460112E-2</v>
      </c>
      <c r="H9" s="166">
        <f>'Input | Inflation and Disc Rate'!K22</f>
        <v>5.1552958246318337E-2</v>
      </c>
      <c r="I9" s="96"/>
      <c r="J9" s="79"/>
      <c r="K9" s="79"/>
    </row>
    <row r="10" spans="2:23" ht="11.25" customHeight="1">
      <c r="C10" s="112" t="s">
        <v>13</v>
      </c>
      <c r="D10" s="167">
        <f>'Input | Reported Capex'!H$12*'Input | Inflation and Disc Rate'!G$15*(1+'Input | Inflation and Disc Rate'!G$20)^0.5</f>
        <v>573.50476305572238</v>
      </c>
      <c r="E10" s="168">
        <f>'Input | Reported Capex'!I$12*'Input | Inflation and Disc Rate'!H$15*(1+'Input | Inflation and Disc Rate'!H$20)^0.5</f>
        <v>584.81059350541636</v>
      </c>
      <c r="F10" s="168">
        <f>'Input | Reported Capex'!J$12*'Input | Inflation and Disc Rate'!I$15*(1+'Input | Inflation and Disc Rate'!I$20)^0.5</f>
        <v>545.53137146869688</v>
      </c>
      <c r="G10" s="168">
        <f>'Input | Reported Capex'!K$12*'Input | Inflation and Disc Rate'!J$15*(1+'Input | Inflation and Disc Rate'!J$20)^0.5</f>
        <v>555.14707396772553</v>
      </c>
      <c r="H10" s="169">
        <f>'Input | Reported Capex'!L$12*'Input | Inflation and Disc Rate'!K$15*(1+'Input | Inflation and Disc Rate'!K$20)^0.5</f>
        <v>568.26321871787388</v>
      </c>
      <c r="I10" s="96"/>
      <c r="J10" s="79"/>
      <c r="K10" s="79"/>
      <c r="N10" s="137"/>
    </row>
    <row r="11" spans="2:23" ht="11.25" customHeight="1">
      <c r="C11" s="112" t="s">
        <v>15</v>
      </c>
      <c r="D11" s="170">
        <f>'Input | Reported Capex'!H23*(1+D$9)^0.5</f>
        <v>530.55960210491435</v>
      </c>
      <c r="E11" s="168">
        <f>'Input | Reported Capex'!I23*(1+E$9)^0.5</f>
        <v>519.75709686972584</v>
      </c>
      <c r="F11" s="168">
        <f>'Input | Reported Capex'!J23*(1+F$9)^0.5</f>
        <v>493.4380442351208</v>
      </c>
      <c r="G11" s="168">
        <f>'Input | Reported Capex'!K23*(1+G$9)^0.5</f>
        <v>475.76970402133065</v>
      </c>
      <c r="H11" s="169">
        <f>'Input | Reported Capex'!L23*(1+H$9)^0.5</f>
        <v>468.76725126195942</v>
      </c>
      <c r="I11" s="96"/>
      <c r="J11" s="79"/>
      <c r="K11" s="79"/>
    </row>
    <row r="12" spans="2:23" s="19" customFormat="1" ht="11.25" customHeight="1">
      <c r="C12" s="112" t="s">
        <v>17</v>
      </c>
      <c r="D12" s="157">
        <f>(D10-D11)</f>
        <v>42.945160950808031</v>
      </c>
      <c r="E12" s="144">
        <f>(E10-E11)</f>
        <v>65.053496635690522</v>
      </c>
      <c r="F12" s="144">
        <f t="shared" ref="F12:H12" si="0">(F10-F11)</f>
        <v>52.093327233576076</v>
      </c>
      <c r="G12" s="144">
        <f t="shared" si="0"/>
        <v>79.377369946394879</v>
      </c>
      <c r="H12" s="149">
        <f t="shared" si="0"/>
        <v>99.495967455914467</v>
      </c>
      <c r="I12" s="96"/>
      <c r="J12" s="79"/>
      <c r="K12" s="79"/>
    </row>
    <row r="13" spans="2:23" ht="11.25" customHeight="1">
      <c r="C13" s="112" t="s">
        <v>71</v>
      </c>
      <c r="D13" s="88"/>
      <c r="E13" s="144">
        <f>$D$12*$E$8</f>
        <v>1.4827200099659141</v>
      </c>
      <c r="F13" s="144">
        <f>$D$12*$F$8*(1+'Input | Inflation and Disc Rate'!H13)</f>
        <v>1.5071128031700123</v>
      </c>
      <c r="G13" s="144">
        <f>$D$12*$G$8*(1+'Input | Inflation and Disc Rate'!H13)*(1+'Input | Inflation and Disc Rate'!I13)</f>
        <v>1.5228875145427938</v>
      </c>
      <c r="H13" s="149">
        <f>$D$12*$H$8*(1+'Input | Inflation and Disc Rate'!H13)*(1+'Input | Inflation and Disc Rate'!I13)*(1+'Input | Inflation and Disc Rate'!J13)</f>
        <v>1.5358007643292466</v>
      </c>
      <c r="I13" s="96"/>
      <c r="J13" s="79"/>
      <c r="K13" s="79"/>
      <c r="L13" s="95"/>
      <c r="M13" s="95"/>
      <c r="N13" s="95"/>
      <c r="O13" s="95"/>
    </row>
    <row r="14" spans="2:23" ht="11.25" customHeight="1">
      <c r="C14" s="112" t="s">
        <v>72</v>
      </c>
      <c r="D14" s="88"/>
      <c r="E14" s="145"/>
      <c r="F14" s="144">
        <f>$E$12*F$8</f>
        <v>2.2497733422631079</v>
      </c>
      <c r="G14" s="144">
        <f>$E$12*G$8*(1+'Input | Inflation and Disc Rate'!I13)</f>
        <v>2.2733213640526717</v>
      </c>
      <c r="H14" s="149">
        <f>$E$12*H$8*(1+'Input | Inflation and Disc Rate'!I13)*(1+'Input | Inflation and Disc Rate'!J13)</f>
        <v>2.2925978807609364</v>
      </c>
      <c r="I14" s="96"/>
      <c r="J14" s="79"/>
      <c r="K14" s="79"/>
      <c r="L14" s="95"/>
      <c r="M14" s="95"/>
      <c r="N14" s="96"/>
      <c r="O14" s="96"/>
    </row>
    <row r="15" spans="2:23" ht="11.25" customHeight="1">
      <c r="C15" s="112" t="s">
        <v>73</v>
      </c>
      <c r="D15" s="88"/>
      <c r="E15" s="144"/>
      <c r="F15" s="144"/>
      <c r="G15" s="144">
        <f>$F$12*G$8</f>
        <v>1.7863204000212007</v>
      </c>
      <c r="H15" s="149">
        <f>$F$12*$H$8*(1+'Input | Inflation and Disc Rate'!J13)</f>
        <v>1.8014674160048698</v>
      </c>
      <c r="I15" s="96"/>
      <c r="J15" s="79"/>
      <c r="K15" s="79"/>
      <c r="L15" s="95"/>
      <c r="M15" s="95"/>
      <c r="N15" s="95"/>
      <c r="O15" s="95"/>
    </row>
    <row r="16" spans="2:23" ht="11.25" customHeight="1">
      <c r="C16" s="112" t="s">
        <v>74</v>
      </c>
      <c r="D16" s="88"/>
      <c r="E16" s="144"/>
      <c r="F16" s="144"/>
      <c r="G16" s="144"/>
      <c r="H16" s="149">
        <f>$G$12*$H$8</f>
        <v>2.6968760564998497</v>
      </c>
      <c r="I16" s="96"/>
      <c r="J16" s="79"/>
      <c r="K16" s="79"/>
      <c r="L16" s="95"/>
      <c r="M16" s="95"/>
      <c r="N16" s="95"/>
      <c r="O16" s="95"/>
    </row>
    <row r="17" spans="3:15" ht="11.25" customHeight="1">
      <c r="C17" s="112" t="s">
        <v>75</v>
      </c>
      <c r="D17" s="88"/>
      <c r="E17" s="144"/>
      <c r="F17" s="144"/>
      <c r="G17" s="144"/>
      <c r="H17" s="149"/>
      <c r="I17" s="96"/>
      <c r="J17" s="79"/>
      <c r="K17" s="79"/>
      <c r="L17" s="95"/>
      <c r="M17" s="95"/>
      <c r="N17" s="95"/>
      <c r="O17" s="95"/>
    </row>
    <row r="18" spans="3:15" s="19" customFormat="1" ht="11.25" customHeight="1">
      <c r="C18" s="113" t="s">
        <v>19</v>
      </c>
      <c r="D18" s="89">
        <f>SUM(D13:D17)</f>
        <v>0</v>
      </c>
      <c r="E18" s="150">
        <f>SUM(E13:E17)</f>
        <v>1.4827200099659141</v>
      </c>
      <c r="F18" s="150">
        <f t="shared" ref="F18:H18" si="1">SUM(F13:F17)</f>
        <v>3.7568861454331204</v>
      </c>
      <c r="G18" s="150">
        <f t="shared" si="1"/>
        <v>5.5825292786166667</v>
      </c>
      <c r="H18" s="151">
        <f t="shared" si="1"/>
        <v>8.3267421175949021</v>
      </c>
      <c r="I18" s="96"/>
      <c r="J18" s="79"/>
      <c r="K18" s="79"/>
      <c r="L18" s="95"/>
      <c r="M18" s="95"/>
      <c r="N18" s="95"/>
      <c r="O18" s="95"/>
    </row>
    <row r="19" spans="3:15" ht="11.25" customHeight="1">
      <c r="C19" s="114" t="s">
        <v>92</v>
      </c>
      <c r="D19" s="125">
        <f>E19*(1+E$9)</f>
        <v>1.2252848019486724</v>
      </c>
      <c r="E19" s="150">
        <f>F19*(1+F$9)</f>
        <v>1.167165062104061</v>
      </c>
      <c r="F19" s="150">
        <f>G19*(1+G$9)</f>
        <v>1.1070158298697426</v>
      </c>
      <c r="G19" s="150">
        <f>H19*(1+H$9)</f>
        <v>1.0515529582463183</v>
      </c>
      <c r="H19" s="152">
        <v>1</v>
      </c>
      <c r="I19" s="96"/>
      <c r="J19" s="79"/>
      <c r="K19" s="79"/>
      <c r="L19" s="96"/>
      <c r="M19" s="96"/>
      <c r="N19" s="96"/>
      <c r="O19" s="96"/>
    </row>
    <row r="20" spans="3:15" s="19" customFormat="1" ht="11.25" customHeight="1">
      <c r="C20" s="112" t="s">
        <v>20</v>
      </c>
      <c r="D20" s="88">
        <f>D12*D19</f>
        <v>52.620053030264678</v>
      </c>
      <c r="E20" s="144">
        <f>E12*E19</f>
        <v>75.928168440882047</v>
      </c>
      <c r="F20" s="144">
        <f t="shared" ref="F20:H20" si="2">F12*F19</f>
        <v>57.668137878153281</v>
      </c>
      <c r="G20" s="144">
        <f t="shared" si="2"/>
        <v>83.469508184943933</v>
      </c>
      <c r="H20" s="149">
        <f t="shared" si="2"/>
        <v>99.495967455914467</v>
      </c>
      <c r="I20" s="96"/>
      <c r="J20" s="79"/>
      <c r="K20" s="79"/>
      <c r="L20" s="96"/>
      <c r="M20" s="96"/>
      <c r="N20" s="96"/>
      <c r="O20" s="96"/>
    </row>
    <row r="21" spans="3:15" s="19" customFormat="1" ht="11.25" customHeight="1">
      <c r="C21" s="113" t="s">
        <v>21</v>
      </c>
      <c r="D21" s="89">
        <f>D18*D19</f>
        <v>0</v>
      </c>
      <c r="E21" s="150">
        <f>E18*E19</f>
        <v>1.7305789925148001</v>
      </c>
      <c r="F21" s="150">
        <f t="shared" ref="F21:H21" si="3">F18*F19</f>
        <v>4.158932434012784</v>
      </c>
      <c r="G21" s="150">
        <f t="shared" si="3"/>
        <v>5.8703251774260412</v>
      </c>
      <c r="H21" s="151">
        <f t="shared" si="3"/>
        <v>8.3267421175949021</v>
      </c>
      <c r="I21" s="96"/>
      <c r="J21" s="79"/>
      <c r="K21" s="79"/>
      <c r="L21" s="96"/>
      <c r="M21" s="96"/>
      <c r="N21" s="96"/>
      <c r="O21" s="96"/>
    </row>
    <row r="22" spans="3:15" s="79" customFormat="1" ht="11.25" customHeight="1"/>
    <row r="23" spans="3:15" ht="11.25" customHeight="1">
      <c r="C23" s="117" t="s">
        <v>12</v>
      </c>
      <c r="D23" s="118"/>
      <c r="E23" s="119"/>
      <c r="F23" s="119"/>
      <c r="G23" s="119"/>
      <c r="H23" s="119"/>
      <c r="I23" s="96"/>
      <c r="J23" s="79"/>
      <c r="K23" s="79"/>
      <c r="L23" s="96"/>
      <c r="M23" s="96"/>
      <c r="N23" s="96"/>
      <c r="O23" s="96"/>
    </row>
    <row r="24" spans="3:15" ht="11.25" customHeight="1">
      <c r="C24" s="111" t="s">
        <v>9</v>
      </c>
      <c r="D24" s="183" t="str">
        <f>'Input | General'!$D$18</f>
        <v>2020-21</v>
      </c>
      <c r="E24" s="183" t="str">
        <f>'Input | General'!$E$18</f>
        <v>2021–22</v>
      </c>
      <c r="F24" s="183" t="str">
        <f>'Input | General'!$F$18</f>
        <v>2022–23</v>
      </c>
      <c r="G24" s="183" t="str">
        <f>'Input | General'!$G$18</f>
        <v>2023–24</v>
      </c>
      <c r="H24" s="184" t="str">
        <f>'Input | General'!$H$18</f>
        <v>2024–25</v>
      </c>
      <c r="I24" s="96"/>
      <c r="J24" s="79"/>
      <c r="K24" s="79"/>
      <c r="L24" s="96"/>
      <c r="M24" s="96"/>
      <c r="N24" s="96"/>
      <c r="O24" s="96"/>
    </row>
    <row r="25" spans="3:15" ht="11.25" customHeight="1">
      <c r="C25" s="115" t="s">
        <v>70</v>
      </c>
      <c r="D25" s="171">
        <f>'Input | Inflation and Disc Rate'!L$22</f>
        <v>4.6734187198390842E-2</v>
      </c>
      <c r="E25" s="171">
        <f>'Input | Inflation and Disc Rate'!M$22</f>
        <v>4.5406260215142158E-2</v>
      </c>
      <c r="F25" s="171">
        <f>'Input | Inflation and Disc Rate'!N$22</f>
        <v>4.4078333231893696E-2</v>
      </c>
      <c r="G25" s="171">
        <f>'Input | Inflation and Disc Rate'!O$22</f>
        <v>4.2750406248645012E-2</v>
      </c>
      <c r="H25" s="172">
        <f>'Input | Inflation and Disc Rate'!P$22</f>
        <v>4.1422479265396328E-2</v>
      </c>
      <c r="I25" s="96"/>
      <c r="J25" s="79"/>
      <c r="K25" s="79"/>
      <c r="L25" s="96"/>
      <c r="M25" s="96"/>
      <c r="N25" s="96"/>
      <c r="O25" s="96"/>
    </row>
    <row r="26" spans="3:15" ht="11.25" customHeight="1">
      <c r="C26" s="116" t="s">
        <v>14</v>
      </c>
      <c r="D26" s="168">
        <f>'Input | Reported Capex'!H31</f>
        <v>0</v>
      </c>
      <c r="E26" s="168">
        <f>'Input | Reported Capex'!I31</f>
        <v>0</v>
      </c>
      <c r="F26" s="168">
        <f>'Input | Reported Capex'!J31</f>
        <v>0</v>
      </c>
      <c r="G26" s="168">
        <f>'Input | Reported Capex'!K31</f>
        <v>0</v>
      </c>
      <c r="H26" s="169">
        <f>'Input | Reported Capex'!L31</f>
        <v>0</v>
      </c>
      <c r="I26" s="96"/>
      <c r="J26" s="79"/>
      <c r="K26" s="79"/>
      <c r="L26" s="96"/>
      <c r="M26" s="96"/>
      <c r="N26" s="96"/>
      <c r="O26" s="96"/>
    </row>
    <row r="27" spans="3:15" ht="11.25" customHeight="1">
      <c r="C27" s="116" t="s">
        <v>16</v>
      </c>
      <c r="D27" s="123">
        <f>1/(1+D25)^(0.5)</f>
        <v>0.97742129243087961</v>
      </c>
      <c r="E27" s="123">
        <f>1/((1+E25)^(0.5)*(1+D25))</f>
        <v>0.93437464060022735</v>
      </c>
      <c r="F27" s="123">
        <f>1/((1+F25)^(0.5)*(1+E25)*(1+D25))</f>
        <v>0.89435914696470153</v>
      </c>
      <c r="G27" s="123">
        <f>1/((1+G25)^(0.5)*(1+F25)*(1+E25)*(1+D25))</f>
        <v>0.85714683828022098</v>
      </c>
      <c r="H27" s="124">
        <f>1/((1+H25)^(0.5)*(1+G25)*(1+F25)*(1+E25)*(1+D25))</f>
        <v>0.82252966461714283</v>
      </c>
      <c r="I27" s="96"/>
      <c r="J27" s="79"/>
      <c r="K27" s="79"/>
      <c r="L27" s="96"/>
      <c r="M27" s="96"/>
      <c r="N27" s="96"/>
      <c r="O27" s="96"/>
    </row>
    <row r="28" spans="3:15" ht="11.25" customHeight="1">
      <c r="C28" s="111" t="s">
        <v>18</v>
      </c>
      <c r="D28" s="90">
        <f>D26*D27</f>
        <v>0</v>
      </c>
      <c r="E28" s="90">
        <f t="shared" ref="E28:G28" si="4">E26*E27</f>
        <v>0</v>
      </c>
      <c r="F28" s="90">
        <f t="shared" si="4"/>
        <v>0</v>
      </c>
      <c r="G28" s="90">
        <f t="shared" si="4"/>
        <v>0</v>
      </c>
      <c r="H28" s="91">
        <f>H26*H27</f>
        <v>0</v>
      </c>
      <c r="I28" s="96"/>
      <c r="J28" s="79"/>
      <c r="K28" s="79"/>
      <c r="L28" s="96"/>
      <c r="M28" s="96"/>
      <c r="N28" s="96"/>
      <c r="O28" s="96"/>
    </row>
    <row r="29" spans="3:15" ht="11.25" customHeight="1">
      <c r="C29" s="95"/>
      <c r="D29" s="97"/>
      <c r="E29" s="97"/>
      <c r="F29" s="97"/>
      <c r="G29" s="97"/>
      <c r="H29" s="97"/>
      <c r="I29" s="96"/>
      <c r="J29" s="79"/>
      <c r="K29" s="79"/>
      <c r="L29" s="96"/>
      <c r="M29" s="96"/>
      <c r="N29" s="96"/>
      <c r="O29" s="96"/>
    </row>
    <row r="30" spans="3:15" ht="11.25" customHeight="1">
      <c r="C30" s="110" t="s">
        <v>22</v>
      </c>
      <c r="D30" s="120"/>
      <c r="E30" s="95"/>
      <c r="F30" s="95"/>
      <c r="G30" s="95"/>
      <c r="H30" s="95"/>
      <c r="I30" s="96"/>
      <c r="J30" s="79"/>
      <c r="K30" s="79"/>
      <c r="L30" s="96"/>
      <c r="M30" s="96"/>
      <c r="N30" s="96"/>
      <c r="O30" s="96"/>
    </row>
    <row r="31" spans="3:15" ht="11.25" customHeight="1">
      <c r="C31" s="112" t="s">
        <v>23</v>
      </c>
      <c r="D31" s="101">
        <f>SUM(D20:H20)-SUM(D28:H28)</f>
        <v>369.18183499015839</v>
      </c>
      <c r="E31" s="95"/>
      <c r="F31" s="95"/>
      <c r="G31" s="95"/>
      <c r="H31" s="95"/>
      <c r="I31" s="96"/>
      <c r="J31" s="79"/>
      <c r="K31" s="79"/>
      <c r="L31" s="96"/>
      <c r="M31" s="96"/>
      <c r="N31" s="96"/>
      <c r="O31" s="96"/>
    </row>
    <row r="32" spans="3:15" ht="11.25" customHeight="1">
      <c r="C32" s="112" t="s">
        <v>24</v>
      </c>
      <c r="D32" s="100">
        <v>0.3</v>
      </c>
      <c r="E32" s="95"/>
      <c r="F32" s="95"/>
      <c r="G32" s="95"/>
      <c r="H32" s="95"/>
      <c r="I32" s="96"/>
      <c r="J32" s="79"/>
      <c r="K32" s="79"/>
      <c r="L32" s="96"/>
      <c r="M32" s="96"/>
      <c r="N32" s="96"/>
      <c r="O32" s="96"/>
    </row>
    <row r="33" spans="1:14235" ht="11.25" customHeight="1">
      <c r="C33" s="112" t="s">
        <v>25</v>
      </c>
      <c r="D33" s="101">
        <f>(1-D32)*D31</f>
        <v>258.42728449311085</v>
      </c>
      <c r="E33" s="95"/>
      <c r="F33" s="95"/>
      <c r="G33" s="95"/>
      <c r="H33" s="95"/>
      <c r="I33" s="96"/>
      <c r="J33" s="79"/>
      <c r="K33" s="79"/>
      <c r="L33" s="96"/>
      <c r="M33" s="96"/>
      <c r="N33" s="96"/>
      <c r="O33" s="96"/>
    </row>
    <row r="34" spans="1:14235" ht="11.25" customHeight="1">
      <c r="C34" s="112" t="s">
        <v>26</v>
      </c>
      <c r="D34" s="101">
        <f>D32*D31</f>
        <v>110.75455049704752</v>
      </c>
      <c r="E34" s="95"/>
      <c r="F34" s="95"/>
      <c r="G34" s="95"/>
      <c r="H34" s="95"/>
      <c r="I34" s="96"/>
      <c r="J34" s="79"/>
      <c r="K34" s="79"/>
      <c r="L34" s="96"/>
      <c r="M34" s="96"/>
      <c r="N34" s="96"/>
      <c r="O34" s="96"/>
    </row>
    <row r="35" spans="1:14235" ht="11.25" customHeight="1">
      <c r="C35" s="112" t="s">
        <v>27</v>
      </c>
      <c r="D35" s="101">
        <f>SUM(D21:H21)</f>
        <v>20.086578721548527</v>
      </c>
      <c r="E35" s="95"/>
      <c r="F35" s="95"/>
      <c r="G35" s="95"/>
      <c r="H35" s="95"/>
      <c r="I35" s="96"/>
      <c r="J35" s="79"/>
      <c r="K35" s="79"/>
      <c r="L35" s="96"/>
      <c r="M35" s="96"/>
      <c r="N35" s="96"/>
      <c r="O35" s="96"/>
    </row>
    <row r="36" spans="1:14235" ht="11.25" customHeight="1">
      <c r="C36" s="113" t="s">
        <v>28</v>
      </c>
      <c r="D36" s="102">
        <f>D34-D35</f>
        <v>90.667971775498984</v>
      </c>
      <c r="E36" s="95"/>
      <c r="F36" s="95"/>
      <c r="G36" s="95"/>
      <c r="H36" s="95"/>
      <c r="I36" s="96"/>
      <c r="J36" s="79"/>
      <c r="K36" s="79"/>
      <c r="L36" s="96"/>
      <c r="M36" s="96"/>
      <c r="N36" s="96"/>
      <c r="O36" s="96"/>
    </row>
    <row r="37" spans="1:14235" ht="11.25" customHeight="1">
      <c r="D37" s="25"/>
      <c r="J37" s="2"/>
    </row>
    <row r="38" spans="1:14235" s="8" customFormat="1" ht="12" customHeight="1">
      <c r="B38" s="29" t="s">
        <v>45</v>
      </c>
      <c r="J38" s="23"/>
      <c r="K38" s="23"/>
    </row>
    <row r="39" spans="1:14235" s="26" customFormat="1" ht="11.25" customHeight="1">
      <c r="E39" s="27"/>
      <c r="F39" s="27"/>
      <c r="G39" s="27"/>
      <c r="H39" s="28"/>
      <c r="I39" s="27"/>
    </row>
    <row r="40" spans="1:14235" s="30" customFormat="1" ht="11.25" customHeight="1">
      <c r="C40" s="92"/>
      <c r="D40" s="185" t="str">
        <f>'Input | General'!D18</f>
        <v>2020-21</v>
      </c>
      <c r="E40" s="185" t="str">
        <f>'Input | General'!E18</f>
        <v>2021–22</v>
      </c>
      <c r="F40" s="185" t="str">
        <f>'Input | General'!F18</f>
        <v>2022–23</v>
      </c>
      <c r="G40" s="185" t="str">
        <f>'Input | General'!G18</f>
        <v>2023–24</v>
      </c>
      <c r="H40" s="185" t="str">
        <f>'Input | General'!H18</f>
        <v>2024–25</v>
      </c>
      <c r="I40" s="93"/>
      <c r="J40" s="93"/>
      <c r="K40" s="93"/>
      <c r="L40" s="93"/>
      <c r="M40" s="93"/>
      <c r="N40" s="93"/>
      <c r="O40" s="93"/>
    </row>
    <row r="41" spans="1:14235" s="30" customFormat="1" ht="11.25" customHeight="1">
      <c r="C41" s="99" t="s">
        <v>98</v>
      </c>
      <c r="D41" s="173">
        <f>1/(1+'Input | Inflation and Disc Rate'!L21)</f>
        <v>0.9779942343719159</v>
      </c>
      <c r="E41" s="173">
        <f>D41/(1+'Input | Inflation and Disc Rate'!M21)</f>
        <v>0.95768768164875095</v>
      </c>
      <c r="F41" s="173">
        <f>E41/(1+'Input | Inflation and Disc Rate'!N21)</f>
        <v>0.93899552217417714</v>
      </c>
      <c r="G41" s="173">
        <f>F41/(1+'Input | Inflation and Disc Rate'!O21)</f>
        <v>0.92184065361130541</v>
      </c>
      <c r="H41" s="174">
        <f>G41/(1+'Input | Inflation and Disc Rate'!P21)</f>
        <v>0.90615316635718957</v>
      </c>
      <c r="I41" s="93"/>
      <c r="J41" s="93"/>
      <c r="K41" s="93"/>
      <c r="L41" s="93"/>
      <c r="M41" s="93"/>
      <c r="N41" s="93"/>
      <c r="O41" s="93"/>
    </row>
    <row r="42" spans="1:14235" s="30" customFormat="1" ht="11.25" customHeight="1">
      <c r="C42" s="191" t="str">
        <f>CONCATENATE("CESS Payment Per Year ($", 'Output | Models'!$F$8," million)")</f>
        <v>CESS Payment Per Year ($2019–20 million)</v>
      </c>
      <c r="D42" s="109">
        <f>D36/(SUM(D41:H41))</f>
        <v>19.280099925783457</v>
      </c>
      <c r="E42" s="109">
        <f>D42</f>
        <v>19.280099925783457</v>
      </c>
      <c r="F42" s="109">
        <f t="shared" ref="F42:H42" si="5">E42</f>
        <v>19.280099925783457</v>
      </c>
      <c r="G42" s="109">
        <f t="shared" si="5"/>
        <v>19.280099925783457</v>
      </c>
      <c r="H42" s="147">
        <f t="shared" si="5"/>
        <v>19.280099925783457</v>
      </c>
      <c r="I42" s="93"/>
      <c r="J42" s="93"/>
      <c r="K42" s="93"/>
      <c r="L42" s="93"/>
      <c r="M42" s="93"/>
      <c r="N42" s="93"/>
      <c r="O42" s="93"/>
    </row>
    <row r="43" spans="1:14235" s="79" customFormat="1" ht="11.25" customHeight="1"/>
    <row r="44" spans="1:14235" s="30" customFormat="1" ht="11.25" customHeight="1">
      <c r="C44" s="191" t="str">
        <f>CONCATENATE("Total CESS Payment ($", 'Output | Models'!$F$8," million)")</f>
        <v>Total CESS Payment ($2019–20 million)</v>
      </c>
      <c r="D44" s="156">
        <f>SUM(D42:H42)</f>
        <v>96.400499628917288</v>
      </c>
      <c r="E44" s="70"/>
      <c r="F44" s="70"/>
      <c r="G44" s="70"/>
      <c r="H44" s="70"/>
      <c r="I44" s="93"/>
      <c r="J44" s="93"/>
      <c r="K44" s="93"/>
      <c r="L44" s="93"/>
      <c r="M44" s="93"/>
      <c r="N44" s="93"/>
      <c r="O44" s="93"/>
    </row>
    <row r="45" spans="1:14235" s="30" customFormat="1" ht="11.25" customHeight="1">
      <c r="C45" s="69"/>
      <c r="D45" s="98"/>
      <c r="E45" s="70"/>
      <c r="F45" s="70"/>
      <c r="G45" s="70"/>
      <c r="H45" s="70"/>
      <c r="I45" s="93"/>
      <c r="J45" s="93"/>
      <c r="K45" s="93"/>
      <c r="L45" s="93"/>
      <c r="M45" s="93"/>
      <c r="N45" s="93"/>
      <c r="O45" s="93"/>
    </row>
    <row r="46" spans="1:14235" s="30" customFormat="1" ht="11.25" customHeight="1"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4235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</row>
    <row r="48" spans="1:14235" ht="18" customHeight="1">
      <c r="C48" s="2"/>
      <c r="J48" s="2"/>
    </row>
    <row r="49" ht="18" customHeight="1"/>
    <row r="50" ht="18" customHeight="1"/>
    <row r="51" ht="18" customHeight="1"/>
    <row r="52" ht="18" customHeight="1"/>
    <row r="53" ht="18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zoomScaleNormal="100"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Energex 2021-25 Revised Regulatory Proposal - Capital expenditure sharing scheme model</v>
      </c>
      <c r="C1" s="35"/>
      <c r="D1" s="35"/>
      <c r="E1" s="35"/>
      <c r="F1" s="36"/>
      <c r="G1" s="36"/>
      <c r="H1" s="36"/>
      <c r="I1" s="36"/>
      <c r="J1" s="104"/>
      <c r="K1" s="105" t="s">
        <v>47</v>
      </c>
      <c r="L1" s="158" t="s">
        <v>48</v>
      </c>
      <c r="M1" s="163" t="s">
        <v>36</v>
      </c>
      <c r="R1" s="106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03"/>
      <c r="K3" s="203"/>
      <c r="L3" s="203"/>
      <c r="M3" s="42"/>
      <c r="N3" s="203"/>
      <c r="O3" s="203"/>
      <c r="P3" s="203"/>
      <c r="Q3" s="203"/>
      <c r="R3" s="203"/>
      <c r="S3" s="203"/>
      <c r="T3" s="203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6" t="str">
        <f>'Calc | CESS Revenue Increments'!D40</f>
        <v>2020-21</v>
      </c>
      <c r="K6" s="186" t="str">
        <f>'Calc | CESS Revenue Increments'!E40</f>
        <v>2021–22</v>
      </c>
      <c r="L6" s="186" t="str">
        <f>'Calc | CESS Revenue Increments'!F40</f>
        <v>2022–23</v>
      </c>
      <c r="M6" s="186" t="str">
        <f>'Calc | CESS Revenue Increments'!G40</f>
        <v>2023–24</v>
      </c>
      <c r="N6" s="186" t="str">
        <f>'Calc | CESS Revenue Increments'!H40</f>
        <v>2024–25</v>
      </c>
      <c r="O6" s="56" t="s">
        <v>86</v>
      </c>
      <c r="P6" s="134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88" t="s">
        <v>58</v>
      </c>
      <c r="E8" s="52" t="s">
        <v>50</v>
      </c>
      <c r="F8" s="187" t="str">
        <f>IF(LEN(J6)&gt;4,CONCATENATE(LEFT(J6,4)-1&amp;"–"&amp;IF(RIGHT(J6,2)="00","99",IF(RIGHT(J6,2)-1&lt;10,"0","")&amp;RIGHT(J6,2)-1)),J6-1)</f>
        <v>2019–20</v>
      </c>
      <c r="H8" s="55"/>
      <c r="I8" s="55"/>
      <c r="J8" s="131">
        <f>'Calc | CESS Revenue Increments'!D42</f>
        <v>19.280099925783457</v>
      </c>
      <c r="K8" s="131">
        <f>'Calc | CESS Revenue Increments'!E42</f>
        <v>19.280099925783457</v>
      </c>
      <c r="L8" s="131">
        <f>'Calc | CESS Revenue Increments'!F42</f>
        <v>19.280099925783457</v>
      </c>
      <c r="M8" s="131">
        <f>'Calc | CESS Revenue Increments'!G42</f>
        <v>19.280099925783457</v>
      </c>
      <c r="N8" s="131">
        <f>'Calc | CESS Revenue Increments'!H42</f>
        <v>19.280099925783457</v>
      </c>
      <c r="O8" s="60">
        <f>SUM(J8:N8)</f>
        <v>96.400499628917288</v>
      </c>
      <c r="P8" s="135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2"/>
      <c r="K10" s="132"/>
      <c r="L10" s="132"/>
      <c r="M10" s="132"/>
      <c r="N10" s="132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9BADB7961D94AA479786BE745AB6B" ma:contentTypeVersion="5" ma:contentTypeDescription="Create a new document." ma:contentTypeScope="" ma:versionID="cd2ee2c1adfa42f862662ca3fdc1150d">
  <xsd:schema xmlns:xsd="http://www.w3.org/2001/XMLSchema" xmlns:xs="http://www.w3.org/2001/XMLSchema" xmlns:p="http://schemas.microsoft.com/office/2006/metadata/properties" xmlns:ns2="65930c9a-4307-4bf5-9068-61a0eebb0c4e" targetNamespace="http://schemas.microsoft.com/office/2006/metadata/properties" ma:root="true" ma:fieldsID="ebcd64067fedc2813dfb0fdf83e74e36" ns2:_="">
    <xsd:import namespace="65930c9a-4307-4bf5-9068-61a0eebb0c4e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6D8E4D-2118-488D-B6CF-547F7C9693D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5930c9a-4307-4bf5-9068-61a0eebb0c4e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9E26C2-50EB-472F-90BB-388FF7903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DC11C-59FE-4028-ABB3-5B768B68DF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EGX 9.003 Capital Expenditure Sharing Scheme (CESS) Model DEC19 PUBLIC</dc:title>
  <dc:subject/>
  <dc:creator/>
  <cp:keywords/>
  <dc:description>Energex 2020 - 2025</dc:description>
  <cp:lastModifiedBy/>
  <dcterms:created xsi:type="dcterms:W3CDTF">2019-11-27T20:40:31Z</dcterms:created>
  <dcterms:modified xsi:type="dcterms:W3CDTF">2019-12-12T02:44:29Z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_MarkAsFinal">
    <vt:bool>true</vt:bool>
  </property>
</Properties>
</file>