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defaultThemeVersion="124226"/>
  <bookViews>
    <workbookView xWindow="28905" yWindow="-16800" windowWidth="45930" windowHeight="15990" tabRatio="500"/>
  </bookViews>
  <sheets>
    <sheet name="Cover" sheetId="23" r:id="rId1"/>
    <sheet name="Required Inputs" sheetId="21" r:id="rId2"/>
    <sheet name="Model Notes" sheetId="20" r:id="rId3"/>
    <sheet name="Version Control" sheetId="22" r:id="rId4"/>
    <sheet name="Inputs - network configuration" sheetId="15" r:id="rId5"/>
    <sheet name="Inputs - tariff class" sheetId="18" r:id="rId6"/>
    <sheet name="Standard estimates" sheetId="6" r:id="rId7"/>
    <sheet name="Calcs - LRIC - Asset costs" sheetId="5" r:id="rId8"/>
    <sheet name="Calcs - LRIC - $kW by voltage" sheetId="11" r:id="rId9"/>
    <sheet name="Calcs - Ergon TC" sheetId="17" r:id="rId10"/>
  </sheets>
  <externalReferences>
    <externalReference r:id="rId11"/>
    <externalReference r:id="rId12"/>
  </externalReferences>
  <definedNames>
    <definedName name="_xlnm.Print_Area" localSheetId="6">'Standard estimates'!$D$7:$I$24</definedName>
    <definedName name="std_est">'Standard estimates'!$C$7:$O$27</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B38" i="5" l="1"/>
  <c r="AB35" i="5"/>
  <c r="AB32" i="5"/>
  <c r="AB29" i="5"/>
  <c r="AB24" i="5"/>
  <c r="AB26" i="5"/>
  <c r="AB23" i="5"/>
  <c r="E1" i="15"/>
  <c r="F1" i="15"/>
  <c r="G1" i="15"/>
  <c r="H1" i="15"/>
  <c r="I1" i="15" s="1"/>
  <c r="J1" i="15" s="1"/>
  <c r="K1" i="15" s="1"/>
  <c r="L1" i="15" s="1"/>
  <c r="M1" i="15" s="1"/>
  <c r="N1" i="15" s="1"/>
  <c r="O1" i="15" s="1"/>
  <c r="P1" i="15" s="1"/>
  <c r="Q1" i="15" s="1"/>
  <c r="R1" i="15" s="1"/>
  <c r="S1" i="15" s="1"/>
  <c r="T1" i="15" s="1"/>
  <c r="U1" i="15" s="1"/>
  <c r="V1" i="15" s="1"/>
  <c r="W1" i="15" s="1"/>
  <c r="X1" i="15" s="1"/>
  <c r="Y1" i="15" s="1"/>
  <c r="Z1" i="15" s="1"/>
  <c r="AA1" i="15" s="1"/>
  <c r="AB1" i="15" s="1"/>
  <c r="AC1" i="15" s="1"/>
  <c r="AD1" i="15" s="1"/>
  <c r="AE1" i="15" s="1"/>
  <c r="AF1" i="15" s="1"/>
  <c r="AG1" i="15" s="1"/>
  <c r="AH1" i="15" s="1"/>
  <c r="AI1" i="15" s="1"/>
  <c r="AJ1" i="15" s="1"/>
  <c r="AK1" i="15" s="1"/>
  <c r="AL1" i="15" s="1"/>
  <c r="AM1" i="15" s="1"/>
  <c r="AN1" i="15" s="1"/>
  <c r="AO1" i="15" s="1"/>
  <c r="AP1" i="15" s="1"/>
  <c r="AQ1" i="15" s="1"/>
  <c r="AR1" i="15" s="1"/>
  <c r="AS1" i="15" s="1"/>
  <c r="AT1" i="15" s="1"/>
  <c r="AU1" i="15" s="1"/>
  <c r="AV1" i="15" s="1"/>
  <c r="AW1" i="15" s="1"/>
  <c r="AX1" i="15" s="1"/>
  <c r="AY1" i="15" s="1"/>
  <c r="D1" i="15"/>
  <c r="D26" i="18" l="1"/>
  <c r="BM47" i="5"/>
  <c r="BL47" i="5"/>
  <c r="BM46" i="5"/>
  <c r="BL46" i="5"/>
  <c r="BN45" i="5"/>
  <c r="BM45" i="5"/>
  <c r="BN44" i="5"/>
  <c r="BM44" i="5"/>
  <c r="BL44" i="5"/>
  <c r="BN43" i="5"/>
  <c r="BM43" i="5"/>
  <c r="BN42" i="5"/>
  <c r="BL42" i="5"/>
  <c r="BN41" i="5"/>
  <c r="BM41" i="5"/>
  <c r="BN40" i="5"/>
  <c r="BM40" i="5"/>
  <c r="BN39" i="5"/>
  <c r="BL39" i="5"/>
  <c r="AR47" i="5"/>
  <c r="AQ47" i="5"/>
  <c r="AP47" i="5"/>
  <c r="AO47" i="5"/>
  <c r="AN47" i="5"/>
  <c r="AM47" i="5"/>
  <c r="AL47" i="5"/>
  <c r="AR46" i="5"/>
  <c r="AQ46" i="5"/>
  <c r="AP46" i="5"/>
  <c r="AO46" i="5"/>
  <c r="AN46" i="5"/>
  <c r="AM46" i="5"/>
  <c r="AL46" i="5"/>
  <c r="AS45" i="5"/>
  <c r="AR45" i="5"/>
  <c r="AP45" i="5"/>
  <c r="AO45" i="5"/>
  <c r="AN45" i="5"/>
  <c r="AM45" i="5"/>
  <c r="AL45" i="5"/>
  <c r="AS44" i="5"/>
  <c r="AR44" i="5"/>
  <c r="AP44" i="5"/>
  <c r="AO44" i="5"/>
  <c r="AN44" i="5"/>
  <c r="AM44" i="5"/>
  <c r="AL44" i="5"/>
  <c r="AS43" i="5"/>
  <c r="AR43" i="5"/>
  <c r="AP43" i="5"/>
  <c r="AO43" i="5"/>
  <c r="AN43" i="5"/>
  <c r="AM43" i="5"/>
  <c r="AL43" i="5"/>
  <c r="AS42" i="5"/>
  <c r="AQ42" i="5"/>
  <c r="AP42" i="5"/>
  <c r="AO42" i="5"/>
  <c r="AN42" i="5"/>
  <c r="AM42" i="5"/>
  <c r="AL42" i="5"/>
  <c r="AR41" i="5"/>
  <c r="AQ41" i="5"/>
  <c r="AP41" i="5"/>
  <c r="AO41" i="5"/>
  <c r="AN41" i="5"/>
  <c r="AM41" i="5"/>
  <c r="AL41" i="5"/>
  <c r="AS40" i="5"/>
  <c r="AR40" i="5"/>
  <c r="AP40" i="5"/>
  <c r="AO40" i="5"/>
  <c r="AN40" i="5"/>
  <c r="AM40" i="5"/>
  <c r="AL40" i="5"/>
  <c r="AS39" i="5"/>
  <c r="AQ39" i="5"/>
  <c r="AP39" i="5"/>
  <c r="AO39" i="5"/>
  <c r="AN39" i="5"/>
  <c r="AM39" i="5"/>
  <c r="AL39" i="5"/>
  <c r="AS38" i="5"/>
  <c r="AR38" i="5"/>
  <c r="AQ38" i="5"/>
  <c r="AP38" i="5"/>
  <c r="AO38" i="5"/>
  <c r="AM38" i="5"/>
  <c r="AL38" i="5"/>
  <c r="AS37" i="5"/>
  <c r="AR37" i="5"/>
  <c r="AQ37" i="5"/>
  <c r="AP37" i="5"/>
  <c r="AN37" i="5"/>
  <c r="AM37" i="5"/>
  <c r="AL37" i="5"/>
  <c r="AS36" i="5"/>
  <c r="AR36" i="5"/>
  <c r="AQ36" i="5"/>
  <c r="AP36" i="5"/>
  <c r="AO36" i="5"/>
  <c r="AM36" i="5"/>
  <c r="AL36" i="5"/>
  <c r="AS35" i="5"/>
  <c r="AR35" i="5"/>
  <c r="AQ35" i="5"/>
  <c r="AP35" i="5"/>
  <c r="AO35" i="5"/>
  <c r="AM35" i="5"/>
  <c r="AL35" i="5"/>
  <c r="AS34" i="5"/>
  <c r="AR34" i="5"/>
  <c r="AQ34" i="5"/>
  <c r="AP34" i="5"/>
  <c r="AN34" i="5"/>
  <c r="AM34" i="5"/>
  <c r="AL34" i="5"/>
  <c r="AS33" i="5"/>
  <c r="AR33" i="5"/>
  <c r="AQ33" i="5"/>
  <c r="AP33" i="5"/>
  <c r="AO33" i="5"/>
  <c r="AN33" i="5"/>
  <c r="AM33" i="5"/>
  <c r="AS32" i="5"/>
  <c r="AR32" i="5"/>
  <c r="AQ32" i="5"/>
  <c r="AP32" i="5"/>
  <c r="AO32" i="5"/>
  <c r="AN32" i="5"/>
  <c r="AM32" i="5"/>
  <c r="AS31" i="5"/>
  <c r="AR31" i="5"/>
  <c r="AQ31" i="5"/>
  <c r="AO31" i="5"/>
  <c r="AN31" i="5"/>
  <c r="AM31" i="5"/>
  <c r="AL31" i="5"/>
  <c r="AS30" i="5"/>
  <c r="AR30" i="5"/>
  <c r="AQ30" i="5"/>
  <c r="AP30" i="5"/>
  <c r="AO30" i="5"/>
  <c r="AN30" i="5"/>
  <c r="AM30" i="5"/>
  <c r="AS29" i="5"/>
  <c r="AR29" i="5"/>
  <c r="AQ29" i="5"/>
  <c r="AP29" i="5"/>
  <c r="AO29" i="5"/>
  <c r="AN29" i="5"/>
  <c r="AM29" i="5"/>
  <c r="AS28" i="5"/>
  <c r="AR28" i="5"/>
  <c r="AQ28" i="5"/>
  <c r="AO28" i="5"/>
  <c r="AN28" i="5"/>
  <c r="AM28" i="5"/>
  <c r="AL28" i="5"/>
  <c r="AS27" i="5"/>
  <c r="AR27" i="5"/>
  <c r="AQ27" i="5"/>
  <c r="AP27" i="5"/>
  <c r="AO27" i="5"/>
  <c r="AN27" i="5"/>
  <c r="AM27" i="5"/>
  <c r="AS26" i="5"/>
  <c r="AR26" i="5"/>
  <c r="AQ26" i="5"/>
  <c r="AP26" i="5"/>
  <c r="AO26" i="5"/>
  <c r="AN26" i="5"/>
  <c r="AM26" i="5"/>
  <c r="AS25" i="5"/>
  <c r="AR25" i="5"/>
  <c r="AQ25" i="5"/>
  <c r="AP25" i="5"/>
  <c r="AO25" i="5"/>
  <c r="AN25" i="5"/>
  <c r="AL25" i="5"/>
  <c r="AS24" i="5"/>
  <c r="AR24" i="5"/>
  <c r="AQ24" i="5"/>
  <c r="AP24" i="5"/>
  <c r="AO24" i="5"/>
  <c r="AN24" i="5"/>
  <c r="AM24" i="5"/>
  <c r="AS23" i="5"/>
  <c r="AR23" i="5"/>
  <c r="AQ23" i="5"/>
  <c r="AP23" i="5"/>
  <c r="AO23" i="5"/>
  <c r="AN23" i="5"/>
  <c r="AM23" i="5"/>
  <c r="AS22" i="5"/>
  <c r="AR22" i="5"/>
  <c r="AQ22" i="5"/>
  <c r="AP22" i="5"/>
  <c r="AO22" i="5"/>
  <c r="AN22" i="5"/>
  <c r="AL22" i="5"/>
  <c r="P44" i="5"/>
  <c r="U30" i="6" l="1"/>
  <c r="BK47" i="5" l="1"/>
  <c r="BJ47" i="5"/>
  <c r="BI47" i="5"/>
  <c r="BH47" i="5"/>
  <c r="BG47" i="5"/>
  <c r="BK46" i="5"/>
  <c r="BJ46" i="5"/>
  <c r="BI46" i="5"/>
  <c r="BH46" i="5"/>
  <c r="BG46" i="5"/>
  <c r="BK45" i="5"/>
  <c r="BJ45" i="5"/>
  <c r="BI45" i="5"/>
  <c r="BH45" i="5"/>
  <c r="BG45" i="5"/>
  <c r="BK44" i="5"/>
  <c r="BJ44" i="5"/>
  <c r="BI44" i="5"/>
  <c r="BH44" i="5"/>
  <c r="BG44" i="5"/>
  <c r="BK43" i="5"/>
  <c r="BJ43" i="5"/>
  <c r="BI43" i="5"/>
  <c r="BH43" i="5"/>
  <c r="BG43" i="5"/>
  <c r="BK42" i="5"/>
  <c r="BJ42" i="5"/>
  <c r="BI42" i="5"/>
  <c r="BH42" i="5"/>
  <c r="BG42" i="5"/>
  <c r="BK41" i="5"/>
  <c r="BJ41" i="5"/>
  <c r="BI41" i="5"/>
  <c r="BH41" i="5"/>
  <c r="BG41" i="5"/>
  <c r="BK40" i="5"/>
  <c r="BJ40" i="5"/>
  <c r="BI40" i="5"/>
  <c r="BH40" i="5"/>
  <c r="BG40" i="5"/>
  <c r="BK39" i="5"/>
  <c r="BJ39" i="5"/>
  <c r="BI39" i="5"/>
  <c r="BH39" i="5"/>
  <c r="BG39" i="5"/>
  <c r="W47" i="5"/>
  <c r="V47" i="5"/>
  <c r="U47" i="5"/>
  <c r="T47" i="5"/>
  <c r="S47" i="5"/>
  <c r="R47" i="5"/>
  <c r="Q47" i="5"/>
  <c r="W46" i="5"/>
  <c r="V46" i="5"/>
  <c r="U46" i="5"/>
  <c r="T46" i="5"/>
  <c r="S46" i="5"/>
  <c r="R46" i="5"/>
  <c r="Q46" i="5"/>
  <c r="X45" i="5"/>
  <c r="W45" i="5"/>
  <c r="U45" i="5"/>
  <c r="T45" i="5"/>
  <c r="S45" i="5"/>
  <c r="R45" i="5"/>
  <c r="Q45" i="5"/>
  <c r="X44" i="5"/>
  <c r="W44" i="5"/>
  <c r="V44" i="5"/>
  <c r="U44" i="5"/>
  <c r="T44" i="5"/>
  <c r="S44" i="5"/>
  <c r="R44" i="5"/>
  <c r="Q44" i="5"/>
  <c r="X43" i="5"/>
  <c r="W43" i="5"/>
  <c r="U43" i="5"/>
  <c r="T43" i="5"/>
  <c r="S43" i="5"/>
  <c r="R43" i="5"/>
  <c r="Q43" i="5"/>
  <c r="X42" i="5"/>
  <c r="V42" i="5"/>
  <c r="U42" i="5"/>
  <c r="T42" i="5"/>
  <c r="S42" i="5"/>
  <c r="R42" i="5"/>
  <c r="Q42" i="5"/>
  <c r="X41" i="5"/>
  <c r="W41" i="5"/>
  <c r="U41" i="5"/>
  <c r="T41" i="5"/>
  <c r="S41" i="5"/>
  <c r="R41" i="5"/>
  <c r="Q41" i="5"/>
  <c r="X40" i="5"/>
  <c r="W40" i="5"/>
  <c r="U40" i="5"/>
  <c r="T40" i="5"/>
  <c r="S40" i="5"/>
  <c r="R40" i="5"/>
  <c r="Q40" i="5"/>
  <c r="X39" i="5"/>
  <c r="V39" i="5"/>
  <c r="U39" i="5"/>
  <c r="T39" i="5"/>
  <c r="S39" i="5"/>
  <c r="R39" i="5"/>
  <c r="Q39" i="5"/>
  <c r="X38" i="5"/>
  <c r="W38" i="5"/>
  <c r="V38" i="5"/>
  <c r="U38" i="5"/>
  <c r="T38" i="5"/>
  <c r="R38" i="5"/>
  <c r="Q38" i="5"/>
  <c r="X37" i="5"/>
  <c r="W37" i="5"/>
  <c r="V37" i="5"/>
  <c r="U37" i="5"/>
  <c r="S37" i="5"/>
  <c r="R37" i="5"/>
  <c r="Q37" i="5"/>
  <c r="X36" i="5"/>
  <c r="W36" i="5"/>
  <c r="V36" i="5"/>
  <c r="U36" i="5"/>
  <c r="T36" i="5"/>
  <c r="R36" i="5"/>
  <c r="Q36" i="5"/>
  <c r="X35" i="5"/>
  <c r="W35" i="5"/>
  <c r="V35" i="5"/>
  <c r="U35" i="5"/>
  <c r="T35" i="5"/>
  <c r="R35" i="5"/>
  <c r="Q35" i="5"/>
  <c r="X34" i="5"/>
  <c r="W34" i="5"/>
  <c r="V34" i="5"/>
  <c r="U34" i="5"/>
  <c r="S34" i="5"/>
  <c r="R34" i="5"/>
  <c r="Q34" i="5"/>
  <c r="X33" i="5"/>
  <c r="W33" i="5"/>
  <c r="V33" i="5"/>
  <c r="U33" i="5"/>
  <c r="T33" i="5"/>
  <c r="S33" i="5"/>
  <c r="R33" i="5"/>
  <c r="X32" i="5"/>
  <c r="W32" i="5"/>
  <c r="V32" i="5"/>
  <c r="U32" i="5"/>
  <c r="T32" i="5"/>
  <c r="S32" i="5"/>
  <c r="R32" i="5"/>
  <c r="X31" i="5"/>
  <c r="W31" i="5"/>
  <c r="V31" i="5"/>
  <c r="T31" i="5"/>
  <c r="S31" i="5"/>
  <c r="R31" i="5"/>
  <c r="Q31" i="5"/>
  <c r="X30" i="5"/>
  <c r="W30" i="5"/>
  <c r="V30" i="5"/>
  <c r="U30" i="5"/>
  <c r="T30" i="5"/>
  <c r="S30" i="5"/>
  <c r="R30" i="5"/>
  <c r="X29" i="5"/>
  <c r="W29" i="5"/>
  <c r="V29" i="5"/>
  <c r="U29" i="5"/>
  <c r="T29" i="5"/>
  <c r="S29" i="5"/>
  <c r="R29" i="5"/>
  <c r="X28" i="5"/>
  <c r="W28" i="5"/>
  <c r="V28" i="5"/>
  <c r="T28" i="5"/>
  <c r="S28" i="5"/>
  <c r="R28" i="5"/>
  <c r="Q28" i="5"/>
  <c r="X27" i="5"/>
  <c r="W27" i="5"/>
  <c r="V27" i="5"/>
  <c r="U27" i="5"/>
  <c r="T27" i="5"/>
  <c r="S27" i="5"/>
  <c r="R27" i="5"/>
  <c r="X26" i="5"/>
  <c r="W26" i="5"/>
  <c r="V26" i="5"/>
  <c r="U26" i="5"/>
  <c r="T26" i="5"/>
  <c r="S26" i="5"/>
  <c r="R26" i="5"/>
  <c r="X25" i="5"/>
  <c r="W25" i="5"/>
  <c r="V25" i="5"/>
  <c r="U25" i="5"/>
  <c r="T25" i="5"/>
  <c r="S25" i="5"/>
  <c r="Q25" i="5"/>
  <c r="X24" i="5"/>
  <c r="W24" i="5"/>
  <c r="V24" i="5"/>
  <c r="U24" i="5"/>
  <c r="T24" i="5"/>
  <c r="S24" i="5"/>
  <c r="R24" i="5"/>
  <c r="X23" i="5"/>
  <c r="W23" i="5"/>
  <c r="V23" i="5"/>
  <c r="U23" i="5"/>
  <c r="T23" i="5"/>
  <c r="S23" i="5"/>
  <c r="R23" i="5"/>
  <c r="X22" i="5"/>
  <c r="W22" i="5"/>
  <c r="V22" i="5"/>
  <c r="U22" i="5"/>
  <c r="T22" i="5"/>
  <c r="S22" i="5"/>
  <c r="Q22" i="5"/>
  <c r="O8" i="6"/>
  <c r="O9" i="6"/>
  <c r="O10" i="6"/>
  <c r="O11" i="6"/>
  <c r="O12" i="6"/>
  <c r="O7" i="6"/>
  <c r="O13" i="6"/>
  <c r="O14" i="6"/>
  <c r="O15" i="6"/>
  <c r="O17" i="6"/>
  <c r="O16" i="6"/>
  <c r="O18" i="6"/>
  <c r="O19" i="6"/>
  <c r="O20" i="6"/>
  <c r="O21" i="6"/>
  <c r="O22" i="6"/>
  <c r="O23" i="6"/>
  <c r="O24" i="6"/>
  <c r="O25" i="6"/>
  <c r="O26" i="6"/>
  <c r="O27" i="6"/>
  <c r="H6" i="6" l="1"/>
  <c r="H9" i="6" s="1"/>
  <c r="I9" i="6" s="1"/>
  <c r="F27" i="6"/>
  <c r="F25" i="6"/>
  <c r="H7" i="6" l="1"/>
  <c r="I7" i="6" s="1"/>
  <c r="H26" i="6"/>
  <c r="H15" i="6"/>
  <c r="I15" i="6" s="1"/>
  <c r="H12" i="6"/>
  <c r="I12" i="6" s="1"/>
  <c r="H23" i="6"/>
  <c r="I23" i="6" s="1"/>
  <c r="H18" i="6"/>
  <c r="I18" i="6" s="1"/>
  <c r="H20" i="6"/>
  <c r="I20" i="6" s="1"/>
  <c r="H10" i="6"/>
  <c r="I10" i="6" s="1"/>
  <c r="H27" i="6"/>
  <c r="I27" i="6" s="1"/>
  <c r="H22" i="6"/>
  <c r="I22" i="6" s="1"/>
  <c r="H16" i="6"/>
  <c r="I16" i="6" s="1"/>
  <c r="H11" i="6"/>
  <c r="I11" i="6" s="1"/>
  <c r="H24" i="6"/>
  <c r="I24" i="6" s="1"/>
  <c r="H19" i="6"/>
  <c r="I19" i="6" s="1"/>
  <c r="H14" i="6"/>
  <c r="I14" i="6" s="1"/>
  <c r="H8" i="6"/>
  <c r="I8" i="6" s="1"/>
  <c r="H25" i="6"/>
  <c r="I25" i="6" s="1"/>
  <c r="H21" i="6"/>
  <c r="I21" i="6" s="1"/>
  <c r="H17" i="6"/>
  <c r="I17" i="6" s="1"/>
  <c r="H13" i="6"/>
  <c r="I13" i="6" s="1"/>
  <c r="I34" i="6" l="1"/>
  <c r="J9" i="6"/>
  <c r="L9" i="6" s="1"/>
  <c r="L8" i="6"/>
  <c r="L10" i="6"/>
  <c r="L11" i="6"/>
  <c r="L12" i="6"/>
  <c r="L7" i="6"/>
  <c r="U32" i="6" l="1"/>
  <c r="U36" i="6" s="1"/>
  <c r="T37" i="6"/>
  <c r="T38" i="6"/>
  <c r="T36" i="6"/>
  <c r="S37" i="6"/>
  <c r="S38" i="6"/>
  <c r="S36" i="6"/>
  <c r="L26" i="6"/>
  <c r="L22" i="6"/>
  <c r="L21" i="6"/>
  <c r="AB44" i="5"/>
  <c r="U37" i="6" l="1"/>
  <c r="U38" i="6"/>
  <c r="U39" i="6" l="1"/>
  <c r="F26" i="6" s="1"/>
  <c r="I26" i="6" l="1"/>
  <c r="Z67" i="15"/>
  <c r="AW45" i="5" l="1"/>
  <c r="AW43" i="5"/>
  <c r="AW41" i="5"/>
  <c r="AW40" i="5"/>
  <c r="AB43" i="5"/>
  <c r="AB41" i="5"/>
  <c r="AB40" i="5"/>
  <c r="AB45" i="5"/>
  <c r="Z31" i="15"/>
  <c r="AC59" i="15"/>
  <c r="AB59" i="15"/>
  <c r="AB58" i="15"/>
  <c r="AB57" i="15"/>
  <c r="G45" i="5"/>
  <c r="G41" i="5"/>
  <c r="G43" i="5"/>
  <c r="G40" i="5"/>
  <c r="H59" i="15"/>
  <c r="H58" i="15"/>
  <c r="H57" i="15"/>
  <c r="H56" i="15"/>
  <c r="H55" i="15"/>
  <c r="H54" i="15"/>
  <c r="G59" i="15"/>
  <c r="G58" i="15"/>
  <c r="G57" i="15"/>
  <c r="G55" i="15"/>
  <c r="G56" i="17" l="1"/>
  <c r="G55" i="17"/>
  <c r="G54" i="17"/>
  <c r="G53" i="17"/>
  <c r="G52" i="17"/>
  <c r="G51" i="17"/>
  <c r="G41" i="17"/>
  <c r="D31" i="15" l="1"/>
  <c r="G54" i="15" l="1"/>
  <c r="G56" i="15"/>
  <c r="P61" i="6"/>
  <c r="P60" i="6"/>
  <c r="G64" i="17" l="1"/>
  <c r="G44" i="17" l="1"/>
  <c r="G65" i="17" s="1"/>
  <c r="G43" i="17"/>
  <c r="G42" i="17"/>
  <c r="G40" i="17"/>
  <c r="G63" i="17" s="1"/>
  <c r="G39" i="17"/>
  <c r="Y33" i="18" l="1"/>
  <c r="Y34" i="18"/>
  <c r="AF15" i="18"/>
  <c r="Y37" i="18" s="1"/>
  <c r="AF10" i="18"/>
  <c r="I20" i="11"/>
  <c r="BB14" i="18"/>
  <c r="BO11" i="18"/>
  <c r="BB9" i="18" l="1"/>
  <c r="BB13" i="18"/>
  <c r="AE37" i="18"/>
  <c r="AB37" i="18"/>
  <c r="AC37" i="18"/>
  <c r="Z37" i="18"/>
  <c r="AD37" i="18"/>
  <c r="AA37" i="18"/>
  <c r="BB11" i="18"/>
  <c r="BB15" i="18"/>
  <c r="BB8" i="18"/>
  <c r="BB12" i="18"/>
  <c r="BB16" i="18"/>
  <c r="BB10" i="18"/>
  <c r="AW73" i="18"/>
  <c r="AV73" i="18"/>
  <c r="AU73" i="18"/>
  <c r="BA16" i="18"/>
  <c r="BA15" i="18" l="1"/>
  <c r="BA14" i="18"/>
  <c r="BA13" i="18"/>
  <c r="BA12" i="18"/>
  <c r="BA11" i="18"/>
  <c r="BA10" i="18"/>
  <c r="BA9" i="18"/>
  <c r="BA8" i="18"/>
  <c r="AW18" i="18"/>
  <c r="AW17" i="18"/>
  <c r="AA18" i="18"/>
  <c r="AA17" i="18"/>
  <c r="AA16" i="18"/>
  <c r="S54" i="17" s="1"/>
  <c r="AA14" i="18"/>
  <c r="AA13" i="18"/>
  <c r="AA12" i="18"/>
  <c r="AA10" i="18"/>
  <c r="S53" i="17" s="1"/>
  <c r="AA9" i="18"/>
  <c r="S52" i="17" s="1"/>
  <c r="AA8" i="18"/>
  <c r="S51" i="17" s="1"/>
  <c r="AF13" i="18"/>
  <c r="AF14" i="18"/>
  <c r="Z34" i="18"/>
  <c r="AF9" i="18"/>
  <c r="AF8" i="18"/>
  <c r="Q51" i="17" s="1"/>
  <c r="AB18" i="18"/>
  <c r="AB17" i="18"/>
  <c r="AB16" i="18"/>
  <c r="AB10" i="18"/>
  <c r="AB14" i="18" s="1"/>
  <c r="AB9" i="18"/>
  <c r="AB13" i="18" s="1"/>
  <c r="AB8" i="18"/>
  <c r="AB12" i="18" s="1"/>
  <c r="D68" i="18"/>
  <c r="BT8" i="18"/>
  <c r="K15" i="18"/>
  <c r="K14" i="18"/>
  <c r="K13" i="18"/>
  <c r="K12" i="18"/>
  <c r="K11" i="18"/>
  <c r="K10" i="18"/>
  <c r="E53" i="17" s="1"/>
  <c r="K9" i="18"/>
  <c r="E52" i="17" s="1"/>
  <c r="K8" i="18"/>
  <c r="G9" i="18"/>
  <c r="G13" i="18" s="1"/>
  <c r="G10" i="18"/>
  <c r="G14" i="18" s="1"/>
  <c r="G11" i="18"/>
  <c r="G17" i="18"/>
  <c r="G18" i="18"/>
  <c r="G8" i="18"/>
  <c r="G12" i="18" s="1"/>
  <c r="Y35" i="18" l="1"/>
  <c r="Z35" i="18" s="1"/>
  <c r="Q52" i="17"/>
  <c r="Q63" i="17" s="1"/>
  <c r="D61" i="18"/>
  <c r="E51" i="17"/>
  <c r="E63" i="17" s="1"/>
  <c r="Y36" i="18"/>
  <c r="Z36" i="18" s="1"/>
  <c r="Q53" i="17"/>
  <c r="AV17" i="18"/>
  <c r="AE55" i="17" s="1"/>
  <c r="S55" i="17"/>
  <c r="AV18" i="18"/>
  <c r="AE56" i="17" s="1"/>
  <c r="S56" i="17"/>
  <c r="D36" i="18"/>
  <c r="H36" i="18" s="1"/>
  <c r="BP14" i="18"/>
  <c r="D37" i="18"/>
  <c r="G37" i="18" s="1"/>
  <c r="BP15" i="18"/>
  <c r="Y32" i="18"/>
  <c r="AC32" i="18" s="1"/>
  <c r="D32" i="18"/>
  <c r="G32" i="18" s="1"/>
  <c r="BP10" i="18"/>
  <c r="D33" i="18"/>
  <c r="J33" i="18" s="1"/>
  <c r="BP11" i="18"/>
  <c r="D64" i="18"/>
  <c r="D30" i="18"/>
  <c r="E30" i="18" s="1"/>
  <c r="BP8" i="18"/>
  <c r="D34" i="18"/>
  <c r="E34" i="18" s="1"/>
  <c r="BP12" i="18"/>
  <c r="D65" i="18"/>
  <c r="D63" i="18"/>
  <c r="Y31" i="18"/>
  <c r="Z31" i="18" s="1"/>
  <c r="D62" i="18"/>
  <c r="BP9" i="18"/>
  <c r="D66" i="18"/>
  <c r="BP13" i="18"/>
  <c r="D67" i="18"/>
  <c r="Y30" i="18"/>
  <c r="Z30" i="18" s="1"/>
  <c r="AA31" i="18"/>
  <c r="AB31" i="18" s="1"/>
  <c r="AA35" i="18"/>
  <c r="AB35" i="18"/>
  <c r="D35" i="18"/>
  <c r="D31" i="18"/>
  <c r="F36" i="18"/>
  <c r="I32" i="18"/>
  <c r="E63" i="18" s="1"/>
  <c r="G15" i="18"/>
  <c r="G16" i="18"/>
  <c r="I36" i="18" l="1"/>
  <c r="G36" i="18"/>
  <c r="Z32" i="18"/>
  <c r="E36" i="18"/>
  <c r="AA32" i="18"/>
  <c r="AD36" i="18"/>
  <c r="AC36" i="18"/>
  <c r="AB36" i="18"/>
  <c r="AA36" i="18"/>
  <c r="AB32" i="18"/>
  <c r="AD32" i="18"/>
  <c r="E33" i="18"/>
  <c r="H33" i="18"/>
  <c r="G64" i="18" s="1"/>
  <c r="F33" i="18"/>
  <c r="F64" i="18" s="1"/>
  <c r="G33" i="18"/>
  <c r="I33" i="18"/>
  <c r="E64" i="18" s="1"/>
  <c r="J37" i="18"/>
  <c r="I37" i="18"/>
  <c r="E35" i="18"/>
  <c r="H32" i="18"/>
  <c r="E32" i="18"/>
  <c r="F37" i="18"/>
  <c r="E37" i="18"/>
  <c r="H37" i="18"/>
  <c r="F35" i="18"/>
  <c r="G35" i="18" s="1"/>
  <c r="F32" i="18"/>
  <c r="F31" i="18"/>
  <c r="G31" i="18" s="1"/>
  <c r="E31" i="18"/>
  <c r="AX77" i="18" l="1"/>
  <c r="AW77" i="18"/>
  <c r="AV77" i="18"/>
  <c r="AU77" i="18"/>
  <c r="AT77" i="18"/>
  <c r="F36" i="15" l="1"/>
  <c r="G36" i="15"/>
  <c r="AA36" i="15"/>
  <c r="AB36" i="15"/>
  <c r="F59" i="15"/>
  <c r="AA59" i="15"/>
  <c r="AT59" i="15"/>
  <c r="AW59" i="15" s="1"/>
  <c r="AV59" i="15"/>
  <c r="AX59" i="15"/>
  <c r="S42" i="17" l="1"/>
  <c r="S44" i="17"/>
  <c r="S43" i="17"/>
  <c r="AE43" i="17" s="1"/>
  <c r="AG22" i="17"/>
  <c r="AF22" i="17"/>
  <c r="AE22" i="17"/>
  <c r="AD22" i="17"/>
  <c r="AC22" i="17"/>
  <c r="AB22" i="17"/>
  <c r="BE89" i="18"/>
  <c r="AE44" i="17" l="1"/>
  <c r="AE65" i="17" s="1"/>
  <c r="S65" i="17"/>
  <c r="S41" i="17"/>
  <c r="S64" i="17" s="1"/>
  <c r="S40" i="17"/>
  <c r="S63" i="17" s="1"/>
  <c r="S39" i="17"/>
  <c r="BZ8" i="18"/>
  <c r="CA8" i="18"/>
  <c r="BY8" i="18"/>
  <c r="Y8" i="18" l="1"/>
  <c r="AU72" i="18"/>
  <c r="CD18" i="18"/>
  <c r="CG18" i="18"/>
  <c r="CE18" i="18" s="1"/>
  <c r="BY17" i="18"/>
  <c r="BY18" i="18"/>
  <c r="CB18" i="18"/>
  <c r="CB17" i="18"/>
  <c r="BT18" i="18"/>
  <c r="BW18" i="18"/>
  <c r="E17" i="18" s="1"/>
  <c r="BW17" i="18"/>
  <c r="BU17" i="18" s="1"/>
  <c r="BT17" i="18"/>
  <c r="BY15" i="18"/>
  <c r="BZ15" i="18"/>
  <c r="CA15" i="18"/>
  <c r="BY13" i="18"/>
  <c r="BZ13" i="18"/>
  <c r="CA13" i="18"/>
  <c r="BY11" i="18"/>
  <c r="BZ11" i="18"/>
  <c r="CA11" i="18"/>
  <c r="BY9" i="18"/>
  <c r="Y12" i="18" s="1"/>
  <c r="BZ9" i="18"/>
  <c r="CA9" i="18"/>
  <c r="BY14" i="18"/>
  <c r="BZ14" i="18"/>
  <c r="CA14" i="18"/>
  <c r="BY12" i="18"/>
  <c r="BZ12" i="18"/>
  <c r="CA12" i="18"/>
  <c r="BY10" i="18"/>
  <c r="BZ10" i="18"/>
  <c r="CA10" i="18"/>
  <c r="BT16" i="18"/>
  <c r="BU16" i="18"/>
  <c r="BV16" i="18"/>
  <c r="BT15" i="18"/>
  <c r="BU15" i="18"/>
  <c r="BV15" i="18"/>
  <c r="BT14" i="18"/>
  <c r="BU14" i="18"/>
  <c r="BV14" i="18"/>
  <c r="BT13" i="18"/>
  <c r="BU13" i="18"/>
  <c r="BV13" i="18"/>
  <c r="BT11" i="18"/>
  <c r="BU11" i="18"/>
  <c r="BV11" i="18"/>
  <c r="BT9" i="18"/>
  <c r="D12" i="18" s="1"/>
  <c r="BU9" i="18"/>
  <c r="BV9" i="18"/>
  <c r="BT12" i="18"/>
  <c r="BT10" i="18"/>
  <c r="BU12" i="18"/>
  <c r="BV12" i="18"/>
  <c r="BU10" i="18"/>
  <c r="BV10" i="18"/>
  <c r="BU8" i="18"/>
  <c r="K17" i="18" l="1"/>
  <c r="CB19" i="18"/>
  <c r="D10" i="18"/>
  <c r="CK14" i="18"/>
  <c r="H10" i="18" s="1"/>
  <c r="D16" i="18"/>
  <c r="CK17" i="18"/>
  <c r="I16" i="18" s="1"/>
  <c r="Z16" i="18"/>
  <c r="AF16" i="18" s="1"/>
  <c r="Z17" i="18"/>
  <c r="AF17" i="18" s="1"/>
  <c r="AT17" i="18"/>
  <c r="CM18" i="18"/>
  <c r="AX17" i="18" s="1"/>
  <c r="AY17" i="18" s="1"/>
  <c r="D8" i="18"/>
  <c r="BP30" i="18" s="1"/>
  <c r="CK8" i="18"/>
  <c r="H8" i="18" s="1"/>
  <c r="CK11" i="18"/>
  <c r="H13" i="18" s="1"/>
  <c r="D15" i="18"/>
  <c r="BP37" i="18" s="1"/>
  <c r="CK16" i="18"/>
  <c r="H15" i="18" s="1"/>
  <c r="Y17" i="18"/>
  <c r="CK10" i="18"/>
  <c r="H9" i="18" s="1"/>
  <c r="D14" i="18"/>
  <c r="CK15" i="18"/>
  <c r="H14" i="18" s="1"/>
  <c r="Y10" i="18"/>
  <c r="BP32" i="18" s="1"/>
  <c r="Y14" i="18"/>
  <c r="Y16" i="18"/>
  <c r="D9" i="18"/>
  <c r="BP34" i="18"/>
  <c r="D13" i="18"/>
  <c r="Y13" i="18"/>
  <c r="Y9" i="18"/>
  <c r="BT19" i="18"/>
  <c r="D17" i="18"/>
  <c r="BY19" i="18"/>
  <c r="BW19" i="18"/>
  <c r="E16" i="18"/>
  <c r="AU17" i="18"/>
  <c r="BA17" i="18" s="1"/>
  <c r="BU18" i="18"/>
  <c r="CK18" i="18" s="1"/>
  <c r="I17" i="18" s="1"/>
  <c r="Q54" i="17" l="1"/>
  <c r="Y38" i="18"/>
  <c r="AC55" i="17"/>
  <c r="E55" i="17"/>
  <c r="BO16" i="18"/>
  <c r="K16" i="18"/>
  <c r="Q55" i="17"/>
  <c r="Y39" i="18"/>
  <c r="BO17" i="18"/>
  <c r="AT39" i="18"/>
  <c r="BP17" i="18"/>
  <c r="I13" i="18"/>
  <c r="J13" i="18" s="1"/>
  <c r="I9" i="18"/>
  <c r="J9" i="18" s="1"/>
  <c r="I15" i="18"/>
  <c r="J15" i="18" s="1"/>
  <c r="I14" i="18"/>
  <c r="J14" i="18" s="1"/>
  <c r="I8" i="18"/>
  <c r="J8" i="18" s="1"/>
  <c r="H12" i="18"/>
  <c r="H11" i="18"/>
  <c r="I10" i="18"/>
  <c r="J10" i="18" s="1"/>
  <c r="BP38" i="18"/>
  <c r="BP39" i="18"/>
  <c r="BP36" i="18"/>
  <c r="D18" i="18"/>
  <c r="D19" i="18" s="1"/>
  <c r="Y18" i="18"/>
  <c r="Y19" i="18" s="1"/>
  <c r="Z18" i="18"/>
  <c r="AF18" i="18" s="1"/>
  <c r="BP35" i="18"/>
  <c r="BP31" i="18"/>
  <c r="AV72" i="18"/>
  <c r="BU19" i="18"/>
  <c r="CK19" i="18" s="1"/>
  <c r="I18" i="18" s="1"/>
  <c r="E18" i="18"/>
  <c r="BV8" i="18"/>
  <c r="I18" i="11"/>
  <c r="I19" i="11"/>
  <c r="Y48" i="15"/>
  <c r="AD19" i="11" s="1"/>
  <c r="Y47" i="15"/>
  <c r="AD18" i="11" s="1"/>
  <c r="E40" i="15"/>
  <c r="D40" i="15"/>
  <c r="C38" i="15"/>
  <c r="Q56" i="17" l="1"/>
  <c r="Q65" i="17" s="1"/>
  <c r="Y40" i="18"/>
  <c r="K18" i="18"/>
  <c r="E54" i="17"/>
  <c r="BP16" i="18"/>
  <c r="Q64" i="17"/>
  <c r="AU39" i="18"/>
  <c r="I11" i="18"/>
  <c r="J11" i="18" s="1"/>
  <c r="I12" i="18"/>
  <c r="J12" i="18" s="1"/>
  <c r="AT48" i="15"/>
  <c r="AZ19" i="11" s="1"/>
  <c r="AT57" i="15"/>
  <c r="B3" i="22"/>
  <c r="Q57" i="17" l="1"/>
  <c r="Q66" i="17"/>
  <c r="E64" i="17"/>
  <c r="E56" i="17"/>
  <c r="E65" i="17" s="1"/>
  <c r="AT70" i="18"/>
  <c r="E57" i="17" l="1"/>
  <c r="E66" i="17"/>
  <c r="Z70" i="15"/>
  <c r="D13" i="11"/>
  <c r="Y13" i="11"/>
  <c r="AU13" i="11"/>
  <c r="Y49" i="15"/>
  <c r="AT49" i="15" l="1"/>
  <c r="AZ20" i="11" s="1"/>
  <c r="AD20" i="11"/>
  <c r="AU20" i="11" l="1"/>
  <c r="AU19" i="11"/>
  <c r="AU18" i="11"/>
  <c r="AU17" i="11"/>
  <c r="AU16" i="11"/>
  <c r="AU15" i="11"/>
  <c r="AU14" i="11"/>
  <c r="CH51" i="18" l="1"/>
  <c r="BX51" i="18"/>
  <c r="CH50" i="18"/>
  <c r="BX50" i="18"/>
  <c r="CH49" i="18"/>
  <c r="BX49" i="18"/>
  <c r="CH48" i="18"/>
  <c r="CG48" i="18"/>
  <c r="CF48" i="18"/>
  <c r="CD48" i="18"/>
  <c r="CA48" i="18"/>
  <c r="BY48" i="18"/>
  <c r="BX48" i="18"/>
  <c r="CH42" i="18"/>
  <c r="CG42" i="18"/>
  <c r="CF42" i="18"/>
  <c r="CD42" i="18"/>
  <c r="BX42" i="18"/>
  <c r="CH41" i="18"/>
  <c r="CG41" i="18"/>
  <c r="CF41" i="18"/>
  <c r="CD41" i="18"/>
  <c r="BX41" i="18"/>
  <c r="CH40" i="18"/>
  <c r="CG40" i="18"/>
  <c r="CF40" i="18"/>
  <c r="CD40" i="18"/>
  <c r="BX40" i="18"/>
  <c r="CH39" i="18"/>
  <c r="CG39" i="18"/>
  <c r="CF39" i="18"/>
  <c r="CD39" i="18"/>
  <c r="BX39" i="18"/>
  <c r="CH38" i="18"/>
  <c r="CG38" i="18"/>
  <c r="CF38" i="18"/>
  <c r="CD38" i="18"/>
  <c r="BX38" i="18"/>
  <c r="CH37" i="18"/>
  <c r="CG37" i="18"/>
  <c r="CF37" i="18"/>
  <c r="CD37" i="18"/>
  <c r="BX37" i="18"/>
  <c r="CH36" i="18"/>
  <c r="CG36" i="18"/>
  <c r="CF36" i="18"/>
  <c r="CD36" i="18"/>
  <c r="BX36" i="18"/>
  <c r="CH35" i="18"/>
  <c r="CG35" i="18"/>
  <c r="CF35" i="18"/>
  <c r="CD35" i="18"/>
  <c r="BX35" i="18"/>
  <c r="CG55" i="18"/>
  <c r="CF55" i="18"/>
  <c r="CD55" i="18"/>
  <c r="CG54" i="18"/>
  <c r="CF54" i="18"/>
  <c r="CD54" i="18"/>
  <c r="K15" i="11" l="1"/>
  <c r="K17" i="11"/>
  <c r="K19" i="11"/>
  <c r="K13" i="11"/>
  <c r="AF17" i="11" l="1"/>
  <c r="K18" i="11"/>
  <c r="AF13" i="11"/>
  <c r="K14" i="11"/>
  <c r="K20" i="11"/>
  <c r="AF19" i="11"/>
  <c r="AF15" i="11"/>
  <c r="K16" i="11"/>
  <c r="BB19" i="11"/>
  <c r="BB20" i="11" s="1"/>
  <c r="L15" i="6"/>
  <c r="C22" i="5"/>
  <c r="AA22" i="5"/>
  <c r="C25" i="5"/>
  <c r="C28" i="5"/>
  <c r="C31" i="5"/>
  <c r="C34" i="5"/>
  <c r="C37" i="5"/>
  <c r="L13" i="6"/>
  <c r="L14" i="6"/>
  <c r="F22" i="5"/>
  <c r="BW9" i="18"/>
  <c r="E12" i="18" s="1"/>
  <c r="BV37" i="18"/>
  <c r="BV48" i="18"/>
  <c r="CC36" i="18"/>
  <c r="CC39" i="18"/>
  <c r="CC40" i="18"/>
  <c r="CA42" i="18"/>
  <c r="CG17" i="18"/>
  <c r="CD50" i="18"/>
  <c r="CD17" i="18"/>
  <c r="BY37" i="18"/>
  <c r="BY38" i="18"/>
  <c r="BY40" i="18"/>
  <c r="BY41" i="18"/>
  <c r="BY42" i="18"/>
  <c r="BY50" i="18"/>
  <c r="BT37" i="18"/>
  <c r="BT38" i="18"/>
  <c r="BT39" i="18"/>
  <c r="BT40" i="18"/>
  <c r="BT42" i="18"/>
  <c r="BT48" i="18"/>
  <c r="Y14" i="11"/>
  <c r="Y15" i="11"/>
  <c r="Y16" i="11"/>
  <c r="Y17" i="11"/>
  <c r="Y18" i="11"/>
  <c r="Y19" i="11"/>
  <c r="Y20" i="11"/>
  <c r="D20" i="11"/>
  <c r="D19" i="11"/>
  <c r="D18" i="11"/>
  <c r="D17" i="11"/>
  <c r="D16" i="11"/>
  <c r="D15" i="11"/>
  <c r="D14" i="11"/>
  <c r="AB37" i="15"/>
  <c r="Z58" i="15"/>
  <c r="AT58" i="15"/>
  <c r="Z57" i="15"/>
  <c r="Z56" i="15"/>
  <c r="AC56" i="15" s="1"/>
  <c r="Y56" i="15"/>
  <c r="AB56" i="15" s="1"/>
  <c r="Z55" i="15"/>
  <c r="AC55" i="15" s="1"/>
  <c r="Y55" i="15"/>
  <c r="AB55" i="15" s="1"/>
  <c r="Z54" i="15"/>
  <c r="AC54" i="15" s="1"/>
  <c r="AB54" i="15"/>
  <c r="F58" i="15"/>
  <c r="F57" i="15"/>
  <c r="F56" i="15"/>
  <c r="F55" i="15"/>
  <c r="F54" i="15"/>
  <c r="G32" i="15"/>
  <c r="F32" i="15"/>
  <c r="G31" i="15"/>
  <c r="F31" i="15"/>
  <c r="F33" i="15"/>
  <c r="G33" i="15"/>
  <c r="F34" i="15"/>
  <c r="G34" i="15"/>
  <c r="AV36" i="15"/>
  <c r="AW36" i="15"/>
  <c r="G35" i="15"/>
  <c r="AW35" i="15" s="1"/>
  <c r="F35" i="15"/>
  <c r="AV35" i="15" s="1"/>
  <c r="B3" i="17"/>
  <c r="B3" i="6"/>
  <c r="B3" i="18"/>
  <c r="B3" i="20"/>
  <c r="B3" i="5"/>
  <c r="B3" i="15"/>
  <c r="C8" i="6"/>
  <c r="C39" i="5"/>
  <c r="C42" i="5"/>
  <c r="BV22" i="18"/>
  <c r="BV17" i="18"/>
  <c r="BV18" i="18"/>
  <c r="CF22" i="18"/>
  <c r="CF23" i="18"/>
  <c r="CF18" i="18"/>
  <c r="CA22" i="18"/>
  <c r="CA23" i="18"/>
  <c r="CD22" i="18"/>
  <c r="CD23" i="18"/>
  <c r="BT22" i="18"/>
  <c r="BT23" i="18"/>
  <c r="BY22" i="18"/>
  <c r="BY23" i="18"/>
  <c r="CG22" i="18"/>
  <c r="CG23" i="18"/>
  <c r="P22" i="5" l="1"/>
  <c r="I22" i="5"/>
  <c r="J22" i="5" s="1"/>
  <c r="AK22" i="5"/>
  <c r="AM22" i="5" s="1"/>
  <c r="AD22" i="5"/>
  <c r="AE22" i="5" s="1"/>
  <c r="R22" i="5"/>
  <c r="Z22" i="5"/>
  <c r="E22" i="5"/>
  <c r="AU57" i="15"/>
  <c r="AV57" i="15" s="1"/>
  <c r="AC57" i="15"/>
  <c r="AU58" i="15"/>
  <c r="AC58" i="15"/>
  <c r="CA17" i="18"/>
  <c r="CC41" i="18"/>
  <c r="CL14" i="18"/>
  <c r="AC10" i="18" s="1"/>
  <c r="CC37" i="18"/>
  <c r="CL10" i="18"/>
  <c r="AC9" i="18" s="1"/>
  <c r="AD9" i="18" s="1"/>
  <c r="AE9" i="18" s="1"/>
  <c r="CC51" i="18"/>
  <c r="CD19" i="18"/>
  <c r="CC42" i="18"/>
  <c r="CL15" i="18"/>
  <c r="AC14" i="18" s="1"/>
  <c r="CC35" i="18"/>
  <c r="CL8" i="18"/>
  <c r="AC8" i="18" s="1"/>
  <c r="CC38" i="18"/>
  <c r="CL11" i="18"/>
  <c r="AC13" i="18" s="1"/>
  <c r="G35" i="5"/>
  <c r="G33" i="5"/>
  <c r="G32" i="5"/>
  <c r="G24" i="5"/>
  <c r="G23" i="5"/>
  <c r="G36" i="5"/>
  <c r="G30" i="5"/>
  <c r="G29" i="5"/>
  <c r="G38" i="5"/>
  <c r="G27" i="5"/>
  <c r="G26" i="5"/>
  <c r="CG19" i="18"/>
  <c r="AU18" i="18" s="1"/>
  <c r="BZ18" i="18"/>
  <c r="CC50" i="18"/>
  <c r="BZ17" i="18"/>
  <c r="CC49" i="18"/>
  <c r="CA18" i="18"/>
  <c r="CB16" i="18"/>
  <c r="CC48" i="18"/>
  <c r="CB8" i="18"/>
  <c r="AV58" i="15"/>
  <c r="AF16" i="11"/>
  <c r="AF18" i="11"/>
  <c r="AF20" i="11"/>
  <c r="AF14" i="11"/>
  <c r="BT49" i="18"/>
  <c r="BW12" i="18"/>
  <c r="BV39" i="18"/>
  <c r="BW36" i="18"/>
  <c r="BT41" i="18"/>
  <c r="BT50" i="18"/>
  <c r="BY49" i="18"/>
  <c r="CB15" i="18"/>
  <c r="CB14" i="18"/>
  <c r="CA41" i="18"/>
  <c r="CB12" i="18"/>
  <c r="CB39" i="18" s="1"/>
  <c r="CA39" i="18"/>
  <c r="CB10" i="18"/>
  <c r="CA37" i="18"/>
  <c r="BW15" i="18"/>
  <c r="BV42" i="18"/>
  <c r="BW11" i="18"/>
  <c r="BV38" i="18"/>
  <c r="BW8" i="18"/>
  <c r="BV35" i="18"/>
  <c r="BV54" i="18"/>
  <c r="BT36" i="18"/>
  <c r="BT55" i="18"/>
  <c r="BY39" i="18"/>
  <c r="BY36" i="18"/>
  <c r="BY55" i="18"/>
  <c r="CD49" i="18"/>
  <c r="CA35" i="18"/>
  <c r="CA54" i="18"/>
  <c r="BW14" i="18"/>
  <c r="BV41" i="18"/>
  <c r="BW10" i="18"/>
  <c r="CJ17" i="18"/>
  <c r="BV23" i="18"/>
  <c r="BV36" i="18"/>
  <c r="BV55" i="18"/>
  <c r="BT35" i="18"/>
  <c r="BT54" i="18"/>
  <c r="BY54" i="18"/>
  <c r="BY35" i="18"/>
  <c r="CB13" i="18"/>
  <c r="CA40" i="18"/>
  <c r="CB11" i="18"/>
  <c r="CA38" i="18"/>
  <c r="CB9" i="18"/>
  <c r="Z12" i="18" s="1"/>
  <c r="BO12" i="18" s="1"/>
  <c r="CA36" i="18"/>
  <c r="CA55" i="18"/>
  <c r="BW16" i="18"/>
  <c r="BW13" i="18"/>
  <c r="BV40" i="18"/>
  <c r="CJ18" i="18"/>
  <c r="AB36" i="5"/>
  <c r="AB34" i="15"/>
  <c r="AA35" i="15"/>
  <c r="AA57" i="15"/>
  <c r="AB32" i="15"/>
  <c r="AB27" i="5"/>
  <c r="C9" i="6"/>
  <c r="F25" i="5"/>
  <c r="AA25" i="5"/>
  <c r="AA54" i="15"/>
  <c r="AA56" i="15"/>
  <c r="AB33" i="15"/>
  <c r="AA33" i="15"/>
  <c r="AB30" i="5"/>
  <c r="AB33" i="5"/>
  <c r="AA55" i="15"/>
  <c r="AB35" i="15"/>
  <c r="AA58" i="15"/>
  <c r="AA32" i="15"/>
  <c r="AA34" i="15"/>
  <c r="AD25" i="5" l="1"/>
  <c r="I25" i="5"/>
  <c r="J25" i="5" s="1"/>
  <c r="AK25" i="5"/>
  <c r="AM25" i="5" s="1"/>
  <c r="P25" i="5"/>
  <c r="BA18" i="18"/>
  <c r="AT40" i="18" s="1"/>
  <c r="BO18" i="18"/>
  <c r="AD8" i="18"/>
  <c r="AE8" i="18" s="1"/>
  <c r="AC12" i="18"/>
  <c r="AD12" i="18" s="1"/>
  <c r="AE12" i="18" s="1"/>
  <c r="AD10" i="18"/>
  <c r="AE10" i="18" s="1"/>
  <c r="AD13" i="18"/>
  <c r="AE13" i="18" s="1"/>
  <c r="AD14" i="18"/>
  <c r="AE14" i="18" s="1"/>
  <c r="E15" i="18"/>
  <c r="BO15" i="18" s="1"/>
  <c r="E8" i="18"/>
  <c r="E14" i="18"/>
  <c r="E10" i="18"/>
  <c r="CL17" i="18"/>
  <c r="AC16" i="18" s="1"/>
  <c r="AD16" i="18" s="1"/>
  <c r="CL18" i="18"/>
  <c r="AC17" i="18" s="1"/>
  <c r="AD17" i="18" s="1"/>
  <c r="AT18" i="18"/>
  <c r="AU19" i="18"/>
  <c r="E13" i="18"/>
  <c r="CB48" i="18"/>
  <c r="CB37" i="18"/>
  <c r="Z9" i="18"/>
  <c r="CB41" i="18"/>
  <c r="Z10" i="18"/>
  <c r="CB40" i="18"/>
  <c r="Z13" i="18"/>
  <c r="E9" i="18"/>
  <c r="CB42" i="18"/>
  <c r="Z14" i="18"/>
  <c r="CB35" i="18"/>
  <c r="Z8" i="18"/>
  <c r="CG20" i="18"/>
  <c r="CE19" i="18"/>
  <c r="CB56" i="18"/>
  <c r="BZ19" i="18"/>
  <c r="CL19" i="18" s="1"/>
  <c r="AC18" i="18" s="1"/>
  <c r="AD18" i="18" s="1"/>
  <c r="BW23" i="18"/>
  <c r="BW37" i="18"/>
  <c r="CJ10" i="18"/>
  <c r="BW48" i="18"/>
  <c r="CJ16" i="18"/>
  <c r="CG56" i="18"/>
  <c r="CG57" i="18" s="1"/>
  <c r="BW40" i="18"/>
  <c r="CJ13" i="18"/>
  <c r="CB36" i="18"/>
  <c r="CB55" i="18"/>
  <c r="BW22" i="18"/>
  <c r="BW35" i="18"/>
  <c r="CJ8" i="18"/>
  <c r="BW54" i="18"/>
  <c r="CB22" i="18"/>
  <c r="CA19" i="18"/>
  <c r="CB24" i="18"/>
  <c r="CJ11" i="18"/>
  <c r="BW38" i="18"/>
  <c r="CD51" i="18"/>
  <c r="CD24" i="18"/>
  <c r="CD25" i="18" s="1"/>
  <c r="CD20" i="18"/>
  <c r="CJ9" i="18"/>
  <c r="BW39" i="18"/>
  <c r="CJ12" i="18"/>
  <c r="CJ15" i="18"/>
  <c r="BW42" i="18"/>
  <c r="CB20" i="18"/>
  <c r="BW20" i="18"/>
  <c r="CJ19" i="18"/>
  <c r="BV19" i="18"/>
  <c r="BW24" i="18"/>
  <c r="CB23" i="18"/>
  <c r="CB38" i="18"/>
  <c r="BW41" i="18"/>
  <c r="CJ14" i="18"/>
  <c r="BW56" i="18"/>
  <c r="CD56" i="18"/>
  <c r="CD57" i="18" s="1"/>
  <c r="BY51" i="18"/>
  <c r="BY24" i="18"/>
  <c r="BY25" i="18" s="1"/>
  <c r="BY20" i="18"/>
  <c r="BY56" i="18"/>
  <c r="BY57" i="18" s="1"/>
  <c r="BT51" i="18"/>
  <c r="BT20" i="18"/>
  <c r="BT24" i="18"/>
  <c r="BT25" i="18" s="1"/>
  <c r="BW55" i="18"/>
  <c r="CB54" i="18"/>
  <c r="BT56" i="18"/>
  <c r="BT57" i="18" s="1"/>
  <c r="CF19" i="18"/>
  <c r="CG24" i="18"/>
  <c r="CG25" i="18" s="1"/>
  <c r="F28" i="5"/>
  <c r="C10" i="6"/>
  <c r="AA28" i="5"/>
  <c r="AW58" i="15"/>
  <c r="AX58" i="15"/>
  <c r="E25" i="5"/>
  <c r="AE25" i="5"/>
  <c r="Z25" i="5"/>
  <c r="AD28" i="5" l="1"/>
  <c r="AE28" i="5" s="1"/>
  <c r="I28" i="5"/>
  <c r="J28" i="5" s="1"/>
  <c r="R25" i="5"/>
  <c r="P28" i="5"/>
  <c r="AK28" i="5"/>
  <c r="AP28" i="5" s="1"/>
  <c r="BP18" i="18"/>
  <c r="BP19" i="18" s="1"/>
  <c r="BO9" i="18"/>
  <c r="BO13" i="18"/>
  <c r="BO10" i="18"/>
  <c r="BO14" i="18"/>
  <c r="BO8" i="18"/>
  <c r="AC56" i="17"/>
  <c r="AU40" i="18"/>
  <c r="AT41" i="18"/>
  <c r="CM19" i="18"/>
  <c r="AX18" i="18" s="1"/>
  <c r="AY18" i="18" s="1"/>
  <c r="AT19" i="18"/>
  <c r="BP41" i="18" s="1"/>
  <c r="BP40" i="18"/>
  <c r="Z19" i="18"/>
  <c r="E19" i="18"/>
  <c r="BW51" i="18"/>
  <c r="BY52" i="18"/>
  <c r="CB51" i="18"/>
  <c r="BT26" i="18"/>
  <c r="CJ36" i="18"/>
  <c r="BT52" i="18"/>
  <c r="BW25" i="18"/>
  <c r="CD52" i="18"/>
  <c r="CF51" i="18"/>
  <c r="CF56" i="18"/>
  <c r="CF57" i="18" s="1"/>
  <c r="BT58" i="18"/>
  <c r="BV51" i="18"/>
  <c r="BV56" i="18"/>
  <c r="BV57" i="18" s="1"/>
  <c r="BV24" i="18"/>
  <c r="BV25" i="18" s="1"/>
  <c r="BV20" i="18"/>
  <c r="CJ39" i="18"/>
  <c r="CJ38" i="18"/>
  <c r="CJ48" i="18"/>
  <c r="CJ37" i="18"/>
  <c r="BV50" i="18"/>
  <c r="CJ40" i="18"/>
  <c r="BY26" i="18"/>
  <c r="CB25" i="18"/>
  <c r="CJ20" i="18"/>
  <c r="CF49" i="18"/>
  <c r="CG49" i="18"/>
  <c r="BV49" i="18"/>
  <c r="CA50" i="18"/>
  <c r="BW50" i="18"/>
  <c r="CG50" i="18"/>
  <c r="CB50" i="18"/>
  <c r="BW49" i="18"/>
  <c r="CF50" i="18"/>
  <c r="CB49" i="18"/>
  <c r="CB57" i="18"/>
  <c r="BY58" i="18"/>
  <c r="BW57" i="18"/>
  <c r="CJ41" i="18"/>
  <c r="CJ42" i="18"/>
  <c r="CG51" i="18"/>
  <c r="CA51" i="18"/>
  <c r="CA56" i="18"/>
  <c r="CA57" i="18" s="1"/>
  <c r="CA20" i="18"/>
  <c r="CA24" i="18"/>
  <c r="CA25" i="18" s="1"/>
  <c r="CD26" i="18" s="1"/>
  <c r="CJ35" i="18"/>
  <c r="CA49" i="18"/>
  <c r="CF20" i="18"/>
  <c r="CF24" i="18"/>
  <c r="CF25" i="18" s="1"/>
  <c r="Z28" i="5"/>
  <c r="AA31" i="5"/>
  <c r="F31" i="5"/>
  <c r="C11" i="6"/>
  <c r="E28" i="5"/>
  <c r="AD31" i="5" l="1"/>
  <c r="AE31" i="5" s="1"/>
  <c r="I31" i="5"/>
  <c r="J31" i="5" s="1"/>
  <c r="P31" i="5"/>
  <c r="AK31" i="5"/>
  <c r="AP31" i="5" s="1"/>
  <c r="U28" i="5"/>
  <c r="BO19" i="18"/>
  <c r="D25" i="18" s="1"/>
  <c r="BB18" i="18" s="1"/>
  <c r="AC44" i="17" s="1"/>
  <c r="AC57" i="17"/>
  <c r="AC65" i="17"/>
  <c r="AC66" i="17" s="1"/>
  <c r="AF21" i="18"/>
  <c r="BA21" i="18"/>
  <c r="K21" i="18"/>
  <c r="AT71" i="18"/>
  <c r="AU41" i="18"/>
  <c r="BV52" i="18"/>
  <c r="CA58" i="18"/>
  <c r="CA52" i="18"/>
  <c r="BW52" i="18"/>
  <c r="CG52" i="18"/>
  <c r="CF58" i="18"/>
  <c r="CJ51" i="18"/>
  <c r="CJ50" i="18"/>
  <c r="CF52" i="18"/>
  <c r="BV58" i="18"/>
  <c r="CB52" i="18"/>
  <c r="CD58" i="18"/>
  <c r="CJ49" i="18"/>
  <c r="CF26" i="18"/>
  <c r="BV26" i="18"/>
  <c r="CA26" i="18"/>
  <c r="C12" i="6"/>
  <c r="AA34" i="5"/>
  <c r="F34" i="5"/>
  <c r="E31" i="5"/>
  <c r="Z31" i="5"/>
  <c r="L8" i="18" l="1"/>
  <c r="L10" i="18"/>
  <c r="L18" i="18"/>
  <c r="E44" i="17" s="1"/>
  <c r="L17" i="18"/>
  <c r="E43" i="17" s="1"/>
  <c r="AG12" i="18"/>
  <c r="AG15" i="18"/>
  <c r="AG17" i="18"/>
  <c r="Q43" i="17" s="1"/>
  <c r="L11" i="18"/>
  <c r="L15" i="18"/>
  <c r="AG18" i="18"/>
  <c r="Q44" i="17" s="1"/>
  <c r="AG10" i="18"/>
  <c r="Q41" i="17" s="1"/>
  <c r="L12" i="18"/>
  <c r="E39" i="17" s="1"/>
  <c r="L13" i="18"/>
  <c r="AD34" i="5"/>
  <c r="AE34" i="5" s="1"/>
  <c r="I34" i="5"/>
  <c r="J34" i="5" s="1"/>
  <c r="P34" i="5"/>
  <c r="U31" i="5"/>
  <c r="AK34" i="5"/>
  <c r="AO34" i="5" s="1"/>
  <c r="AG16" i="18"/>
  <c r="AG9" i="18"/>
  <c r="AG14" i="18"/>
  <c r="L14" i="18"/>
  <c r="L16" i="18"/>
  <c r="BB17" i="18"/>
  <c r="BB19" i="18" s="1"/>
  <c r="AC46" i="17" s="1"/>
  <c r="L9" i="18"/>
  <c r="E40" i="17" s="1"/>
  <c r="AG8" i="18"/>
  <c r="AG13" i="18"/>
  <c r="AG11" i="18"/>
  <c r="Q42" i="17" s="1"/>
  <c r="AT83" i="18"/>
  <c r="AT79" i="18"/>
  <c r="AT81" i="18"/>
  <c r="AT84" i="18"/>
  <c r="AT86" i="18"/>
  <c r="AT82" i="18"/>
  <c r="AT78" i="18"/>
  <c r="AT85" i="18"/>
  <c r="AT80" i="18"/>
  <c r="AT87" i="18"/>
  <c r="AT88" i="18"/>
  <c r="CJ52" i="18"/>
  <c r="Z34" i="5"/>
  <c r="AA37" i="5"/>
  <c r="C13" i="6"/>
  <c r="AV39" i="5" s="1"/>
  <c r="F37" i="5"/>
  <c r="E34" i="5"/>
  <c r="E42" i="17" l="1"/>
  <c r="Q40" i="17"/>
  <c r="AD37" i="5"/>
  <c r="AE37" i="5" s="1"/>
  <c r="I37" i="5"/>
  <c r="J37" i="5" s="1"/>
  <c r="BF39" i="5"/>
  <c r="BM39" i="5" s="1"/>
  <c r="AY39" i="5"/>
  <c r="AZ39" i="5" s="1"/>
  <c r="AK37" i="5"/>
  <c r="AO37" i="5" s="1"/>
  <c r="T34" i="5"/>
  <c r="P37" i="5"/>
  <c r="AG19" i="18"/>
  <c r="Q46" i="17" s="1"/>
  <c r="AC43" i="17"/>
  <c r="AC45" i="17" s="1"/>
  <c r="L19" i="18"/>
  <c r="E46" i="17" s="1"/>
  <c r="E41" i="17"/>
  <c r="E45" i="17" s="1"/>
  <c r="Q39" i="17"/>
  <c r="Q45" i="17" s="1"/>
  <c r="AT89" i="18"/>
  <c r="AU39" i="5"/>
  <c r="Z37" i="5"/>
  <c r="E37" i="5"/>
  <c r="C14" i="6"/>
  <c r="F39" i="5"/>
  <c r="AA39" i="5"/>
  <c r="I39" i="5" l="1"/>
  <c r="J39" i="5" s="1"/>
  <c r="AD39" i="5"/>
  <c r="AE39" i="5" s="1"/>
  <c r="P39" i="5"/>
  <c r="T37" i="5"/>
  <c r="AK39" i="5"/>
  <c r="AR39" i="5" s="1"/>
  <c r="Z39" i="5"/>
  <c r="E39" i="5"/>
  <c r="C15" i="6"/>
  <c r="AV42" i="5" s="1"/>
  <c r="F42" i="5"/>
  <c r="I42" i="5" l="1"/>
  <c r="J42" i="5" s="1"/>
  <c r="AY42" i="5"/>
  <c r="AZ42" i="5" s="1"/>
  <c r="BF42" i="5"/>
  <c r="BM42" i="5" s="1"/>
  <c r="W39" i="5"/>
  <c r="P42" i="5"/>
  <c r="AU42" i="5"/>
  <c r="E42" i="5"/>
  <c r="C16" i="6"/>
  <c r="AA42" i="5"/>
  <c r="AD42" i="5" l="1"/>
  <c r="AE42" i="5" s="1"/>
  <c r="W42" i="5"/>
  <c r="AK42" i="5"/>
  <c r="AR42" i="5" s="1"/>
  <c r="Z42" i="5"/>
  <c r="AA26" i="5"/>
  <c r="AA29" i="5"/>
  <c r="F23" i="5"/>
  <c r="F26" i="5"/>
  <c r="F29" i="5"/>
  <c r="F32" i="5"/>
  <c r="C17" i="6"/>
  <c r="AA32" i="5"/>
  <c r="AA23" i="5"/>
  <c r="AK32" i="5" l="1"/>
  <c r="AL32" i="5" s="1"/>
  <c r="P26" i="5"/>
  <c r="Q26" i="5" s="1"/>
  <c r="P32" i="5"/>
  <c r="Q32" i="5" s="1"/>
  <c r="AK29" i="5"/>
  <c r="AL29" i="5" s="1"/>
  <c r="P23" i="5"/>
  <c r="Q23" i="5" s="1"/>
  <c r="AK23" i="5"/>
  <c r="AL23" i="5" s="1"/>
  <c r="P29" i="5"/>
  <c r="AK26" i="5"/>
  <c r="AL26" i="5" s="1"/>
  <c r="Z32" i="5"/>
  <c r="E26" i="5"/>
  <c r="Z23" i="5"/>
  <c r="E29" i="5"/>
  <c r="Z26" i="5"/>
  <c r="AA24" i="5"/>
  <c r="AA27" i="5"/>
  <c r="AA30" i="5"/>
  <c r="F24" i="5"/>
  <c r="F27" i="5"/>
  <c r="F30" i="5"/>
  <c r="AA33" i="5"/>
  <c r="C18" i="6"/>
  <c r="F33" i="5"/>
  <c r="E23" i="5"/>
  <c r="E32" i="5"/>
  <c r="Z29" i="5"/>
  <c r="Q29" i="5" l="1"/>
  <c r="AK33" i="5"/>
  <c r="AL33" i="5" s="1"/>
  <c r="AK30" i="5"/>
  <c r="AL30" i="5" s="1"/>
  <c r="P30" i="5"/>
  <c r="Q30" i="5" s="1"/>
  <c r="AK27" i="5"/>
  <c r="AL27" i="5" s="1"/>
  <c r="P27" i="5"/>
  <c r="AK24" i="5"/>
  <c r="AL24" i="5" s="1"/>
  <c r="P33" i="5"/>
  <c r="P24" i="5"/>
  <c r="Z33" i="5"/>
  <c r="Z30" i="5"/>
  <c r="F35" i="5"/>
  <c r="C19" i="6"/>
  <c r="E24" i="5"/>
  <c r="E30" i="5"/>
  <c r="Z27" i="5"/>
  <c r="E33" i="5"/>
  <c r="E27" i="5"/>
  <c r="Z24" i="5"/>
  <c r="Q24" i="5" l="1"/>
  <c r="Q27" i="5"/>
  <c r="Q33" i="5"/>
  <c r="P35" i="5"/>
  <c r="S35" i="5" s="1"/>
  <c r="E35" i="5"/>
  <c r="AA36" i="5"/>
  <c r="C20" i="6"/>
  <c r="F36" i="5"/>
  <c r="P36" i="5" l="1"/>
  <c r="S36" i="5" s="1"/>
  <c r="AK36" i="5"/>
  <c r="AN36" i="5" s="1"/>
  <c r="F38" i="5"/>
  <c r="C21" i="6"/>
  <c r="AV40" i="5" s="1"/>
  <c r="Z36" i="5"/>
  <c r="E36" i="5"/>
  <c r="P38" i="5" l="1"/>
  <c r="S38" i="5" s="1"/>
  <c r="BF40" i="5"/>
  <c r="BL40" i="5" s="1"/>
  <c r="AY40" i="5"/>
  <c r="AZ40" i="5" s="1"/>
  <c r="AV43" i="5"/>
  <c r="E38" i="5"/>
  <c r="C22" i="6"/>
  <c r="AV41" i="5" s="1"/>
  <c r="F40" i="5"/>
  <c r="F43" i="5"/>
  <c r="I43" i="5" l="1"/>
  <c r="J43" i="5" s="1"/>
  <c r="I40" i="5"/>
  <c r="J40" i="5" s="1"/>
  <c r="BF41" i="5"/>
  <c r="BL41" i="5" s="1"/>
  <c r="AY41" i="5"/>
  <c r="AZ41" i="5" s="1"/>
  <c r="AY43" i="5"/>
  <c r="AZ43" i="5" s="1"/>
  <c r="P43" i="5"/>
  <c r="BF43" i="5"/>
  <c r="BL43" i="5" s="1"/>
  <c r="P40" i="5"/>
  <c r="AU43" i="5"/>
  <c r="AU40" i="5"/>
  <c r="AV45" i="5"/>
  <c r="E40" i="5"/>
  <c r="E43" i="5"/>
  <c r="F41" i="5"/>
  <c r="C23" i="6"/>
  <c r="AV46" i="5" s="1"/>
  <c r="F45" i="5"/>
  <c r="BF46" i="5" l="1"/>
  <c r="BN46" i="5" s="1"/>
  <c r="AY45" i="5"/>
  <c r="AZ45" i="5" s="1"/>
  <c r="I45" i="5"/>
  <c r="J45" i="5" s="1"/>
  <c r="I41" i="5"/>
  <c r="J41" i="5" s="1"/>
  <c r="P41" i="5"/>
  <c r="V40" i="5"/>
  <c r="BF45" i="5"/>
  <c r="BL45" i="5" s="1"/>
  <c r="P45" i="5"/>
  <c r="V43" i="5"/>
  <c r="AU45" i="5"/>
  <c r="AU46" i="5"/>
  <c r="AU41" i="5"/>
  <c r="E45" i="5"/>
  <c r="E41" i="5"/>
  <c r="C24" i="6"/>
  <c r="F46" i="5"/>
  <c r="P46" i="5" l="1"/>
  <c r="V41" i="5"/>
  <c r="V45" i="5"/>
  <c r="AV47" i="5"/>
  <c r="C25" i="6"/>
  <c r="AA47" i="5"/>
  <c r="F47" i="5"/>
  <c r="E46" i="5"/>
  <c r="X46" i="5" l="1"/>
  <c r="P47" i="5"/>
  <c r="X47" i="5" s="1"/>
  <c r="AK47" i="5"/>
  <c r="AS47" i="5" s="1"/>
  <c r="AU47" i="5"/>
  <c r="BF47" i="5"/>
  <c r="BN47" i="5" s="1"/>
  <c r="C26" i="6"/>
  <c r="AA38" i="5"/>
  <c r="AA35" i="5"/>
  <c r="Z47" i="5"/>
  <c r="E47" i="5"/>
  <c r="Z35" i="5" l="1"/>
  <c r="AK35" i="5"/>
  <c r="AN35" i="5" s="1"/>
  <c r="Z38" i="5"/>
  <c r="AK38" i="5"/>
  <c r="AN38" i="5" s="1"/>
  <c r="AA43" i="5"/>
  <c r="AA40" i="5"/>
  <c r="C27" i="6"/>
  <c r="AA44" i="5"/>
  <c r="AK44" i="5" s="1"/>
  <c r="AQ44" i="5" s="1"/>
  <c r="Y68" i="18"/>
  <c r="Y67" i="18"/>
  <c r="Y62" i="18"/>
  <c r="AA62" i="18" s="1"/>
  <c r="Y63" i="18"/>
  <c r="Y65" i="18"/>
  <c r="Y66" i="18"/>
  <c r="AD43" i="5" l="1"/>
  <c r="AE43" i="5" s="1"/>
  <c r="AD40" i="5"/>
  <c r="AE40" i="5" s="1"/>
  <c r="AD44" i="5"/>
  <c r="AE44" i="5" s="1"/>
  <c r="AK40" i="5"/>
  <c r="AQ40" i="5" s="1"/>
  <c r="AK43" i="5"/>
  <c r="AQ43" i="5" s="1"/>
  <c r="Z43" i="5"/>
  <c r="Z44" i="5"/>
  <c r="AA46" i="5"/>
  <c r="AA45" i="5"/>
  <c r="AA41" i="5"/>
  <c r="Z40" i="5"/>
  <c r="F67" i="18"/>
  <c r="F62" i="18"/>
  <c r="F66" i="18"/>
  <c r="G68" i="18"/>
  <c r="G63" i="18"/>
  <c r="G67" i="18"/>
  <c r="F68" i="18"/>
  <c r="E68" i="18"/>
  <c r="E67" i="18"/>
  <c r="F63" i="18"/>
  <c r="AA65" i="18"/>
  <c r="Y61" i="18"/>
  <c r="AA66" i="18"/>
  <c r="Z41" i="5" l="1"/>
  <c r="AK41" i="5"/>
  <c r="AS41" i="5" s="1"/>
  <c r="Z45" i="5"/>
  <c r="AK45" i="5"/>
  <c r="AQ45" i="5" s="1"/>
  <c r="Z46" i="5"/>
  <c r="AK46" i="5"/>
  <c r="AS46" i="5" s="1"/>
  <c r="J16" i="18"/>
  <c r="D71" i="18" l="1"/>
  <c r="J18" i="18"/>
  <c r="D40" i="18"/>
  <c r="D69" i="18"/>
  <c r="D38" i="18"/>
  <c r="K19" i="18"/>
  <c r="D73" i="18" l="1"/>
  <c r="E67" i="17"/>
  <c r="E58" i="17"/>
  <c r="K20" i="18"/>
  <c r="H40" i="18"/>
  <c r="F40" i="18"/>
  <c r="E40" i="18"/>
  <c r="J40" i="18"/>
  <c r="G40" i="18"/>
  <c r="K40" i="18"/>
  <c r="I40" i="18"/>
  <c r="L40" i="18"/>
  <c r="J17" i="18"/>
  <c r="J20" i="18" s="1"/>
  <c r="D70" i="18"/>
  <c r="D72" i="18" s="1"/>
  <c r="D41" i="15" s="1"/>
  <c r="D39" i="18"/>
  <c r="D41" i="18" s="1"/>
  <c r="I38" i="18"/>
  <c r="H38" i="18"/>
  <c r="E38" i="18"/>
  <c r="J38" i="18"/>
  <c r="G38" i="18"/>
  <c r="F38" i="18"/>
  <c r="F69" i="18" l="1"/>
  <c r="G69" i="18"/>
  <c r="F39" i="18"/>
  <c r="F41" i="18" s="1"/>
  <c r="E86" i="18" s="1"/>
  <c r="I39" i="18"/>
  <c r="I41" i="18" s="1"/>
  <c r="H86" i="18" s="1"/>
  <c r="J39" i="18"/>
  <c r="J41" i="18" s="1"/>
  <c r="I88" i="18" s="1"/>
  <c r="G39" i="18"/>
  <c r="G41" i="18" s="1"/>
  <c r="F88" i="18" s="1"/>
  <c r="K39" i="18"/>
  <c r="H39" i="18"/>
  <c r="H41" i="18" s="1"/>
  <c r="G86" i="18" s="1"/>
  <c r="E39" i="18"/>
  <c r="E41" i="18" s="1"/>
  <c r="F71" i="18"/>
  <c r="E69" i="18"/>
  <c r="G71" i="18"/>
  <c r="L41" i="18"/>
  <c r="D58" i="18" s="1"/>
  <c r="AY77" i="18"/>
  <c r="E71" i="18"/>
  <c r="G88" i="18" l="1"/>
  <c r="K88" i="18"/>
  <c r="K89" i="18" s="1"/>
  <c r="E88" i="18"/>
  <c r="K41" i="18"/>
  <c r="J87" i="18" s="1"/>
  <c r="D80" i="18"/>
  <c r="D81" i="18"/>
  <c r="D83" i="18"/>
  <c r="D82" i="18"/>
  <c r="D85" i="18"/>
  <c r="D84" i="18"/>
  <c r="D78" i="18"/>
  <c r="D51" i="18"/>
  <c r="D79" i="18"/>
  <c r="F83" i="18"/>
  <c r="F85" i="18"/>
  <c r="F80" i="18"/>
  <c r="F79" i="18"/>
  <c r="F81" i="18"/>
  <c r="D53" i="18"/>
  <c r="F84" i="18"/>
  <c r="D88" i="18"/>
  <c r="D86" i="18"/>
  <c r="H84" i="18"/>
  <c r="H85" i="18"/>
  <c r="D55" i="18"/>
  <c r="H81" i="18"/>
  <c r="H80" i="18"/>
  <c r="F86" i="18"/>
  <c r="D87" i="18"/>
  <c r="I87" i="18"/>
  <c r="F70" i="18"/>
  <c r="F72" i="18" s="1"/>
  <c r="E87" i="18"/>
  <c r="I85" i="18"/>
  <c r="D56" i="18"/>
  <c r="I81" i="18"/>
  <c r="F87" i="18"/>
  <c r="I86" i="18"/>
  <c r="H88" i="18"/>
  <c r="K77" i="18"/>
  <c r="E16" i="17"/>
  <c r="G70" i="18"/>
  <c r="G72" i="18" s="1"/>
  <c r="G87" i="18"/>
  <c r="E70" i="18"/>
  <c r="E72" i="18" s="1"/>
  <c r="H87" i="18"/>
  <c r="G81" i="18"/>
  <c r="G85" i="18"/>
  <c r="G84" i="18"/>
  <c r="D54" i="18"/>
  <c r="G83" i="18"/>
  <c r="G80" i="18"/>
  <c r="E85" i="18"/>
  <c r="E84" i="18"/>
  <c r="E80" i="18"/>
  <c r="E81" i="18"/>
  <c r="E79" i="18"/>
  <c r="D52" i="18"/>
  <c r="E83" i="18"/>
  <c r="G89" i="18" l="1"/>
  <c r="E89" i="18"/>
  <c r="F89" i="18"/>
  <c r="I89" i="18"/>
  <c r="H89" i="18"/>
  <c r="D89" i="18"/>
  <c r="E73" i="18"/>
  <c r="H77" i="18"/>
  <c r="E13" i="17"/>
  <c r="E9" i="17"/>
  <c r="D77" i="18"/>
  <c r="E14" i="17"/>
  <c r="I77" i="18"/>
  <c r="F77" i="18"/>
  <c r="E11" i="17"/>
  <c r="D57" i="18"/>
  <c r="E58" i="18" s="1"/>
  <c r="E20" i="11" s="1"/>
  <c r="J88" i="18"/>
  <c r="J89" i="18" s="1"/>
  <c r="E77" i="18"/>
  <c r="F73" i="18"/>
  <c r="E10" i="17"/>
  <c r="G73" i="18"/>
  <c r="E12" i="17"/>
  <c r="G77" i="18"/>
  <c r="E52" i="18" l="1"/>
  <c r="E14" i="11" s="1"/>
  <c r="E54" i="18"/>
  <c r="E16" i="11" s="1"/>
  <c r="E55" i="18"/>
  <c r="E17" i="11" s="1"/>
  <c r="E53" i="18"/>
  <c r="E15" i="11" s="1"/>
  <c r="E51" i="18"/>
  <c r="E13" i="11" s="1"/>
  <c r="E56" i="18"/>
  <c r="E18" i="11" s="1"/>
  <c r="E15" i="17"/>
  <c r="J77" i="18"/>
  <c r="E57" i="18"/>
  <c r="E19" i="11" s="1"/>
  <c r="AE16" i="18"/>
  <c r="AE18" i="18" l="1"/>
  <c r="AE17" i="18"/>
  <c r="AF19" i="18"/>
  <c r="AZ18" i="18"/>
  <c r="Y73" i="18" l="1"/>
  <c r="Q67" i="17"/>
  <c r="Q58" i="17"/>
  <c r="AE20" i="18"/>
  <c r="AZ17" i="18"/>
  <c r="AZ20" i="18" s="1"/>
  <c r="BA19" i="18"/>
  <c r="AB39" i="18"/>
  <c r="AF39" i="18"/>
  <c r="AD39" i="18"/>
  <c r="Z39" i="18"/>
  <c r="AC39" i="18"/>
  <c r="AA39" i="18"/>
  <c r="AE39" i="18"/>
  <c r="AB40" i="18"/>
  <c r="AD40" i="18"/>
  <c r="Z40" i="18"/>
  <c r="AC40" i="18"/>
  <c r="AA40" i="18"/>
  <c r="AF40" i="18"/>
  <c r="AG40" i="18"/>
  <c r="AE40" i="18"/>
  <c r="AZ40" i="18"/>
  <c r="BB40" i="18"/>
  <c r="BA40" i="18"/>
  <c r="AW71" i="18"/>
  <c r="Y41" i="18"/>
  <c r="AA38" i="18"/>
  <c r="AC38" i="18"/>
  <c r="AE38" i="18"/>
  <c r="AD38" i="18"/>
  <c r="AB38" i="18"/>
  <c r="Z38" i="18"/>
  <c r="AT73" i="18" l="1"/>
  <c r="AC67" i="17"/>
  <c r="AC58" i="17"/>
  <c r="BB41" i="18"/>
  <c r="AT58" i="18" s="1"/>
  <c r="BE77" i="18" s="1"/>
  <c r="AE41" i="18"/>
  <c r="AY41" i="18"/>
  <c r="AX41" i="18"/>
  <c r="BA39" i="18"/>
  <c r="AV41" i="18"/>
  <c r="AZ39" i="18"/>
  <c r="AZ41" i="18" s="1"/>
  <c r="Z41" i="18"/>
  <c r="Y85" i="18" s="1"/>
  <c r="Y69" i="18"/>
  <c r="AC41" i="18"/>
  <c r="AB85" i="18" s="1"/>
  <c r="AG41" i="18"/>
  <c r="Y58" i="18" s="1"/>
  <c r="Y71" i="18"/>
  <c r="AF41" i="18"/>
  <c r="Y57" i="18" s="1"/>
  <c r="AB41" i="18"/>
  <c r="AA85" i="18" s="1"/>
  <c r="AA41" i="18"/>
  <c r="Z85" i="18" s="1"/>
  <c r="AD41" i="18"/>
  <c r="AC85" i="18" s="1"/>
  <c r="Y70" i="18"/>
  <c r="AD84" i="18" l="1"/>
  <c r="AD85" i="18"/>
  <c r="AE88" i="18"/>
  <c r="AC16" i="17"/>
  <c r="BA77" i="18"/>
  <c r="BA88" i="18"/>
  <c r="BA89" i="18" s="1"/>
  <c r="BA41" i="18"/>
  <c r="AB87" i="18"/>
  <c r="Y54" i="18"/>
  <c r="AB73" i="18" s="1"/>
  <c r="Z86" i="18"/>
  <c r="Y52" i="18"/>
  <c r="AA73" i="18" s="1"/>
  <c r="AC87" i="18"/>
  <c r="Y55" i="18"/>
  <c r="Z73" i="18" s="1"/>
  <c r="Y87" i="18"/>
  <c r="Y51" i="18"/>
  <c r="AA88" i="18"/>
  <c r="Y53" i="18"/>
  <c r="AD86" i="18"/>
  <c r="Y56" i="18"/>
  <c r="AD87" i="18"/>
  <c r="AC86" i="18"/>
  <c r="Z88" i="18"/>
  <c r="AE77" i="18"/>
  <c r="Q15" i="17"/>
  <c r="AB81" i="18"/>
  <c r="AB84" i="18"/>
  <c r="AB83" i="18"/>
  <c r="AB80" i="18"/>
  <c r="Y80" i="18"/>
  <c r="Y82" i="18"/>
  <c r="Y84" i="18"/>
  <c r="Y78" i="18"/>
  <c r="Y79" i="18"/>
  <c r="Y83" i="18"/>
  <c r="Y81" i="18"/>
  <c r="AW41" i="18"/>
  <c r="AD88" i="18"/>
  <c r="AC88" i="18"/>
  <c r="AE87" i="18"/>
  <c r="AE89" i="18" s="1"/>
  <c r="Y88" i="18"/>
  <c r="AB86" i="18"/>
  <c r="BA20" i="18"/>
  <c r="BA22" i="18" s="1"/>
  <c r="AA84" i="18"/>
  <c r="AA81" i="18"/>
  <c r="AA80" i="18"/>
  <c r="AA83" i="18"/>
  <c r="AA79" i="18"/>
  <c r="Q16" i="17"/>
  <c r="BO58" i="18"/>
  <c r="AF77" i="18"/>
  <c r="Y72" i="18"/>
  <c r="Y41" i="15" s="1"/>
  <c r="AD81" i="18"/>
  <c r="AC81" i="18"/>
  <c r="AC84" i="18"/>
  <c r="AC80" i="18"/>
  <c r="AA87" i="18"/>
  <c r="Z81" i="18"/>
  <c r="Z80" i="18"/>
  <c r="Z79" i="18"/>
  <c r="Z84" i="18"/>
  <c r="Z83" i="18"/>
  <c r="AA86" i="18"/>
  <c r="Z87" i="18"/>
  <c r="AF88" i="18"/>
  <c r="AF89" i="18" s="1"/>
  <c r="Y86" i="18"/>
  <c r="AB88" i="18"/>
  <c r="AT57" i="18" l="1"/>
  <c r="AZ88" i="18"/>
  <c r="Z56" i="18"/>
  <c r="Z18" i="11" s="1"/>
  <c r="AZ87" i="18"/>
  <c r="Z51" i="18"/>
  <c r="Z13" i="11" s="1"/>
  <c r="Z57" i="18"/>
  <c r="Z19" i="11" s="1"/>
  <c r="Z58" i="18"/>
  <c r="Z20" i="11" s="1"/>
  <c r="Z54" i="18"/>
  <c r="Z16" i="11" s="1"/>
  <c r="Z52" i="18"/>
  <c r="Z14" i="11" s="1"/>
  <c r="Z53" i="18"/>
  <c r="Z15" i="11" s="1"/>
  <c r="Z55" i="18"/>
  <c r="Z17" i="11" s="1"/>
  <c r="AD89" i="18"/>
  <c r="K22" i="18"/>
  <c r="Z89" i="18"/>
  <c r="Q13" i="17"/>
  <c r="AC77" i="18"/>
  <c r="BO55" i="18"/>
  <c r="AF20" i="18"/>
  <c r="AF22" i="18" s="1"/>
  <c r="Z77" i="18"/>
  <c r="Q10" i="17"/>
  <c r="BO52" i="18"/>
  <c r="BO56" i="18"/>
  <c r="Q14" i="17"/>
  <c r="AD77" i="18"/>
  <c r="AB89" i="18"/>
  <c r="BO54" i="18"/>
  <c r="Q12" i="17"/>
  <c r="AB77" i="18"/>
  <c r="AC89" i="18"/>
  <c r="BO53" i="18"/>
  <c r="AA77" i="18"/>
  <c r="Q11" i="17"/>
  <c r="Y77" i="18"/>
  <c r="Q9" i="17"/>
  <c r="BO51" i="18"/>
  <c r="AA89" i="18"/>
  <c r="AW70" i="18"/>
  <c r="AW72" i="18" s="1"/>
  <c r="AT72" i="18"/>
  <c r="AT41" i="15" s="1"/>
  <c r="AT42" i="15" s="1"/>
  <c r="Y89" i="18"/>
  <c r="D22" i="18" l="1"/>
  <c r="AZ89" i="18"/>
  <c r="AU57" i="18"/>
  <c r="AV19" i="11" s="1"/>
  <c r="BO57" i="18"/>
  <c r="AZ77" i="18"/>
  <c r="AU58" i="18"/>
  <c r="AV20" i="11" s="1"/>
  <c r="AC15" i="17"/>
  <c r="Y42" i="15"/>
  <c r="D42" i="15"/>
  <c r="BO41" i="15"/>
  <c r="AU7" i="11"/>
  <c r="Z71" i="18"/>
  <c r="AA71" i="18" s="1"/>
  <c r="AB71" i="18" s="1"/>
  <c r="Z69" i="18"/>
  <c r="AA69" i="18" s="1"/>
  <c r="AB69" i="18" s="1"/>
  <c r="Z70" i="18"/>
  <c r="AA70" i="18" s="1"/>
  <c r="AB70" i="18" s="1"/>
  <c r="Z67" i="18"/>
  <c r="AA67" i="18" s="1"/>
  <c r="AB67" i="18" s="1"/>
  <c r="Z63" i="18"/>
  <c r="Z68" i="18"/>
  <c r="AA68" i="18" s="1"/>
  <c r="AB68" i="18" s="1"/>
  <c r="AT38" i="15" l="1"/>
  <c r="AW46" i="5" s="1"/>
  <c r="D38" i="15"/>
  <c r="AT17" i="5"/>
  <c r="AT16" i="5"/>
  <c r="AU16" i="5" s="1"/>
  <c r="D14" i="5"/>
  <c r="G14" i="5" s="1"/>
  <c r="D10" i="5"/>
  <c r="D16" i="5"/>
  <c r="G16" i="5" s="1"/>
  <c r="D15" i="5"/>
  <c r="D17" i="5"/>
  <c r="D13" i="5"/>
  <c r="G13" i="5" s="1"/>
  <c r="D12" i="5"/>
  <c r="D11" i="5"/>
  <c r="F11" i="5" s="1"/>
  <c r="K25" i="5" s="1"/>
  <c r="L25" i="5" s="1"/>
  <c r="Y7" i="11"/>
  <c r="AA18" i="11" s="1"/>
  <c r="Y14" i="5"/>
  <c r="AA14" i="5" s="1"/>
  <c r="AF31" i="5" s="1"/>
  <c r="AG31" i="5" s="1"/>
  <c r="Y10" i="5"/>
  <c r="Y16" i="5"/>
  <c r="AB16" i="5" s="1"/>
  <c r="AF44" i="5" s="1"/>
  <c r="AG44" i="5" s="1"/>
  <c r="Y11" i="5"/>
  <c r="Z11" i="5" s="1"/>
  <c r="AG22" i="5" s="1"/>
  <c r="Y17" i="5"/>
  <c r="Y13" i="5"/>
  <c r="Z13" i="5" s="1"/>
  <c r="AF34" i="5" s="1"/>
  <c r="AG34" i="5" s="1"/>
  <c r="Y12" i="5"/>
  <c r="Y15" i="5"/>
  <c r="AU38" i="15"/>
  <c r="E38" i="15"/>
  <c r="G47" i="5" s="1"/>
  <c r="M47" i="5" s="1"/>
  <c r="O47" i="5" s="1"/>
  <c r="Y38" i="15"/>
  <c r="Z38" i="15"/>
  <c r="AB47" i="5" s="1"/>
  <c r="AH47" i="5" s="1"/>
  <c r="AJ47" i="5" s="1"/>
  <c r="BO42" i="15"/>
  <c r="D7" i="11"/>
  <c r="F16" i="11" s="1"/>
  <c r="BC46" i="5"/>
  <c r="BE46" i="5" s="1"/>
  <c r="Z72" i="18"/>
  <c r="AA63" i="18"/>
  <c r="AW19" i="11"/>
  <c r="AW20" i="11"/>
  <c r="AH44" i="5" l="1"/>
  <c r="AJ44" i="5" s="1"/>
  <c r="AH45" i="5"/>
  <c r="AJ45" i="5" s="1"/>
  <c r="AV16" i="5"/>
  <c r="BA45" i="5" s="1"/>
  <c r="BB45" i="5" s="1"/>
  <c r="BC45" i="5" s="1"/>
  <c r="BE45" i="5" s="1"/>
  <c r="AW16" i="5"/>
  <c r="AW38" i="15"/>
  <c r="AW47" i="5"/>
  <c r="BC47" i="5" s="1"/>
  <c r="BE47" i="5" s="1"/>
  <c r="AT61" i="5" s="1"/>
  <c r="AX20" i="11" s="1"/>
  <c r="AV38" i="15"/>
  <c r="AA13" i="11"/>
  <c r="AA17" i="11"/>
  <c r="AA16" i="11"/>
  <c r="AA19" i="11"/>
  <c r="AA15" i="11"/>
  <c r="AA20" i="11"/>
  <c r="AA14" i="11"/>
  <c r="AB14" i="5"/>
  <c r="AA16" i="5"/>
  <c r="AF42" i="5" s="1"/>
  <c r="AG42" i="5" s="1"/>
  <c r="AH42" i="5" s="1"/>
  <c r="AJ42" i="5" s="1"/>
  <c r="Z16" i="5"/>
  <c r="AB13" i="5"/>
  <c r="F38" i="15"/>
  <c r="Z14" i="5"/>
  <c r="AF28" i="5" s="1"/>
  <c r="AG28" i="5" s="1"/>
  <c r="AH30" i="5" s="1"/>
  <c r="AJ30" i="5" s="1"/>
  <c r="AA11" i="5"/>
  <c r="AF25" i="5" s="1"/>
  <c r="AB11" i="5"/>
  <c r="AA13" i="5"/>
  <c r="AF37" i="5" s="1"/>
  <c r="AG37" i="5" s="1"/>
  <c r="AH38" i="5" s="1"/>
  <c r="AJ38" i="5" s="1"/>
  <c r="G46" i="5"/>
  <c r="M46" i="5" s="1"/>
  <c r="G11" i="5"/>
  <c r="F13" i="11"/>
  <c r="AA38" i="15"/>
  <c r="F14" i="11"/>
  <c r="E11" i="5"/>
  <c r="K22" i="5" s="1"/>
  <c r="L22" i="5" s="1"/>
  <c r="M24" i="5" s="1"/>
  <c r="O24" i="5" s="1"/>
  <c r="F18" i="11"/>
  <c r="F19" i="11"/>
  <c r="F20" i="11"/>
  <c r="F17" i="11"/>
  <c r="AB38" i="15"/>
  <c r="AB46" i="5"/>
  <c r="AH46" i="5" s="1"/>
  <c r="E16" i="5"/>
  <c r="K39" i="5" s="1"/>
  <c r="L39" i="5" s="1"/>
  <c r="M39" i="5" s="1"/>
  <c r="O39" i="5" s="1"/>
  <c r="F15" i="11"/>
  <c r="F16" i="5"/>
  <c r="K42" i="5" s="1"/>
  <c r="L42" i="5" s="1"/>
  <c r="M42" i="5" s="1"/>
  <c r="O42" i="5" s="1"/>
  <c r="E14" i="5"/>
  <c r="K28" i="5" s="1"/>
  <c r="L28" i="5" s="1"/>
  <c r="M30" i="5" s="1"/>
  <c r="O30" i="5" s="1"/>
  <c r="G38" i="15"/>
  <c r="F14" i="5"/>
  <c r="K31" i="5" s="1"/>
  <c r="L31" i="5" s="1"/>
  <c r="M33" i="5" s="1"/>
  <c r="O33" i="5" s="1"/>
  <c r="E13" i="5"/>
  <c r="K34" i="5" s="1"/>
  <c r="L34" i="5" s="1"/>
  <c r="M35" i="5" s="1"/>
  <c r="O35" i="5" s="1"/>
  <c r="F13" i="5"/>
  <c r="K37" i="5" s="1"/>
  <c r="L37" i="5" s="1"/>
  <c r="M37" i="5" s="1"/>
  <c r="O37" i="5" s="1"/>
  <c r="AH24" i="5"/>
  <c r="AJ24" i="5" s="1"/>
  <c r="AH22" i="5"/>
  <c r="AJ22" i="5" s="1"/>
  <c r="AH23" i="5"/>
  <c r="AJ23" i="5" s="1"/>
  <c r="BA41" i="5"/>
  <c r="BB41" i="5" s="1"/>
  <c r="BC41" i="5" s="1"/>
  <c r="BE41" i="5" s="1"/>
  <c r="BA40" i="5"/>
  <c r="BB40" i="5" s="1"/>
  <c r="BC40" i="5" s="1"/>
  <c r="BE40" i="5" s="1"/>
  <c r="BA39" i="5"/>
  <c r="BB39" i="5" s="1"/>
  <c r="BC39" i="5" s="1"/>
  <c r="BE39" i="5" s="1"/>
  <c r="AA72" i="18"/>
  <c r="AB63" i="18"/>
  <c r="AB72" i="18" s="1"/>
  <c r="AH31" i="5"/>
  <c r="AJ31" i="5" s="1"/>
  <c r="AH32" i="5"/>
  <c r="AJ32" i="5" s="1"/>
  <c r="AH33" i="5"/>
  <c r="AJ33" i="5" s="1"/>
  <c r="AH36" i="5"/>
  <c r="AJ36" i="5" s="1"/>
  <c r="AH34" i="5"/>
  <c r="AJ34" i="5" s="1"/>
  <c r="AH35" i="5"/>
  <c r="AJ35" i="5" s="1"/>
  <c r="M25" i="5"/>
  <c r="O25" i="5" s="1"/>
  <c r="M26" i="5"/>
  <c r="O26" i="5" s="1"/>
  <c r="M27" i="5"/>
  <c r="O27" i="5" s="1"/>
  <c r="BA43" i="5" l="1"/>
  <c r="BB43" i="5" s="1"/>
  <c r="BC43" i="5" s="1"/>
  <c r="BE43" i="5" s="1"/>
  <c r="AJ46" i="5"/>
  <c r="Y61" i="5" s="1"/>
  <c r="AB20" i="11" s="1"/>
  <c r="O46" i="5"/>
  <c r="D61" i="5" s="1"/>
  <c r="G20" i="11" s="1"/>
  <c r="L20" i="11" s="1"/>
  <c r="M20" i="11" s="1"/>
  <c r="AG25" i="5"/>
  <c r="AH25" i="5" s="1"/>
  <c r="BA42" i="5"/>
  <c r="BB42" i="5" s="1"/>
  <c r="BC42" i="5" s="1"/>
  <c r="AH29" i="5"/>
  <c r="AJ29" i="5" s="1"/>
  <c r="AF43" i="5"/>
  <c r="AG43" i="5" s="1"/>
  <c r="AH43" i="5" s="1"/>
  <c r="AJ43" i="5" s="1"/>
  <c r="AH28" i="5"/>
  <c r="AF40" i="5"/>
  <c r="AG40" i="5" s="1"/>
  <c r="AF39" i="5"/>
  <c r="AG39" i="5" s="1"/>
  <c r="AH39" i="5" s="1"/>
  <c r="K45" i="5"/>
  <c r="L45" i="5" s="1"/>
  <c r="M45" i="5" s="1"/>
  <c r="O45" i="5" s="1"/>
  <c r="M31" i="5"/>
  <c r="O31" i="5" s="1"/>
  <c r="K43" i="5"/>
  <c r="L43" i="5" s="1"/>
  <c r="M43" i="5" s="1"/>
  <c r="O43" i="5" s="1"/>
  <c r="AH37" i="5"/>
  <c r="M22" i="5"/>
  <c r="O22" i="5" s="1"/>
  <c r="M23" i="5"/>
  <c r="O23" i="5" s="1"/>
  <c r="M28" i="5"/>
  <c r="O28" i="5" s="1"/>
  <c r="K40" i="5"/>
  <c r="L40" i="5" s="1"/>
  <c r="M40" i="5" s="1"/>
  <c r="O40" i="5" s="1"/>
  <c r="M29" i="5"/>
  <c r="O29" i="5" s="1"/>
  <c r="K41" i="5"/>
  <c r="L41" i="5" s="1"/>
  <c r="M41" i="5" s="1"/>
  <c r="O41" i="5" s="1"/>
  <c r="M36" i="5"/>
  <c r="O36" i="5" s="1"/>
  <c r="M32" i="5"/>
  <c r="O32" i="5" s="1"/>
  <c r="M34" i="5"/>
  <c r="O34" i="5" s="1"/>
  <c r="B25" i="5"/>
  <c r="Y56" i="5"/>
  <c r="AB15" i="11" s="1"/>
  <c r="M38" i="5"/>
  <c r="O38" i="5" s="1"/>
  <c r="BC20" i="11"/>
  <c r="BD20" i="11" s="1"/>
  <c r="D60" i="5"/>
  <c r="AT59" i="5"/>
  <c r="V48" i="5" l="1"/>
  <c r="T48" i="5"/>
  <c r="E57" i="5" s="1"/>
  <c r="H16" i="11" s="1"/>
  <c r="W48" i="5"/>
  <c r="E60" i="5" s="1"/>
  <c r="H19" i="11" s="1"/>
  <c r="R48" i="5"/>
  <c r="E55" i="5" s="1"/>
  <c r="H14" i="11" s="1"/>
  <c r="S48" i="5"/>
  <c r="E56" i="5" s="1"/>
  <c r="H15" i="11" s="1"/>
  <c r="X48" i="5"/>
  <c r="E61" i="5" s="1"/>
  <c r="H20" i="11" s="1"/>
  <c r="Q48" i="5"/>
  <c r="E54" i="5" s="1"/>
  <c r="H13" i="11" s="1"/>
  <c r="U48" i="5"/>
  <c r="E58" i="5" s="1"/>
  <c r="H17" i="11" s="1"/>
  <c r="AJ37" i="5"/>
  <c r="Y57" i="5" s="1"/>
  <c r="AB16" i="11" s="1"/>
  <c r="AJ39" i="5"/>
  <c r="Y60" i="5" s="1"/>
  <c r="AB19" i="11" s="1"/>
  <c r="BE42" i="5"/>
  <c r="AJ28" i="5"/>
  <c r="Y58" i="5" s="1"/>
  <c r="AB17" i="11" s="1"/>
  <c r="AJ25" i="5"/>
  <c r="D55" i="5"/>
  <c r="G14" i="11" s="1"/>
  <c r="E59" i="5"/>
  <c r="H18" i="11" s="1"/>
  <c r="AH26" i="5"/>
  <c r="AJ26" i="5" s="1"/>
  <c r="Y54" i="5" s="1"/>
  <c r="AH27" i="5"/>
  <c r="AJ27" i="5" s="1"/>
  <c r="AH40" i="5"/>
  <c r="AJ40" i="5" s="1"/>
  <c r="AH41" i="5"/>
  <c r="AJ41" i="5" s="1"/>
  <c r="D58" i="5"/>
  <c r="G17" i="11" s="1"/>
  <c r="B42" i="5"/>
  <c r="B22" i="5"/>
  <c r="D59" i="5"/>
  <c r="G18" i="11" s="1"/>
  <c r="D54" i="5"/>
  <c r="G13" i="11" s="1"/>
  <c r="D56" i="5"/>
  <c r="G15" i="11" s="1"/>
  <c r="B28" i="5"/>
  <c r="B39" i="5"/>
  <c r="B34" i="5"/>
  <c r="O48" i="5"/>
  <c r="D63" i="5" s="1"/>
  <c r="D57" i="5"/>
  <c r="G16" i="11" s="1"/>
  <c r="AG20" i="11"/>
  <c r="AH20" i="11" s="1"/>
  <c r="G19" i="11"/>
  <c r="AG15" i="11"/>
  <c r="AH15" i="11" s="1"/>
  <c r="Y55" i="5" l="1"/>
  <c r="AB14" i="11" s="1"/>
  <c r="AQ48" i="5"/>
  <c r="Z59" i="5" s="1"/>
  <c r="AC18" i="11" s="1"/>
  <c r="AP48" i="5"/>
  <c r="Z58" i="5" s="1"/>
  <c r="AC17" i="11" s="1"/>
  <c r="AE17" i="11" s="1"/>
  <c r="AS48" i="5"/>
  <c r="Z61" i="5" s="1"/>
  <c r="AC20" i="11" s="1"/>
  <c r="AE20" i="11" s="1"/>
  <c r="AI20" i="11" s="1"/>
  <c r="P16" i="17" s="1"/>
  <c r="R16" i="17" s="1"/>
  <c r="W22" i="17" s="1"/>
  <c r="W33" i="17" s="1"/>
  <c r="W34" i="17" s="1"/>
  <c r="AN48" i="5"/>
  <c r="Z56" i="5" s="1"/>
  <c r="AC15" i="11" s="1"/>
  <c r="AE15" i="11" s="1"/>
  <c r="AL48" i="5"/>
  <c r="Z54" i="5" s="1"/>
  <c r="AC13" i="11" s="1"/>
  <c r="AM48" i="5"/>
  <c r="Z55" i="5" s="1"/>
  <c r="AC14" i="11" s="1"/>
  <c r="AE14" i="11" s="1"/>
  <c r="AO48" i="5"/>
  <c r="Z57" i="5" s="1"/>
  <c r="AC16" i="11" s="1"/>
  <c r="AE16" i="11" s="1"/>
  <c r="AR48" i="5"/>
  <c r="Z60" i="5" s="1"/>
  <c r="AC19" i="11" s="1"/>
  <c r="AE19" i="11" s="1"/>
  <c r="J20" i="11"/>
  <c r="N20" i="11" s="1"/>
  <c r="D16" i="17" s="1"/>
  <c r="F16" i="17" s="1"/>
  <c r="K22" i="17" s="1"/>
  <c r="K33" i="17" s="1"/>
  <c r="K34" i="17" s="1"/>
  <c r="AT60" i="5"/>
  <c r="BN48" i="5"/>
  <c r="AU61" i="5" s="1"/>
  <c r="AY20" i="11" s="1"/>
  <c r="BA20" i="11" s="1"/>
  <c r="BE20" i="11" s="1"/>
  <c r="AB16" i="17" s="1"/>
  <c r="AD16" i="17" s="1"/>
  <c r="AI22" i="17" s="1"/>
  <c r="AI33" i="17" s="1"/>
  <c r="AI34" i="17" s="1"/>
  <c r="BM48" i="5"/>
  <c r="AU60" i="5" s="1"/>
  <c r="AY19" i="11" s="1"/>
  <c r="BL48" i="5"/>
  <c r="AU59" i="5" s="1"/>
  <c r="J16" i="11"/>
  <c r="BE48" i="5"/>
  <c r="AT63" i="5" s="1"/>
  <c r="J19" i="11"/>
  <c r="AG19" i="11"/>
  <c r="AH19" i="11" s="1"/>
  <c r="J14" i="11"/>
  <c r="J18" i="11"/>
  <c r="L15" i="11"/>
  <c r="M15" i="11" s="1"/>
  <c r="J15" i="11"/>
  <c r="J13" i="11"/>
  <c r="J17" i="11"/>
  <c r="AB13" i="11"/>
  <c r="AG13" i="11" s="1"/>
  <c r="Y59" i="5"/>
  <c r="AB18" i="11" s="1"/>
  <c r="AG18" i="11" s="1"/>
  <c r="AH18" i="11" s="1"/>
  <c r="AJ48" i="5"/>
  <c r="Y63" i="5" s="1"/>
  <c r="D62" i="5"/>
  <c r="AI15" i="11"/>
  <c r="P11" i="17" s="1"/>
  <c r="R11" i="17" s="1"/>
  <c r="R22" i="17" s="1"/>
  <c r="L14" i="11"/>
  <c r="M14" i="11" s="1"/>
  <c r="L18" i="11"/>
  <c r="M18" i="11" s="1"/>
  <c r="AG17" i="11"/>
  <c r="AH17" i="11" s="1"/>
  <c r="AG16" i="11"/>
  <c r="AH16" i="11" s="1"/>
  <c r="L19" i="11"/>
  <c r="M19" i="11" s="1"/>
  <c r="L17" i="11"/>
  <c r="M17" i="11" s="1"/>
  <c r="L16" i="11"/>
  <c r="M16" i="11" s="1"/>
  <c r="AG14" i="11"/>
  <c r="AH14" i="11" s="1"/>
  <c r="G21" i="11"/>
  <c r="L13" i="11"/>
  <c r="AI19" i="11" l="1"/>
  <c r="P15" i="17" s="1"/>
  <c r="R15" i="17" s="1"/>
  <c r="V22" i="17" s="1"/>
  <c r="V32" i="17" s="1"/>
  <c r="AE13" i="11"/>
  <c r="AE18" i="11"/>
  <c r="AI18" i="11" s="1"/>
  <c r="P14" i="17" s="1"/>
  <c r="R14" i="17" s="1"/>
  <c r="U22" i="17" s="1"/>
  <c r="U30" i="17" s="1"/>
  <c r="AT62" i="5"/>
  <c r="AX19" i="11"/>
  <c r="BA19" i="11" s="1"/>
  <c r="N15" i="11"/>
  <c r="D11" i="17" s="1"/>
  <c r="F11" i="17" s="1"/>
  <c r="F22" i="17" s="1"/>
  <c r="F26" i="17" s="1"/>
  <c r="Y62" i="5"/>
  <c r="AB21" i="11"/>
  <c r="R29" i="17"/>
  <c r="R30" i="17"/>
  <c r="R32" i="17"/>
  <c r="R28" i="17"/>
  <c r="R25" i="17"/>
  <c r="R33" i="17"/>
  <c r="R31" i="17"/>
  <c r="R26" i="17"/>
  <c r="R24" i="17"/>
  <c r="AI16" i="11"/>
  <c r="P12" i="17" s="1"/>
  <c r="R12" i="17" s="1"/>
  <c r="S22" i="17" s="1"/>
  <c r="S30" i="17" s="1"/>
  <c r="AI17" i="11"/>
  <c r="P13" i="17" s="1"/>
  <c r="R13" i="17" s="1"/>
  <c r="T22" i="17" s="1"/>
  <c r="T30" i="17" s="1"/>
  <c r="N14" i="11"/>
  <c r="D10" i="17" s="1"/>
  <c r="F10" i="17" s="1"/>
  <c r="E22" i="17" s="1"/>
  <c r="AI14" i="11"/>
  <c r="P10" i="17" s="1"/>
  <c r="R10" i="17" s="1"/>
  <c r="Q22" i="17" s="1"/>
  <c r="N17" i="11"/>
  <c r="D13" i="17" s="1"/>
  <c r="F13" i="17" s="1"/>
  <c r="H22" i="17" s="1"/>
  <c r="H26" i="17" s="1"/>
  <c r="N18" i="11"/>
  <c r="D14" i="17" s="1"/>
  <c r="F14" i="17" s="1"/>
  <c r="I22" i="17" s="1"/>
  <c r="I26" i="17" s="1"/>
  <c r="L21" i="11"/>
  <c r="M13" i="11"/>
  <c r="N13" i="11" s="1"/>
  <c r="D9" i="17" s="1"/>
  <c r="F9" i="17" s="1"/>
  <c r="N16" i="11"/>
  <c r="D12" i="17" s="1"/>
  <c r="F12" i="17" s="1"/>
  <c r="G22" i="17" s="1"/>
  <c r="G26" i="17" s="1"/>
  <c r="N19" i="11"/>
  <c r="D15" i="17" s="1"/>
  <c r="F15" i="17" s="1"/>
  <c r="J22" i="17" s="1"/>
  <c r="AG21" i="11"/>
  <c r="AH13" i="11"/>
  <c r="V33" i="17" l="1"/>
  <c r="V34" i="17" s="1"/>
  <c r="F25" i="17"/>
  <c r="F24" i="17"/>
  <c r="F29" i="17"/>
  <c r="AX21" i="11"/>
  <c r="BC19" i="11"/>
  <c r="F31" i="17"/>
  <c r="F33" i="17"/>
  <c r="F32" i="17"/>
  <c r="F28" i="17"/>
  <c r="F30" i="17"/>
  <c r="AI13" i="11"/>
  <c r="P9" i="17" s="1"/>
  <c r="R9" i="17" s="1"/>
  <c r="R17" i="17" s="1"/>
  <c r="Q29" i="17"/>
  <c r="Q30" i="17"/>
  <c r="U26" i="17"/>
  <c r="U32" i="17"/>
  <c r="U33" i="17"/>
  <c r="U31" i="17"/>
  <c r="T31" i="17"/>
  <c r="T26" i="17"/>
  <c r="T32" i="17"/>
  <c r="T25" i="17"/>
  <c r="T33" i="17"/>
  <c r="T29" i="17"/>
  <c r="R34" i="17"/>
  <c r="Q26" i="17"/>
  <c r="Q24" i="17"/>
  <c r="Q32" i="17"/>
  <c r="Q28" i="17"/>
  <c r="Q25" i="17"/>
  <c r="Q33" i="17"/>
  <c r="Q31" i="17"/>
  <c r="S33" i="17"/>
  <c r="S29" i="17"/>
  <c r="S31" i="17"/>
  <c r="S32" i="17"/>
  <c r="S25" i="17"/>
  <c r="S26" i="17"/>
  <c r="E33" i="17"/>
  <c r="E26" i="17"/>
  <c r="E29" i="17"/>
  <c r="E32" i="17"/>
  <c r="E30" i="17"/>
  <c r="E24" i="17"/>
  <c r="E31" i="17"/>
  <c r="E28" i="17"/>
  <c r="E25" i="17"/>
  <c r="J33" i="17"/>
  <c r="J32" i="17"/>
  <c r="F17" i="17"/>
  <c r="D22" i="17"/>
  <c r="D26" i="17" s="1"/>
  <c r="H31" i="17"/>
  <c r="H32" i="17"/>
  <c r="H33" i="17"/>
  <c r="H29" i="17"/>
  <c r="H25" i="17"/>
  <c r="H30" i="17"/>
  <c r="G32" i="17"/>
  <c r="G25" i="17"/>
  <c r="G29" i="17"/>
  <c r="G33" i="17"/>
  <c r="G31" i="17"/>
  <c r="G30" i="17"/>
  <c r="I32" i="17"/>
  <c r="I30" i="17"/>
  <c r="I33" i="17"/>
  <c r="I31" i="17"/>
  <c r="BC21" i="11" l="1"/>
  <c r="BD19" i="11"/>
  <c r="BE19" i="11" s="1"/>
  <c r="AB15" i="17" s="1"/>
  <c r="AD15" i="17" s="1"/>
  <c r="AD17" i="17" s="1"/>
  <c r="F34" i="17"/>
  <c r="P22" i="17"/>
  <c r="P29" i="17" s="1"/>
  <c r="X29" i="17" s="1"/>
  <c r="L26" i="17"/>
  <c r="S34" i="17"/>
  <c r="Q34" i="17"/>
  <c r="T34" i="17"/>
  <c r="U34" i="17"/>
  <c r="E34" i="17"/>
  <c r="G34" i="17"/>
  <c r="J34" i="17"/>
  <c r="I34" i="17"/>
  <c r="D28" i="17"/>
  <c r="L28" i="17" s="1"/>
  <c r="D25" i="17"/>
  <c r="L25" i="17" s="1"/>
  <c r="L22" i="17"/>
  <c r="D29" i="17"/>
  <c r="L29" i="17" s="1"/>
  <c r="D24" i="17"/>
  <c r="L24" i="17" s="1"/>
  <c r="D23" i="17"/>
  <c r="D32" i="17"/>
  <c r="L32" i="17" s="1"/>
  <c r="D27" i="17"/>
  <c r="L27" i="17" s="1"/>
  <c r="D31" i="17"/>
  <c r="L31" i="17" s="1"/>
  <c r="D33" i="17"/>
  <c r="L33" i="17" s="1"/>
  <c r="D30" i="17"/>
  <c r="L30" i="17" s="1"/>
  <c r="H34" i="17"/>
  <c r="AH22" i="17" l="1"/>
  <c r="AJ22" i="17" s="1"/>
  <c r="P33" i="17"/>
  <c r="X33" i="17" s="1"/>
  <c r="P44" i="17" s="1"/>
  <c r="R44" i="17" s="1"/>
  <c r="T44" i="17" s="1"/>
  <c r="X22" i="17"/>
  <c r="P23" i="17"/>
  <c r="X23" i="17" s="1"/>
  <c r="P25" i="17"/>
  <c r="X25" i="17" s="1"/>
  <c r="P53" i="17" s="1"/>
  <c r="R53" i="17" s="1"/>
  <c r="T53" i="17" s="1"/>
  <c r="P28" i="17"/>
  <c r="X28" i="17" s="1"/>
  <c r="P32" i="17"/>
  <c r="X32" i="17" s="1"/>
  <c r="P43" i="17" s="1"/>
  <c r="P24" i="17"/>
  <c r="X24" i="17" s="1"/>
  <c r="P30" i="17"/>
  <c r="X30" i="17" s="1"/>
  <c r="P31" i="17"/>
  <c r="X31" i="17" s="1"/>
  <c r="P27" i="17"/>
  <c r="X27" i="17" s="1"/>
  <c r="P26" i="17"/>
  <c r="X26" i="17" s="1"/>
  <c r="D55" i="17"/>
  <c r="F55" i="17" s="1"/>
  <c r="H55" i="17" s="1"/>
  <c r="D43" i="17"/>
  <c r="D40" i="17"/>
  <c r="F40" i="17" s="1"/>
  <c r="H40" i="17" s="1"/>
  <c r="D52" i="17"/>
  <c r="F52" i="17" s="1"/>
  <c r="H52" i="17" s="1"/>
  <c r="D44" i="17"/>
  <c r="F44" i="17" s="1"/>
  <c r="H44" i="17" s="1"/>
  <c r="D56" i="17"/>
  <c r="F56" i="17" s="1"/>
  <c r="H56" i="17" s="1"/>
  <c r="D53" i="17"/>
  <c r="D41" i="17"/>
  <c r="F41" i="17" s="1"/>
  <c r="D54" i="17"/>
  <c r="F54" i="17" s="1"/>
  <c r="H54" i="17" s="1"/>
  <c r="D42" i="17"/>
  <c r="F42" i="17" s="1"/>
  <c r="D34" i="17"/>
  <c r="L23" i="17"/>
  <c r="AH32" i="17" l="1"/>
  <c r="AJ32" i="17" s="1"/>
  <c r="AB43" i="17" s="1"/>
  <c r="AD43" i="17" s="1"/>
  <c r="AH33" i="17"/>
  <c r="AJ33" i="17" s="1"/>
  <c r="AB44" i="17" s="1"/>
  <c r="AD44" i="17" s="1"/>
  <c r="AF44" i="17" s="1"/>
  <c r="P56" i="17"/>
  <c r="R56" i="17" s="1"/>
  <c r="T56" i="17" s="1"/>
  <c r="P55" i="17"/>
  <c r="R55" i="17" s="1"/>
  <c r="T55" i="17" s="1"/>
  <c r="P41" i="17"/>
  <c r="R41" i="17" s="1"/>
  <c r="T41" i="17" s="1"/>
  <c r="P52" i="17"/>
  <c r="R52" i="17" s="1"/>
  <c r="T52" i="17" s="1"/>
  <c r="P42" i="17"/>
  <c r="R42" i="17" s="1"/>
  <c r="T42" i="17" s="1"/>
  <c r="P34" i="17"/>
  <c r="P40" i="17"/>
  <c r="R40" i="17" s="1"/>
  <c r="T40" i="17" s="1"/>
  <c r="P51" i="17"/>
  <c r="R51" i="17" s="1"/>
  <c r="T51" i="17" s="1"/>
  <c r="D64" i="17"/>
  <c r="F64" i="17" s="1"/>
  <c r="H64" i="17" s="1"/>
  <c r="D65" i="17"/>
  <c r="F65" i="17" s="1"/>
  <c r="H65" i="17" s="1"/>
  <c r="R43" i="17"/>
  <c r="T43" i="17" s="1"/>
  <c r="P65" i="17"/>
  <c r="R65" i="17" s="1"/>
  <c r="T65" i="17" s="1"/>
  <c r="P54" i="17"/>
  <c r="R54" i="17" s="1"/>
  <c r="T54" i="17" s="1"/>
  <c r="F53" i="17"/>
  <c r="H53" i="17" s="1"/>
  <c r="D39" i="17"/>
  <c r="D63" i="17" s="1"/>
  <c r="D51" i="17"/>
  <c r="F51" i="17" s="1"/>
  <c r="H51" i="17" s="1"/>
  <c r="F43" i="17"/>
  <c r="H43" i="17" s="1"/>
  <c r="X34" i="17"/>
  <c r="H41" i="17"/>
  <c r="H42" i="17"/>
  <c r="L34" i="17"/>
  <c r="P39" i="17"/>
  <c r="AB55" i="17" l="1"/>
  <c r="AD55" i="17" s="1"/>
  <c r="AF55" i="17" s="1"/>
  <c r="AB56" i="17"/>
  <c r="AD56" i="17" s="1"/>
  <c r="AF56" i="17" s="1"/>
  <c r="AH34" i="17"/>
  <c r="AJ34" i="17"/>
  <c r="P64" i="17"/>
  <c r="R64" i="17" s="1"/>
  <c r="T64" i="17" s="1"/>
  <c r="P63" i="17"/>
  <c r="R63" i="17" s="1"/>
  <c r="T63" i="17" s="1"/>
  <c r="AB45" i="17"/>
  <c r="AB65" i="17"/>
  <c r="F63" i="17"/>
  <c r="H63" i="17" s="1"/>
  <c r="D66" i="17"/>
  <c r="D57" i="17"/>
  <c r="P57" i="17"/>
  <c r="AF43" i="17"/>
  <c r="P45" i="17"/>
  <c r="R39" i="17"/>
  <c r="D45" i="17"/>
  <c r="F39" i="17"/>
  <c r="AB57" i="17" l="1"/>
  <c r="P66" i="17"/>
  <c r="AD65" i="17"/>
  <c r="AF65" i="17" s="1"/>
  <c r="AB66" i="17"/>
  <c r="H39" i="17"/>
  <c r="T39" i="17"/>
</calcChain>
</file>

<file path=xl/comments1.xml><?xml version="1.0" encoding="utf-8"?>
<comments xmlns="http://schemas.openxmlformats.org/spreadsheetml/2006/main">
  <authors>
    <author>Harry Colebourn</author>
  </authors>
  <commentList>
    <comment ref="E63" authorId="0">
      <text>
        <r>
          <rPr>
            <b/>
            <sz val="9"/>
            <color rgb="FF000000"/>
            <rFont val="Arial"/>
            <family val="2"/>
          </rPr>
          <t>Harry Colebourn:</t>
        </r>
        <r>
          <rPr>
            <sz val="9"/>
            <color rgb="FF000000"/>
            <rFont val="Arial"/>
            <family val="2"/>
          </rPr>
          <t xml:space="preserve">
</t>
        </r>
        <r>
          <rPr>
            <sz val="9"/>
            <color rgb="FF000000"/>
            <rFont val="Arial"/>
            <family val="2"/>
          </rPr>
          <t>Based on share of 132/HV and 110/KV Zone capacity (1555 MVA) of total 132 and 110 tx capacity of 4340 MVA, RIN template 5.4</t>
        </r>
      </text>
    </comment>
  </commentList>
</comments>
</file>

<file path=xl/sharedStrings.xml><?xml version="1.0" encoding="utf-8"?>
<sst xmlns="http://schemas.openxmlformats.org/spreadsheetml/2006/main" count="1330" uniqueCount="481">
  <si>
    <t>LV</t>
  </si>
  <si>
    <t>km</t>
  </si>
  <si>
    <t>Description</t>
  </si>
  <si>
    <t>Unit</t>
  </si>
  <si>
    <t>Total</t>
  </si>
  <si>
    <t>no.</t>
  </si>
  <si>
    <t>Installed</t>
  </si>
  <si>
    <t>Usable</t>
  </si>
  <si>
    <t>Multiplier</t>
  </si>
  <si>
    <t>Voltage ID</t>
  </si>
  <si>
    <t>Pole Transformer 315kVA</t>
  </si>
  <si>
    <t>Padmount Transformer 750kVA</t>
  </si>
  <si>
    <t>Total Qty</t>
  </si>
  <si>
    <t>Unit Qty</t>
  </si>
  <si>
    <t>Voltage Level</t>
  </si>
  <si>
    <t>OH</t>
  </si>
  <si>
    <t>UG</t>
  </si>
  <si>
    <t>Capacity Calculations MVA</t>
  </si>
  <si>
    <t>Proportions (%)</t>
  </si>
  <si>
    <t>Urban %</t>
  </si>
  <si>
    <t>Rural %</t>
  </si>
  <si>
    <t>Opex Allowance</t>
  </si>
  <si>
    <t>Asset Cost</t>
  </si>
  <si>
    <t>% of load through network level</t>
  </si>
  <si>
    <t>Reference</t>
  </si>
  <si>
    <t>Peak Demand MW</t>
  </si>
  <si>
    <t>LV bus</t>
  </si>
  <si>
    <t>LV line</t>
  </si>
  <si>
    <t>Rate of Return</t>
  </si>
  <si>
    <t>Summary</t>
  </si>
  <si>
    <t xml:space="preserve">Tariff Details and Consumption/Demand Data </t>
  </si>
  <si>
    <t>Key Assumptions</t>
  </si>
  <si>
    <t>Worksheets</t>
  </si>
  <si>
    <t>Feeder Voltage</t>
  </si>
  <si>
    <t>Total Feeders (no.)</t>
  </si>
  <si>
    <t>OH Length (km)</t>
  </si>
  <si>
    <t>UG Length (km)</t>
  </si>
  <si>
    <t>Tariff Class</t>
  </si>
  <si>
    <t>Power Factor</t>
  </si>
  <si>
    <t>The network cost in $ is used with the WACC to estimate annualised rates in $/kW at each voltage level.</t>
  </si>
  <si>
    <t>Standard estimates</t>
  </si>
  <si>
    <t>The 500MW model $/kW costs are used in conjunction with calculated network share (at time of peak demand) to translate the costs to each tariff class.</t>
  </si>
  <si>
    <t>No. of feeders
OH</t>
  </si>
  <si>
    <t>No. of feeders
UG</t>
  </si>
  <si>
    <t>Check</t>
  </si>
  <si>
    <t>Total (*excl EGs)</t>
  </si>
  <si>
    <t>Voltage Level Share - based on contribution to peak demand</t>
  </si>
  <si>
    <t>Building Block Description</t>
  </si>
  <si>
    <t>DLF</t>
  </si>
  <si>
    <t>Opex $/yr</t>
  </si>
  <si>
    <t>Opex
$/kW/yr</t>
  </si>
  <si>
    <t>Total 
$/kW/yr</t>
  </si>
  <si>
    <t>Calculations - 500MW Model - $/kW Rates by Voltage Level</t>
  </si>
  <si>
    <t>Allocated Cost $/yr</t>
  </si>
  <si>
    <t>Voltage level cost allocation</t>
  </si>
  <si>
    <t>Allocated 
Cost $</t>
  </si>
  <si>
    <t>Demand MW (incl losses)</t>
  </si>
  <si>
    <t>Capacity MW</t>
  </si>
  <si>
    <t>Required</t>
  </si>
  <si>
    <t>Required Capacity (excl. losses)</t>
  </si>
  <si>
    <t>Total MW</t>
  </si>
  <si>
    <t>Urban MW</t>
  </si>
  <si>
    <t>Rural MW</t>
  </si>
  <si>
    <t>units</t>
  </si>
  <si>
    <t>Standard Estimates</t>
  </si>
  <si>
    <t>Input Parameters - Tariff Class</t>
  </si>
  <si>
    <t>Demand Allocator (MW)</t>
  </si>
  <si>
    <t>LRMC 
$/kW/annum</t>
  </si>
  <si>
    <t>LRMC 
$/kVA/annum</t>
  </si>
  <si>
    <t>HV line</t>
  </si>
  <si>
    <t>HV bus</t>
  </si>
  <si>
    <t>East</t>
  </si>
  <si>
    <t>West</t>
  </si>
  <si>
    <t>MI</t>
  </si>
  <si>
    <t>HV feeder - rural</t>
  </si>
  <si>
    <t>HV feeder - urban</t>
  </si>
  <si>
    <t>HV feeder - rural long</t>
  </si>
  <si>
    <t>LV total length</t>
  </si>
  <si>
    <t>1.  General</t>
  </si>
  <si>
    <t>2.  Distribution Loss Factors</t>
  </si>
  <si>
    <t>3.  Feeder Data and Calculations</t>
  </si>
  <si>
    <t>4.  Substation Data</t>
  </si>
  <si>
    <t>ST</t>
  </si>
  <si>
    <t>HV</t>
  </si>
  <si>
    <t>HV/LV</t>
  </si>
  <si>
    <t>ST/HV</t>
  </si>
  <si>
    <t>Trans</t>
  </si>
  <si>
    <t>Legend</t>
  </si>
  <si>
    <t>400, 230V</t>
  </si>
  <si>
    <t>132, 110kV</t>
  </si>
  <si>
    <t>66, 33kV</t>
  </si>
  <si>
    <t>22, 11kV</t>
  </si>
  <si>
    <t>Remote Rural %</t>
  </si>
  <si>
    <t>Mt Isa</t>
  </si>
  <si>
    <t>LV UG cable</t>
  </si>
  <si>
    <t>LV OH on timber poles</t>
  </si>
  <si>
    <t>HV OH Feeder (PLUTO or MOON)</t>
  </si>
  <si>
    <t>HV UG Feeder 240mm2</t>
  </si>
  <si>
    <t>Tariff</t>
  </si>
  <si>
    <t>ICC 132</t>
  </si>
  <si>
    <t>ICC 66</t>
  </si>
  <si>
    <t>ICC 33</t>
  </si>
  <si>
    <t>ICC HV B</t>
  </si>
  <si>
    <t>CAC 132</t>
  </si>
  <si>
    <t>CAC 66</t>
  </si>
  <si>
    <t>CAC 33</t>
  </si>
  <si>
    <t>CAC HV B</t>
  </si>
  <si>
    <t>CAC HV L</t>
  </si>
  <si>
    <t>SAV LV B</t>
  </si>
  <si>
    <t>SAC LV L</t>
  </si>
  <si>
    <t>SAC HV L</t>
  </si>
  <si>
    <t>GWh</t>
  </si>
  <si>
    <t>kW</t>
  </si>
  <si>
    <t>ICC</t>
  </si>
  <si>
    <t>CAC</t>
  </si>
  <si>
    <t>SAC</t>
  </si>
  <si>
    <t>2014/15 demand</t>
  </si>
  <si>
    <t>ST SCOH Timber Poles Rural</t>
  </si>
  <si>
    <t>Trans SCOH Timber Poles</t>
  </si>
  <si>
    <t>ST UG</t>
  </si>
  <si>
    <t>ST SCOH Concrete Poles Urban</t>
  </si>
  <si>
    <t>HV/LV Kiosk</t>
  </si>
  <si>
    <t>HV/LV PTT</t>
  </si>
  <si>
    <t>HV OH</t>
  </si>
  <si>
    <t>HV UG</t>
  </si>
  <si>
    <t>LV OH</t>
  </si>
  <si>
    <t>LV UG</t>
  </si>
  <si>
    <t>Trans UG 1600mm2 cable</t>
  </si>
  <si>
    <t>2 x 20 MVA ST zone</t>
  </si>
  <si>
    <t>Calculations - Application to Ergon Tariff Classes</t>
  </si>
  <si>
    <t>141010 AER DCOS 15-16_v11.xlsm</t>
  </si>
  <si>
    <t>Voltage</t>
  </si>
  <si>
    <t>- 500MW capacity at individual grid supply point (TNCP) level
- design of a hypothetical network on a greenfield site
- based on current network configuration
- incorporates modern equivalent assets
- no embedded generation
- no spare capacity for future growth
- emergency ratings can be used in fault or outage situations
- the proportion of UG and OH assets at each network level reflects current Ergon average
- average lengths of overhead and underground cable are used at each voltage level
- based on shared assets only, no customer specific assets are included
- unit costs using normal procurement methods, based on Ergon standard estimates
- unit costs reflect total purchase and installation, including building and civil works and overheads
- land costs are not included</t>
  </si>
  <si>
    <t>Filename:  Ergon 500MW v03.xlsx</t>
  </si>
  <si>
    <t>Remote Rural</t>
  </si>
  <si>
    <t>TBC - Average based on RIN capacities</t>
  </si>
  <si>
    <t>Util'n</t>
  </si>
  <si>
    <t>Assets
$/kW/yr</t>
  </si>
  <si>
    <t>HV Bus</t>
  </si>
  <si>
    <t>LV Bus</t>
  </si>
  <si>
    <t>HV Line</t>
  </si>
  <si>
    <t>LV Line</t>
  </si>
  <si>
    <t>HV/LV PTT rural</t>
  </si>
  <si>
    <t>Pole Transformer 25-100kVA</t>
  </si>
  <si>
    <t>2018/19 DLF</t>
  </si>
  <si>
    <t>As published by AEMO for Queensland July 2018.</t>
  </si>
  <si>
    <t>DAPR 2017</t>
  </si>
  <si>
    <t>million</t>
  </si>
  <si>
    <t>Transformers</t>
  </si>
  <si>
    <t>Poles</t>
  </si>
  <si>
    <t>Network Statistics</t>
  </si>
  <si>
    <t>Network Area Serviced</t>
  </si>
  <si>
    <t>Power Stations (isolated)</t>
  </si>
  <si>
    <t>Bulk Supply Substations</t>
  </si>
  <si>
    <t>Zone Substations (ZS)</t>
  </si>
  <si>
    <t>million sq. km</t>
  </si>
  <si>
    <t>Major Power Transformers Power Transformers (33 kV to 132 kV)</t>
  </si>
  <si>
    <t>Distribution Transformers 101000</t>
  </si>
  <si>
    <t>Power Poles</t>
  </si>
  <si>
    <t>Overhead Powerlines - Sub-transmission</t>
  </si>
  <si>
    <t xml:space="preserve"> - High Voltage Distribution</t>
  </si>
  <si>
    <t>Number of Feeders - Sub-transmission feeders</t>
  </si>
  <si>
    <t>- Distribution feeders3</t>
  </si>
  <si>
    <t>Underground Power Cable</t>
  </si>
  <si>
    <t>Notes</t>
  </si>
  <si>
    <t>Real vanilla WACC 2018/19 March 2018 update</t>
  </si>
  <si>
    <t>Standard Asset Customers – Small: Residential (&lt;100 MWh a year) 636,940</t>
  </si>
  <si>
    <t>Standard Asset Customers – Small: Business (&lt;100 MWh a year) 101,119</t>
  </si>
  <si>
    <t>Standard Asset Customers – Large (100 MWh to 4 GWh a year) 8,207</t>
  </si>
  <si>
    <t>Connection Asset Customers (4 GWh to 40 GWh a year) 160</t>
  </si>
  <si>
    <t>Individually Calculated Customers (&gt;40 GWh a year) 74</t>
  </si>
  <si>
    <t>Total 746,500</t>
  </si>
  <si>
    <t>2017 RIN for 2016/17</t>
  </si>
  <si>
    <t>Scaled demand for SACs</t>
  </si>
  <si>
    <t>Input Parameters - for network model</t>
  </si>
  <si>
    <t>Total kW</t>
  </si>
  <si>
    <t>Calculations - LRIC Model - Asset Costs</t>
  </si>
  <si>
    <r>
      <t xml:space="preserve">LRIC Model </t>
    </r>
    <r>
      <rPr>
        <b/>
        <sz val="11"/>
        <color indexed="9"/>
        <rFont val="Consolas"/>
        <family val="2"/>
      </rPr>
      <t>$/kW/yr</t>
    </r>
  </si>
  <si>
    <t>LRIC Model $/kW/yr</t>
  </si>
  <si>
    <t>Adjusted for contributed LV connection assets</t>
  </si>
  <si>
    <t>Opex rate</t>
  </si>
  <si>
    <t>Ergon</t>
  </si>
  <si>
    <t>Sheet</t>
  </si>
  <si>
    <t>Cell</t>
  </si>
  <si>
    <t>Input</t>
  </si>
  <si>
    <t>Source Information</t>
  </si>
  <si>
    <t>Pre Tax Real WACC</t>
  </si>
  <si>
    <t>AER PTRM</t>
  </si>
  <si>
    <t>D7</t>
  </si>
  <si>
    <t>D8</t>
  </si>
  <si>
    <t>500MW - as per UK.  Does not affect outcomes.</t>
  </si>
  <si>
    <t>% of ORC as Opex</t>
  </si>
  <si>
    <t>DLFs</t>
  </si>
  <si>
    <t>By Voltage Level</t>
  </si>
  <si>
    <t>AEMO</t>
  </si>
  <si>
    <t>Average Feeder Lengths and Proportion UG:OH</t>
  </si>
  <si>
    <t>By Voltage Level, Type and Location</t>
  </si>
  <si>
    <t>Total LV Feeder Length</t>
  </si>
  <si>
    <t>By Type (OH/UG)</t>
  </si>
  <si>
    <t>2017 DAPR</t>
  </si>
  <si>
    <t>Total No. of Feeders</t>
  </si>
  <si>
    <t>Direct Transformation 110kV/11kV</t>
  </si>
  <si>
    <t>zone capacity for 110/10 as a % of total</t>
  </si>
  <si>
    <t>System Peak Demand</t>
  </si>
  <si>
    <t>By Tariff Class</t>
  </si>
  <si>
    <t>DCOS Model</t>
  </si>
  <si>
    <t>Anytime Max Demand</t>
  </si>
  <si>
    <t>2013-14 Consumption</t>
  </si>
  <si>
    <t>GWh, by Tariff Class</t>
  </si>
  <si>
    <t>2013-14 Power Factor lower limit</t>
  </si>
  <si>
    <t>LRIC Model Notes</t>
  </si>
  <si>
    <t xml:space="preserve">In the UK, distribution companies use a Common Distribution Charging Model (CDCM) or a ‘500MW model’ as the foundation for setting distribution tariffs. This model calculates costs on a long run incremental cost (LRIC) basis.  
The model represents a hypothetical, independent network which is designed as an extension to the existing network and reflects the configuration and geographic characteristics of the existing network.  The model is designed such that it is capable of supplying 500MW of diversified demand at each voltage level (note that this level of demand is adjustable).
Under the National Electricity Rules, Distributors must base their tariffs on the LRMC od supply.  Current models for LRMC are based on the average incremental cost (AIC) approach, which uses forecast demand and expense .  This approach is widely used by other Australian distributors, however it may not produce reliable results when demand is expected to stabilise or decrease.
The development of a LRIC model for Energex will allow the LRMC to be calculated independently of future demand and expenditure, leading to a more stable estimate over time that truly reflects long run considerations.  </t>
  </si>
  <si>
    <t>Calcs - LRIC - Asset costs</t>
  </si>
  <si>
    <t>Calcs - LRIC - $kW by voltage</t>
  </si>
  <si>
    <t>Inputs - network configuration</t>
  </si>
  <si>
    <r>
      <t xml:space="preserve">Inputs for the LRIC network model calculations are entered.
</t>
    </r>
    <r>
      <rPr>
        <b/>
        <sz val="10"/>
        <color rgb="FF0070C0"/>
        <rFont val="Consolas"/>
        <family val="2"/>
      </rPr>
      <t>Blue figures</t>
    </r>
    <r>
      <rPr>
        <sz val="10"/>
        <rFont val="Consolas"/>
        <family val="2"/>
      </rPr>
      <t xml:space="preserve"> represent a data entry field.</t>
    </r>
  </si>
  <si>
    <t>Inputs - tariff class</t>
  </si>
  <si>
    <r>
      <t xml:space="preserve">Tariff class data for the network is entered, including demand, energy, power factors.
</t>
    </r>
    <r>
      <rPr>
        <b/>
        <sz val="10"/>
        <color rgb="FF0070C0"/>
        <rFont val="Consolas"/>
        <family val="2"/>
      </rPr>
      <t>Blue figures</t>
    </r>
    <r>
      <rPr>
        <sz val="10"/>
        <rFont val="Consolas"/>
        <family val="2"/>
      </rPr>
      <t xml:space="preserve"> represent a data entry field.</t>
    </r>
  </si>
  <si>
    <t>Standard estimates are sourced from internal data or the annual RIN.
The assumed capacity for each transformer is provided.</t>
  </si>
  <si>
    <t>Standard estimates and key assumptions used to calculate the total asset cost (in $) for the hypothetical 500MW network.</t>
  </si>
  <si>
    <t>Version Control</t>
  </si>
  <si>
    <t>Version</t>
  </si>
  <si>
    <t>Date</t>
  </si>
  <si>
    <t>Description/Updates</t>
  </si>
  <si>
    <t>Revised and updated.</t>
  </si>
  <si>
    <t>As per UK models</t>
  </si>
  <si>
    <t>4.  Contributed assets</t>
  </si>
  <si>
    <t>Proportion</t>
  </si>
  <si>
    <t>5.  Feeder lengths</t>
  </si>
  <si>
    <t>Totals</t>
  </si>
  <si>
    <t>Model demand</t>
  </si>
  <si>
    <t>Proportion contributed</t>
  </si>
  <si>
    <t>ATMD kVA</t>
  </si>
  <si>
    <t>MD kVA</t>
  </si>
  <si>
    <t>ICC HV Bus</t>
  </si>
  <si>
    <t>CAC HV Bus</t>
  </si>
  <si>
    <t>CAC HV Line</t>
  </si>
  <si>
    <t>SAC HV Line</t>
  </si>
  <si>
    <t>2015/16  ATMD MW DCOS</t>
  </si>
  <si>
    <t>SAC LV Bus</t>
  </si>
  <si>
    <t>SAC LV Line</t>
  </si>
  <si>
    <t>2016/17 demand at system peak MW</t>
  </si>
  <si>
    <t>2015-16 Consumption GWh DCOS</t>
  </si>
  <si>
    <t>2015-16 Demand at System Peak MW</t>
  </si>
  <si>
    <t>Tariff class cost allocation</t>
  </si>
  <si>
    <t>STDDESZPB1</t>
  </si>
  <si>
    <t>25MVA Urban Substation</t>
  </si>
  <si>
    <t>V_71946</t>
  </si>
  <si>
    <t>11kV 1000kVA Padmount With 2S1F</t>
  </si>
  <si>
    <t>V_71941</t>
  </si>
  <si>
    <t>11kV 500kVA Padmount With 2S1F</t>
  </si>
  <si>
    <t>V_71940</t>
  </si>
  <si>
    <t>11kV 315kVA Padmount With 2S1F</t>
  </si>
  <si>
    <t>V_71587</t>
  </si>
  <si>
    <t>11kV Transformer Overhead 315kVA</t>
  </si>
  <si>
    <t>D_11KV_TX</t>
  </si>
  <si>
    <t>INSTALL_11kV_DIST_POLE_MOUNTED_TX</t>
  </si>
  <si>
    <t>D_22KV_TX</t>
  </si>
  <si>
    <t>INSTALL_22kV_DIST_POLE_MOUNTED_TX</t>
  </si>
  <si>
    <t>V_TXM1_INS</t>
  </si>
  <si>
    <t>INSTALL 33/11kV POWER TX 20MVA</t>
  </si>
  <si>
    <t>Average rate for OH 132-110 kV rural</t>
  </si>
  <si>
    <t>Average rate for OH ST Urban</t>
  </si>
  <si>
    <t>Average rate for OH ST Rural</t>
  </si>
  <si>
    <t>V_UG132_CBL</t>
  </si>
  <si>
    <t>132kV UG TRANSMISSION 1kM</t>
  </si>
  <si>
    <t>D_1KM_LINE</t>
  </si>
  <si>
    <t>INSTALL_1KM_3PH_OH_LINE</t>
  </si>
  <si>
    <t xml:space="preserve">Job estimate information - wirh 84% overheads </t>
  </si>
  <si>
    <t>Percentage of maximum</t>
  </si>
  <si>
    <t xml:space="preserve">pf </t>
  </si>
  <si>
    <t>LF</t>
  </si>
  <si>
    <t>Class</t>
  </si>
  <si>
    <t>Pricing zone</t>
  </si>
  <si>
    <t>Voltage level</t>
  </si>
  <si>
    <t>Average</t>
  </si>
  <si>
    <t>pf</t>
  </si>
  <si>
    <t>MW</t>
  </si>
  <si>
    <t>MVA</t>
  </si>
  <si>
    <t>System</t>
  </si>
  <si>
    <t>132/110kV</t>
  </si>
  <si>
    <t>66kV</t>
  </si>
  <si>
    <t>33kV</t>
  </si>
  <si>
    <t>22/11kV Bus</t>
  </si>
  <si>
    <t>22/11kV Line</t>
  </si>
  <si>
    <t>ICC HV Line</t>
  </si>
  <si>
    <t>Load factor 2015/16 DCOS</t>
  </si>
  <si>
    <t>2017/18 demand at system peak MW</t>
  </si>
  <si>
    <t>Peak Loss at system peak demand</t>
  </si>
  <si>
    <t>Loss discrepancy</t>
  </si>
  <si>
    <t>2015/16 Consumption GWh DCOS</t>
  </si>
  <si>
    <t>2015/16 ATMD MW DCOS</t>
  </si>
  <si>
    <t>From Ken Ash</t>
  </si>
  <si>
    <t>LV adjustment (by goal seek)</t>
  </si>
  <si>
    <t>LLF 30%*LF + 70%*LF^2</t>
  </si>
  <si>
    <t>2017/18 peak Loss at system peak</t>
  </si>
  <si>
    <t>2017/18 ATMD MW scaled</t>
  </si>
  <si>
    <t>Annual report</t>
  </si>
  <si>
    <t>Average ATMD/CMD multiplier</t>
  </si>
  <si>
    <t>Top 3 summer demands</t>
  </si>
  <si>
    <t>Voltage level LRMC rates based on ATMD estimate</t>
  </si>
  <si>
    <t>Voltage level LRMC rates based on Coincident MD estimate</t>
  </si>
  <si>
    <t>Rates for comparison with 2015</t>
  </si>
  <si>
    <t>Subtransmission</t>
  </si>
  <si>
    <t>High Voltage</t>
  </si>
  <si>
    <t>Low voltage</t>
  </si>
  <si>
    <t>2 x 6 MVA ST zone</t>
  </si>
  <si>
    <t xml:space="preserve"> </t>
  </si>
  <si>
    <t>Bulk Supply / Zone Substation (Includes all civils &amp; contracts)</t>
  </si>
  <si>
    <t>Estimate #</t>
  </si>
  <si>
    <t>BSP1 - 132or110kV / 66or33kV 2 x 80/100MVA Tx</t>
  </si>
  <si>
    <t>BSP1-132/66</t>
  </si>
  <si>
    <t>ea</t>
  </si>
  <si>
    <t>BSP2 - 132or110kV / 66or33kV 2 x 30MVA Tx</t>
  </si>
  <si>
    <t>BSP2-132/66</t>
  </si>
  <si>
    <t>Z1-63 132/22kV 2x63MVA Tx, Brick Bld Substation</t>
  </si>
  <si>
    <t>S_Z163_SUB.doc</t>
  </si>
  <si>
    <t>Z1-63D 132/22kV 2x63MVA Tx, Modular Bldg Substation</t>
  </si>
  <si>
    <t>S_Z163D_SUB.doc</t>
  </si>
  <si>
    <t>Z5-32D 66/22kV 2x32MVA Tx, Modular Bldg Substation</t>
  </si>
  <si>
    <t>S_Z532D_SUB.doc</t>
  </si>
  <si>
    <t>Z6-20D 66/11kV 2x20MVA Tx, Modular Bldg Substation</t>
  </si>
  <si>
    <t>S_Z620D_SUB.doc</t>
  </si>
  <si>
    <t>Z6-32 66/11kV 2x32MVA Tx, Brick Bldg Substation</t>
  </si>
  <si>
    <t>S_Z632_SUB.doc</t>
  </si>
  <si>
    <t>Z6-32D 66/11kV 2x32MVA Tx, Modular Bldg Substation</t>
  </si>
  <si>
    <t>S_Z632D_SUB.doc</t>
  </si>
  <si>
    <t>Z7-32 33/11kV 2x32MVA Tx, Modular Bldg Substation</t>
  </si>
  <si>
    <t>S_Z732_SUB.doc</t>
  </si>
  <si>
    <t>Z10 -66/11or22kV 2x10MVA, Modular Bldg Substation</t>
  </si>
  <si>
    <t>Z10 66/11</t>
  </si>
  <si>
    <t>Z11 -66/11or22kV 2x3MVA, Modular Bldg Substation</t>
  </si>
  <si>
    <t>Z11-66/11</t>
  </si>
  <si>
    <t>T3-6.3 66/11kV 6.3MVA Tx, Modular Bldg</t>
  </si>
  <si>
    <t>S_T36.3_SUB.doc</t>
  </si>
  <si>
    <t>T3-10 66/11kV 10MVA Tx, Modular Bldg</t>
  </si>
  <si>
    <t>S_T310_SUB.doc</t>
  </si>
  <si>
    <t>Z12 -33/11kV 2x10MVA Tx, Modular Bldg Substation</t>
  </si>
  <si>
    <t>Z12-33/11</t>
  </si>
  <si>
    <t>Z13 -33/11kV 2x3MVA Tx, Modular Bldg Substation</t>
  </si>
  <si>
    <t>Z13-33/11</t>
  </si>
  <si>
    <t>Asset Number</t>
  </si>
  <si>
    <t>Asset Item Description</t>
  </si>
  <si>
    <t>Ttl Direct Cost</t>
  </si>
  <si>
    <t>Ttl Direct Cost per Unit</t>
  </si>
  <si>
    <t>Ellipse Cost Calculator Report Costs (2014)</t>
  </si>
  <si>
    <t>Ttl Escalated Cost per Unit (Using Adj Ellipse Report)</t>
  </si>
  <si>
    <t>Ttl Escalated Cost per Unit (Using Esc Factor)</t>
  </si>
  <si>
    <t>Scope Number</t>
  </si>
  <si>
    <t>Total QTY</t>
  </si>
  <si>
    <t>QTY East Zone</t>
  </si>
  <si>
    <t>East Unit Rate</t>
  </si>
  <si>
    <t>Averaged asset values</t>
  </si>
  <si>
    <t>ICC 132,110kV</t>
  </si>
  <si>
    <t>CAC 132,110kV</t>
  </si>
  <si>
    <t>132,110kV</t>
  </si>
  <si>
    <t>132,110kV/ST</t>
  </si>
  <si>
    <t>132,110kV/HV</t>
  </si>
  <si>
    <t>ICC 66,33kV</t>
  </si>
  <si>
    <t>CAC 66,33kV</t>
  </si>
  <si>
    <t>132,110kV/66,33kV</t>
  </si>
  <si>
    <t>66,33kV</t>
  </si>
  <si>
    <t>66,33kV/HV</t>
  </si>
  <si>
    <t>2016/17 demand at sy66,33kVem peak MW</t>
  </si>
  <si>
    <t>2016/17 Demand on 66,33kV/HV
MW</t>
  </si>
  <si>
    <t>Ea66,33kV</t>
  </si>
  <si>
    <t>2016/17 Demand on 132,110kV/HV
MW</t>
  </si>
  <si>
    <t>2016/17 Demand on 132,110kV/66,33kV
MW</t>
  </si>
  <si>
    <t>132,110kV feeder - urban</t>
  </si>
  <si>
    <t>132,110kV Feeder - rural</t>
  </si>
  <si>
    <t>132,110kV/HV zone urban</t>
  </si>
  <si>
    <t>132,110kV/HV zone rural</t>
  </si>
  <si>
    <t>Direct 132,110kVformation 132/HV and 110/HV</t>
  </si>
  <si>
    <t>66,33kV Bus</t>
  </si>
  <si>
    <t>66,33kV line</t>
  </si>
  <si>
    <t>66,33kV feeder - urban</t>
  </si>
  <si>
    <t>66,33kV feeder - rural</t>
  </si>
  <si>
    <t>132,110kV/66,33kV urban</t>
  </si>
  <si>
    <t>132,110kV/66,33kV rural</t>
  </si>
  <si>
    <t>66,33kV/HV zone urban</t>
  </si>
  <si>
    <t>66,33kV/HV zone rural</t>
  </si>
  <si>
    <t>66,33kV OH Urban</t>
  </si>
  <si>
    <t>66,33kV UG</t>
  </si>
  <si>
    <t>66,33kV OH Rural</t>
  </si>
  <si>
    <t>132,110kV OH</t>
  </si>
  <si>
    <t>132,110kV UG</t>
  </si>
  <si>
    <t>132,110kV/LV</t>
  </si>
  <si>
    <t>Assumes proportion of ST loads connected to ST bus.</t>
  </si>
  <si>
    <t>System demand</t>
  </si>
  <si>
    <t>HV OH Rural</t>
  </si>
  <si>
    <t>LV OH Rural</t>
  </si>
  <si>
    <t>ST OH</t>
  </si>
  <si>
    <t>ST OH Rural</t>
  </si>
  <si>
    <t>Capital costs</t>
  </si>
  <si>
    <t>SWER</t>
  </si>
  <si>
    <t>LR %</t>
  </si>
  <si>
    <t>SR %</t>
  </si>
  <si>
    <t>U %</t>
  </si>
  <si>
    <t>ST %</t>
  </si>
  <si>
    <t>Impact of SWER on Rural HV cost</t>
  </si>
  <si>
    <t>Overhead Pluto Moon</t>
  </si>
  <si>
    <t>per km</t>
  </si>
  <si>
    <t>Adjustment west</t>
  </si>
  <si>
    <t>West cost</t>
  </si>
  <si>
    <t>2 x 80MVA Sub</t>
  </si>
  <si>
    <t>2 x 63MVA Sub</t>
  </si>
  <si>
    <t>2 x 32MVA Sub</t>
  </si>
  <si>
    <t>CPI</t>
  </si>
  <si>
    <t>Calculation base date</t>
  </si>
  <si>
    <t>CPI estimate as per PTRM.</t>
  </si>
  <si>
    <t>To align with tariff submission.</t>
  </si>
  <si>
    <t>Valuation</t>
  </si>
  <si>
    <t>Estimate</t>
  </si>
  <si>
    <t>date</t>
  </si>
  <si>
    <t>Escalation</t>
  </si>
  <si>
    <t>Asset</t>
  </si>
  <si>
    <t>Life</t>
  </si>
  <si>
    <t>PTRM</t>
  </si>
  <si>
    <t>Standard</t>
  </si>
  <si>
    <t>Asset Class Name</t>
  </si>
  <si>
    <t>Overhead Sub-Transmission Lines (Capex: 2010-15 RL; 2015-20 SL)</t>
  </si>
  <si>
    <t>Underground Sub-Transmission Cables (Capex: 2010-15 RL; 2015-20 SL)</t>
  </si>
  <si>
    <t>Overhead Distribution Lines (Capex: 2010-15 RL; 2015-20 SL)</t>
  </si>
  <si>
    <t>Underground Distribution Cables (Capex: 2010-15 RL; 2015-20 SL)</t>
  </si>
  <si>
    <t>Distribution Equipment (Capex: 2010-15 RL; 2015-20 SL)</t>
  </si>
  <si>
    <t>Substation Bays (Capex: 2010-15 RL; 2015-20 SL)</t>
  </si>
  <si>
    <t>Substation Establishment (Capex: 2010-15 RL; 2015-20 SL)</t>
  </si>
  <si>
    <t>Distribution Substation Switchgear (Capex: 2010-15 RL; 2015-20 SL)</t>
  </si>
  <si>
    <t>Zone Transformers (Capex: 2010-15 RL; 2015-20 SL)</t>
  </si>
  <si>
    <t>Distribution Transformers (Capex: 2010-15 RL; 2015-20 SL)</t>
  </si>
  <si>
    <t>Low Voltage Services (Capex: 2010-15 RL; 2015-20 SL)</t>
  </si>
  <si>
    <t>Buildings (Capex: 2010-15 RL; 2015-20 SL)</t>
  </si>
  <si>
    <t>No.</t>
  </si>
  <si>
    <t>Weighted Average Lives</t>
  </si>
  <si>
    <t>Wgtd Avg Life</t>
  </si>
  <si>
    <t>Asset Life</t>
  </si>
  <si>
    <t>HV is adjusted for SWER proportion</t>
  </si>
  <si>
    <t>Est. No.</t>
  </si>
  <si>
    <t>Build blk cap MW</t>
  </si>
  <si>
    <t>Estimated</t>
  </si>
  <si>
    <t>Inputs – network configuration</t>
  </si>
  <si>
    <t>CPI (estimated)</t>
  </si>
  <si>
    <t>D9</t>
  </si>
  <si>
    <t>Date at which calculated prices are to apply</t>
  </si>
  <si>
    <t>D10</t>
  </si>
  <si>
    <t>D12-D15</t>
  </si>
  <si>
    <t>Proportion of contributed assets</t>
  </si>
  <si>
    <t>For HV and LV</t>
  </si>
  <si>
    <t>Estimated from capital contributions policy</t>
  </si>
  <si>
    <t>From RIN</t>
  </si>
  <si>
    <t>Proportions for substation type</t>
  </si>
  <si>
    <t>Inputs – tariff class</t>
  </si>
  <si>
    <t>2017/18  Max Demand</t>
  </si>
  <si>
    <t>Rules</t>
  </si>
  <si>
    <t>Estimated unit costs</t>
  </si>
  <si>
    <t>Original estimates indexed by CPI</t>
  </si>
  <si>
    <t>Asset standard lives</t>
  </si>
  <si>
    <t>D20:D25, Y20:Z25, AT20:AU25</t>
  </si>
  <si>
    <t>Network planning estimates</t>
  </si>
  <si>
    <t>D31:E38, Y31:Z38, AT31:AU38</t>
  </si>
  <si>
    <t>F40</t>
  </si>
  <si>
    <t>D47:D49, Y47:Z49, AT47:AU49</t>
  </si>
  <si>
    <t>F54:G59, Y54:Z59, AT54:AU59</t>
  </si>
  <si>
    <t>E63, Y63</t>
  </si>
  <si>
    <t>D66:F74, Y66:AA74, AT66:AV74</t>
  </si>
  <si>
    <t>Urban/rural/long rural split</t>
  </si>
  <si>
    <t>E7:E14, Z7:Z14, AU7:AU14</t>
  </si>
  <si>
    <t>K21, AF21, BA21</t>
  </si>
  <si>
    <t>D8:D18, Y8:Y18, AT8:AT18</t>
  </si>
  <si>
    <t>F7:F27</t>
  </si>
  <si>
    <t>O7:O27</t>
  </si>
  <si>
    <t>F8:F18, AA8:AA18, AV8:AV18</t>
  </si>
  <si>
    <t>Calcs - Ergon TC</t>
  </si>
  <si>
    <t>v27</t>
  </si>
  <si>
    <t>Asset weighted average lives added.</t>
  </si>
  <si>
    <t>Asset escalation added.</t>
  </si>
  <si>
    <t>Avg Feeder Lengths (km)</t>
  </si>
  <si>
    <t>2015/16 system peak (from chart)</t>
  </si>
  <si>
    <t>2017/18 system  peak</t>
  </si>
  <si>
    <t>D26\</t>
  </si>
  <si>
    <t>Unit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</si>
</sst>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5" formatCode="&quot;$&quot;#,##0;\-&quot;$&quot;#,##0"/>
    <numFmt numFmtId="42" formatCode="_-&quot;$&quot;* #,##0_-;\-&quot;$&quot;* #,##0_-;_-&quot;$&quot;* &quot;-&quot;_-;_-@_-"/>
    <numFmt numFmtId="44" formatCode="_-&quot;$&quot;* #,##0.00_-;\-&quot;$&quot;* #,##0.00_-;_-&quot;$&quot;* &quot;-&quot;??_-;_-@_-"/>
    <numFmt numFmtId="43" formatCode="_-* #,##0.00_-;\-* #,##0.00_-;_-* &quot;-&quot;??_-;_-@_-"/>
    <numFmt numFmtId="164" formatCode="&quot;$&quot;#,##0_);\(&quot;$&quot;#,##0\)"/>
    <numFmt numFmtId="165" formatCode="0.0%"/>
    <numFmt numFmtId="166" formatCode="0.0"/>
    <numFmt numFmtId="167" formatCode="0.000"/>
    <numFmt numFmtId="168" formatCode="&quot;$&quot;#,##0"/>
    <numFmt numFmtId="169" formatCode="#,##0_ ;\-#,##0\ "/>
    <numFmt numFmtId="170" formatCode="0.0000"/>
    <numFmt numFmtId="171" formatCode="_-&quot;$&quot;* #,##0_-;\-&quot;$&quot;* #,##0_-;_-&quot;$&quot;* &quot;-&quot;??_-;_-@_-"/>
    <numFmt numFmtId="172" formatCode="_-* #,##0_-;\-* #,##0_-;_-* &quot;-&quot;??_-;_-@_-"/>
    <numFmt numFmtId="173" formatCode="#,##0.0"/>
    <numFmt numFmtId="174" formatCode="_-* #,##0.0_-;\-* #,##0.0_-;_-* &quot;-&quot;??_-;_-@_-"/>
    <numFmt numFmtId="175" formatCode="_(&quot;$&quot;* #,##0_);_(&quot;$&quot;* \(#,##0\);_(&quot;$&quot;* &quot;-&quot;??_);_(@_)"/>
    <numFmt numFmtId="176" formatCode="[$-C09]dd\-mmm\-yyyy;@"/>
    <numFmt numFmtId="177" formatCode="_(* #,##0.0_);_(* \(#,##0.0\);_(* &quot;-&quot;?_);_(@_)"/>
    <numFmt numFmtId="178" formatCode="d\-mmm\-yyyy"/>
    <numFmt numFmtId="179" formatCode="[$-C09]dd\-mmm\-yy;@"/>
    <numFmt numFmtId="180" formatCode="0.000_);\(0.000\)"/>
    <numFmt numFmtId="181" formatCode="&quot;$&quot;#,##0.00"/>
    <numFmt numFmtId="182" formatCode="&quot;$&quot;#,##0.0"/>
  </numFmts>
  <fonts count="71" x14ac:knownFonts="1">
    <font>
      <sz val="10"/>
      <name val="Arial"/>
    </font>
    <font>
      <sz val="11"/>
      <color theme="1"/>
      <name val="Consolas"/>
      <family val="2"/>
    </font>
    <font>
      <sz val="11"/>
      <color theme="1"/>
      <name val="Consolas"/>
      <family val="2"/>
    </font>
    <font>
      <sz val="11"/>
      <color theme="1"/>
      <name val="Consolas"/>
      <family val="2"/>
    </font>
    <font>
      <sz val="11"/>
      <color theme="1"/>
      <name val="Consolas"/>
      <family val="2"/>
    </font>
    <font>
      <sz val="11"/>
      <color theme="1"/>
      <name val="Consolas"/>
      <family val="2"/>
    </font>
    <font>
      <sz val="11"/>
      <color theme="1"/>
      <name val="Consolas"/>
      <family val="2"/>
    </font>
    <font>
      <sz val="11"/>
      <color theme="1"/>
      <name val="Consolas"/>
      <family val="2"/>
    </font>
    <font>
      <sz val="11"/>
      <color theme="1"/>
      <name val="Consolas"/>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1"/>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56"/>
      <name val="Arial"/>
      <family val="2"/>
    </font>
    <font>
      <u/>
      <sz val="10"/>
      <color indexed="39"/>
      <name val="Arial"/>
      <family val="2"/>
    </font>
    <font>
      <sz val="11"/>
      <color indexed="62"/>
      <name val="Calibri"/>
      <family val="2"/>
    </font>
    <font>
      <sz val="11"/>
      <color indexed="51"/>
      <name val="Calibri"/>
      <family val="2"/>
    </font>
    <font>
      <sz val="11"/>
      <color indexed="60"/>
      <name val="Calibri"/>
      <family val="2"/>
    </font>
    <font>
      <sz val="10"/>
      <color indexed="8"/>
      <name val="Arial"/>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4"/>
      <name val="Consolas"/>
      <family val="2"/>
    </font>
    <font>
      <b/>
      <sz val="14"/>
      <color theme="0"/>
      <name val="Consolas"/>
      <family val="2"/>
    </font>
    <font>
      <u/>
      <sz val="10"/>
      <color theme="10"/>
      <name val="Arial"/>
      <family val="2"/>
    </font>
    <font>
      <u/>
      <sz val="10"/>
      <color theme="11"/>
      <name val="Arial"/>
      <family val="2"/>
    </font>
    <font>
      <b/>
      <sz val="11"/>
      <name val="Consolas"/>
      <family val="2"/>
    </font>
    <font>
      <sz val="11"/>
      <name val="Consolas"/>
      <family val="2"/>
    </font>
    <font>
      <b/>
      <sz val="11"/>
      <color rgb="FFFF0000"/>
      <name val="Consolas"/>
      <family val="2"/>
    </font>
    <font>
      <sz val="11"/>
      <color rgb="FFFF0000"/>
      <name val="Consolas"/>
      <family val="2"/>
    </font>
    <font>
      <b/>
      <sz val="11"/>
      <color theme="0"/>
      <name val="Consolas"/>
      <family val="2"/>
    </font>
    <font>
      <sz val="11"/>
      <color rgb="FF0070C0"/>
      <name val="Consolas"/>
      <family val="2"/>
    </font>
    <font>
      <i/>
      <sz val="11"/>
      <color theme="1" tint="0.499984740745262"/>
      <name val="Consolas"/>
      <family val="2"/>
    </font>
    <font>
      <i/>
      <sz val="11"/>
      <name val="Consolas"/>
      <family val="2"/>
    </font>
    <font>
      <b/>
      <sz val="11"/>
      <color indexed="9"/>
      <name val="Consolas"/>
      <family val="2"/>
    </font>
    <font>
      <b/>
      <sz val="11"/>
      <color rgb="FF0070C0"/>
      <name val="Consolas"/>
      <family val="2"/>
    </font>
    <font>
      <sz val="11"/>
      <color theme="1" tint="4.9989318521683403E-2"/>
      <name val="Consolas"/>
      <family val="2"/>
    </font>
    <font>
      <b/>
      <sz val="11"/>
      <color rgb="FF7030A0"/>
      <name val="Consolas"/>
      <family val="2"/>
    </font>
    <font>
      <u/>
      <sz val="11"/>
      <name val="Consolas"/>
      <family val="2"/>
    </font>
    <font>
      <sz val="14"/>
      <color theme="0"/>
      <name val="Consolas"/>
      <family val="2"/>
    </font>
    <font>
      <sz val="11"/>
      <color rgb="FF0000FF"/>
      <name val="Consolas"/>
      <family val="2"/>
    </font>
    <font>
      <b/>
      <u/>
      <sz val="11"/>
      <name val="Consolas"/>
      <family val="2"/>
    </font>
    <font>
      <sz val="11"/>
      <name val="Consolas"/>
      <family val="2"/>
    </font>
    <font>
      <sz val="11"/>
      <color rgb="FFFF0000"/>
      <name val="Consolas"/>
      <family val="2"/>
    </font>
    <font>
      <b/>
      <sz val="9"/>
      <color rgb="FF000000"/>
      <name val="Arial"/>
      <family val="2"/>
    </font>
    <font>
      <sz val="9"/>
      <color rgb="FF000000"/>
      <name val="Arial"/>
      <family val="2"/>
    </font>
    <font>
      <sz val="11"/>
      <color rgb="FF0432FF"/>
      <name val="Consolas"/>
      <family val="2"/>
    </font>
    <font>
      <sz val="11"/>
      <color theme="0"/>
      <name val="Consolas"/>
      <family val="2"/>
    </font>
    <font>
      <sz val="10"/>
      <name val="Consolas"/>
      <family val="2"/>
    </font>
    <font>
      <b/>
      <sz val="10"/>
      <color rgb="FF0070C0"/>
      <name val="Consolas"/>
      <family val="2"/>
    </font>
    <font>
      <b/>
      <sz val="10"/>
      <color rgb="FF00B050"/>
      <name val="Consolas"/>
      <family val="2"/>
    </font>
    <font>
      <b/>
      <sz val="11"/>
      <color rgb="FF0070C1"/>
      <name val="Consolas"/>
      <family val="2"/>
    </font>
    <font>
      <b/>
      <sz val="11"/>
      <color rgb="FF0081C3"/>
      <name val="Consolas"/>
      <family val="2"/>
    </font>
    <font>
      <i/>
      <sz val="11"/>
      <color rgb="FFFF0000"/>
      <name val="Consolas"/>
      <family val="2"/>
    </font>
    <font>
      <b/>
      <sz val="11"/>
      <color theme="1"/>
      <name val="Consolas"/>
      <family val="2"/>
    </font>
    <font>
      <i/>
      <sz val="11"/>
      <color theme="1"/>
      <name val="Consolas"/>
      <family val="2"/>
    </font>
    <font>
      <b/>
      <u/>
      <sz val="11"/>
      <color theme="1"/>
      <name val="Consolas"/>
      <family val="2"/>
    </font>
    <font>
      <b/>
      <sz val="11"/>
      <color rgb="FF000000"/>
      <name val="Consolas"/>
      <family val="2"/>
    </font>
    <font>
      <b/>
      <sz val="11"/>
      <color rgb="FFFFFF00"/>
      <name val="Consolas"/>
      <family val="2"/>
    </font>
    <font>
      <b/>
      <sz val="11"/>
      <color rgb="FFFFFF66"/>
      <name val="Consolas"/>
      <family val="2"/>
    </font>
    <font>
      <sz val="11"/>
      <color rgb="FFC00000"/>
      <name val="Consolas"/>
      <family val="2"/>
    </font>
    <font>
      <sz val="10"/>
      <color rgb="FF0070C0"/>
      <name val="Consolas"/>
      <family val="2"/>
    </font>
  </fonts>
  <fills count="35">
    <fill>
      <patternFill patternType="none"/>
    </fill>
    <fill>
      <patternFill patternType="gray125"/>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
      <patternFill patternType="solid">
        <fgColor theme="0" tint="-0.14999847407452621"/>
        <bgColor indexed="64"/>
      </patternFill>
    </fill>
    <fill>
      <patternFill patternType="solid">
        <fgColor rgb="FF800000"/>
        <bgColor indexed="64"/>
      </patternFill>
    </fill>
    <fill>
      <patternFill patternType="solid">
        <fgColor theme="1" tint="0.499984740745262"/>
        <bgColor indexed="64"/>
      </patternFill>
    </fill>
    <fill>
      <patternFill patternType="solid">
        <fgColor rgb="FF008000"/>
        <bgColor indexed="64"/>
      </patternFill>
    </fill>
    <fill>
      <patternFill patternType="solid">
        <fgColor rgb="FFFFFF00"/>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rgb="FF92D050"/>
        <bgColor indexed="64"/>
      </patternFill>
    </fill>
    <fill>
      <patternFill patternType="solid">
        <fgColor theme="7" tint="-0.249977111117893"/>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5" tint="0.59999389629810485"/>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1"/>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top/>
      <bottom style="thin">
        <color auto="1"/>
      </bottom>
      <diagonal/>
    </border>
    <border>
      <left style="double">
        <color auto="1"/>
      </left>
      <right/>
      <top/>
      <bottom/>
      <diagonal/>
    </border>
    <border>
      <left style="double">
        <color auto="1"/>
      </left>
      <right/>
      <top style="thin">
        <color auto="1"/>
      </top>
      <bottom style="thin">
        <color auto="1"/>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top style="thin">
        <color auto="1"/>
      </top>
      <bottom/>
      <diagonal/>
    </border>
    <border>
      <left/>
      <right style="double">
        <color auto="1"/>
      </right>
      <top/>
      <bottom/>
      <diagonal/>
    </border>
    <border>
      <left/>
      <right style="double">
        <color auto="1"/>
      </right>
      <top/>
      <bottom style="thin">
        <color auto="1"/>
      </bottom>
      <diagonal/>
    </border>
    <border>
      <left/>
      <right style="double">
        <color auto="1"/>
      </right>
      <top style="thin">
        <color auto="1"/>
      </top>
      <bottom style="thin">
        <color auto="1"/>
      </bottom>
      <diagonal/>
    </border>
    <border>
      <left style="double">
        <color auto="1"/>
      </left>
      <right style="double">
        <color auto="1"/>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auto="1"/>
      </left>
      <right style="thin">
        <color indexed="64"/>
      </right>
      <top style="thin">
        <color auto="1"/>
      </top>
      <bottom/>
      <diagonal/>
    </border>
    <border>
      <left style="double">
        <color indexed="64"/>
      </left>
      <right style="thin">
        <color indexed="64"/>
      </right>
      <top style="thin">
        <color indexed="64"/>
      </top>
      <bottom style="thin">
        <color auto="1"/>
      </bottom>
      <diagonal/>
    </border>
    <border>
      <left style="double">
        <color auto="1"/>
      </left>
      <right style="thin">
        <color indexed="64"/>
      </right>
      <top style="thin">
        <color indexed="64"/>
      </top>
      <bottom/>
      <diagonal/>
    </border>
    <border>
      <left style="double">
        <color auto="1"/>
      </left>
      <right/>
      <top style="thin">
        <color auto="1"/>
      </top>
      <bottom style="thin">
        <color auto="1"/>
      </bottom>
      <diagonal/>
    </border>
    <border>
      <left style="double">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auto="1"/>
      </bottom>
      <diagonal/>
    </border>
    <border>
      <left style="medium">
        <color auto="1"/>
      </left>
      <right/>
      <top style="medium">
        <color indexed="64"/>
      </top>
      <bottom style="medium">
        <color auto="1"/>
      </bottom>
      <diagonal/>
    </border>
    <border>
      <left/>
      <right/>
      <top style="dashed">
        <color auto="1"/>
      </top>
      <bottom/>
      <diagonal/>
    </border>
    <border>
      <left/>
      <right/>
      <top/>
      <bottom style="dashed">
        <color auto="1"/>
      </bottom>
      <diagonal/>
    </border>
    <border>
      <left/>
      <right style="double">
        <color auto="1"/>
      </right>
      <top style="thin">
        <color indexed="64"/>
      </top>
      <bottom/>
      <diagonal/>
    </border>
  </borders>
  <cellStyleXfs count="1092">
    <xf numFmtId="0" fontId="0" fillId="0" borderId="0"/>
    <xf numFmtId="0" fontId="1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2" borderId="0" applyNumberFormat="0" applyBorder="0" applyAlignment="0" applyProtection="0"/>
    <xf numFmtId="0" fontId="11" fillId="5" borderId="0" applyNumberFormat="0" applyBorder="0" applyAlignment="0" applyProtection="0"/>
    <xf numFmtId="0" fontId="11" fillId="3" borderId="0" applyNumberFormat="0" applyBorder="0" applyAlignment="0" applyProtection="0"/>
    <xf numFmtId="0" fontId="11" fillId="2" borderId="0" applyNumberFormat="0" applyBorder="0" applyAlignment="0" applyProtection="0"/>
    <xf numFmtId="0" fontId="11" fillId="6" borderId="0" applyNumberFormat="0" applyBorder="0" applyAlignment="0" applyProtection="0"/>
    <xf numFmtId="0" fontId="11" fillId="4"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3" borderId="0" applyNumberFormat="0" applyBorder="0" applyAlignment="0" applyProtection="0"/>
    <xf numFmtId="0" fontId="12" fillId="8" borderId="0" applyNumberFormat="0" applyBorder="0" applyAlignment="0" applyProtection="0"/>
    <xf numFmtId="0" fontId="12" fillId="6" borderId="0" applyNumberFormat="0" applyBorder="0" applyAlignment="0" applyProtection="0"/>
    <xf numFmtId="0" fontId="12" fillId="4" borderId="0" applyNumberFormat="0" applyBorder="0" applyAlignment="0" applyProtection="0"/>
    <xf numFmtId="0" fontId="12" fillId="9" borderId="0" applyNumberFormat="0" applyBorder="0" applyAlignment="0" applyProtection="0"/>
    <xf numFmtId="0" fontId="12" fillId="8" borderId="0" applyNumberFormat="0" applyBorder="0" applyAlignment="0" applyProtection="0"/>
    <xf numFmtId="0" fontId="12" fillId="3"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8"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4" fillId="2" borderId="1" applyNumberFormat="0" applyAlignment="0" applyProtection="0"/>
    <xf numFmtId="0" fontId="15" fillId="9" borderId="2" applyNumberFormat="0" applyAlignment="0" applyProtection="0"/>
    <xf numFmtId="44" fontId="9" fillId="0" borderId="0" applyFont="0" applyFill="0" applyBorder="0" applyAlignment="0" applyProtection="0"/>
    <xf numFmtId="0" fontId="16" fillId="0" borderId="0" applyNumberFormat="0" applyFill="0" applyBorder="0" applyAlignment="0" applyProtection="0"/>
    <xf numFmtId="0" fontId="17" fillId="15" borderId="0" applyNumberFormat="0" applyBorder="0" applyAlignment="0" applyProtection="0"/>
    <xf numFmtId="0" fontId="18" fillId="0" borderId="3"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3" borderId="1" applyNumberFormat="0" applyAlignment="0" applyProtection="0"/>
    <xf numFmtId="0" fontId="24" fillId="0" borderId="5" applyNumberFormat="0" applyFill="0" applyAlignment="0" applyProtection="0"/>
    <xf numFmtId="0" fontId="25" fillId="3" borderId="0" applyNumberFormat="0" applyBorder="0" applyAlignment="0" applyProtection="0"/>
    <xf numFmtId="0" fontId="10" fillId="0" borderId="0"/>
    <xf numFmtId="0" fontId="26" fillId="0" borderId="0"/>
    <xf numFmtId="0" fontId="9" fillId="4" borderId="6" applyNumberFormat="0" applyFont="0" applyAlignment="0" applyProtection="0"/>
    <xf numFmtId="0" fontId="27" fillId="2" borderId="7" applyNumberFormat="0" applyAlignment="0" applyProtection="0"/>
    <xf numFmtId="9" fontId="9" fillId="0" borderId="0" applyFont="0" applyFill="0" applyBorder="0" applyAlignment="0" applyProtection="0"/>
    <xf numFmtId="9" fontId="26" fillId="0" borderId="0" applyFont="0" applyFill="0" applyBorder="0" applyAlignment="0" applyProtection="0"/>
    <xf numFmtId="0" fontId="28" fillId="0" borderId="0" applyNumberFormat="0" applyFill="0" applyBorder="0" applyAlignment="0" applyProtection="0"/>
    <xf numFmtId="0" fontId="29" fillId="0" borderId="8" applyNumberFormat="0" applyFill="0" applyAlignment="0" applyProtection="0"/>
    <xf numFmtId="0" fontId="30" fillId="0" borderId="0" applyNumberFormat="0" applyFill="0" applyBorder="0" applyAlignment="0" applyProtection="0"/>
    <xf numFmtId="43" fontId="9" fillId="0" borderId="0" applyFont="0" applyFill="0" applyBorder="0" applyAlignment="0" applyProtection="0"/>
    <xf numFmtId="0" fontId="10"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984">
    <xf numFmtId="0" fontId="0" fillId="0" borderId="0" xfId="0"/>
    <xf numFmtId="0" fontId="35" fillId="0" borderId="0" xfId="0" applyFont="1"/>
    <xf numFmtId="0" fontId="35" fillId="0" borderId="0" xfId="0" applyFont="1" applyAlignment="1">
      <alignment vertical="top"/>
    </xf>
    <xf numFmtId="0" fontId="36" fillId="0" borderId="0" xfId="0" applyFont="1" applyAlignment="1">
      <alignment vertical="top"/>
    </xf>
    <xf numFmtId="0" fontId="37" fillId="0" borderId="0" xfId="0" applyFont="1" applyAlignment="1">
      <alignment vertical="top"/>
    </xf>
    <xf numFmtId="0" fontId="38" fillId="0" borderId="0" xfId="0" applyFont="1" applyAlignment="1">
      <alignment vertical="top"/>
    </xf>
    <xf numFmtId="0" fontId="36" fillId="0" borderId="0" xfId="0" applyFont="1" applyFill="1" applyBorder="1" applyAlignment="1">
      <alignment vertical="top"/>
    </xf>
    <xf numFmtId="0" fontId="36" fillId="0" borderId="10" xfId="0" applyFont="1" applyBorder="1" applyAlignment="1">
      <alignment vertical="top"/>
    </xf>
    <xf numFmtId="0" fontId="36" fillId="0" borderId="17" xfId="0" applyFont="1" applyFill="1" applyBorder="1" applyAlignment="1">
      <alignment vertical="top"/>
    </xf>
    <xf numFmtId="0" fontId="36" fillId="0" borderId="11" xfId="0" applyFont="1" applyFill="1" applyBorder="1" applyAlignment="1">
      <alignment vertical="top"/>
    </xf>
    <xf numFmtId="0" fontId="36" fillId="0" borderId="12" xfId="0" applyFont="1" applyFill="1" applyBorder="1" applyAlignment="1">
      <alignment vertical="top"/>
    </xf>
    <xf numFmtId="3" fontId="40" fillId="16" borderId="19" xfId="0" applyNumberFormat="1" applyFont="1" applyFill="1" applyBorder="1" applyAlignment="1">
      <alignment horizontal="center" vertical="top"/>
    </xf>
    <xf numFmtId="0" fontId="36" fillId="0" borderId="11" xfId="0" applyFont="1" applyBorder="1" applyAlignment="1">
      <alignment vertical="top"/>
    </xf>
    <xf numFmtId="0" fontId="36" fillId="0" borderId="12" xfId="0" applyFont="1" applyBorder="1" applyAlignment="1">
      <alignment vertical="top"/>
    </xf>
    <xf numFmtId="0" fontId="36" fillId="0" borderId="11" xfId="0" applyFont="1" applyBorder="1" applyAlignment="1">
      <alignment horizontal="left" vertical="top" indent="1"/>
    </xf>
    <xf numFmtId="0" fontId="36" fillId="0" borderId="12" xfId="0" applyFont="1" applyBorder="1" applyAlignment="1">
      <alignment horizontal="left" vertical="top" indent="1"/>
    </xf>
    <xf numFmtId="0" fontId="36" fillId="0" borderId="0" xfId="0" applyFont="1" applyBorder="1" applyAlignment="1">
      <alignment vertical="top"/>
    </xf>
    <xf numFmtId="0" fontId="40" fillId="0" borderId="0" xfId="0" applyFont="1" applyBorder="1" applyAlignment="1">
      <alignment horizontal="center" vertical="top"/>
    </xf>
    <xf numFmtId="0" fontId="38" fillId="0" borderId="0" xfId="0" applyFont="1" applyFill="1" applyBorder="1" applyAlignment="1">
      <alignment vertical="top"/>
    </xf>
    <xf numFmtId="0" fontId="36" fillId="0" borderId="0" xfId="0" applyFont="1" applyFill="1" applyBorder="1" applyAlignment="1">
      <alignment horizontal="left" vertical="top"/>
    </xf>
    <xf numFmtId="4" fontId="36" fillId="0" borderId="0" xfId="0" applyNumberFormat="1" applyFont="1" applyAlignment="1">
      <alignment vertical="top"/>
    </xf>
    <xf numFmtId="0" fontId="36" fillId="0" borderId="17" xfId="0" applyFont="1" applyFill="1" applyBorder="1" applyAlignment="1">
      <alignment horizontal="left" vertical="top" indent="1"/>
    </xf>
    <xf numFmtId="0" fontId="36" fillId="0" borderId="11" xfId="0" applyFont="1" applyFill="1" applyBorder="1" applyAlignment="1">
      <alignment horizontal="left" vertical="top" indent="1"/>
    </xf>
    <xf numFmtId="165" fontId="36" fillId="0" borderId="0" xfId="45" applyNumberFormat="1" applyFont="1" applyAlignment="1">
      <alignment vertical="top"/>
    </xf>
    <xf numFmtId="0" fontId="36" fillId="0" borderId="12" xfId="0" applyFont="1" applyFill="1" applyBorder="1" applyAlignment="1">
      <alignment horizontal="left" vertical="top" indent="1"/>
    </xf>
    <xf numFmtId="0" fontId="36" fillId="0" borderId="0" xfId="0" applyFont="1" applyFill="1" applyAlignment="1">
      <alignment vertical="top"/>
    </xf>
    <xf numFmtId="0" fontId="36" fillId="0" borderId="0" xfId="0" applyFont="1" applyAlignment="1">
      <alignment vertical="top" wrapText="1"/>
    </xf>
    <xf numFmtId="0" fontId="36" fillId="23" borderId="0" xfId="0" applyFont="1" applyFill="1" applyAlignment="1">
      <alignment vertical="top"/>
    </xf>
    <xf numFmtId="3" fontId="36" fillId="23" borderId="0" xfId="0" applyNumberFormat="1" applyFont="1" applyFill="1" applyAlignment="1">
      <alignment vertical="top"/>
    </xf>
    <xf numFmtId="4" fontId="36" fillId="23" borderId="0" xfId="0" applyNumberFormat="1" applyFont="1" applyFill="1" applyAlignment="1">
      <alignment vertical="top"/>
    </xf>
    <xf numFmtId="173" fontId="36" fillId="23" borderId="0" xfId="0" applyNumberFormat="1" applyFont="1" applyFill="1" applyAlignment="1">
      <alignment horizontal="right" vertical="top"/>
    </xf>
    <xf numFmtId="0" fontId="36" fillId="21" borderId="0" xfId="0" applyFont="1" applyFill="1" applyAlignment="1">
      <alignment vertical="top"/>
    </xf>
    <xf numFmtId="3" fontId="36" fillId="21" borderId="0" xfId="0" applyNumberFormat="1" applyFont="1" applyFill="1" applyAlignment="1">
      <alignment vertical="top"/>
    </xf>
    <xf numFmtId="4" fontId="36" fillId="21" borderId="0" xfId="0" applyNumberFormat="1" applyFont="1" applyFill="1" applyAlignment="1">
      <alignment vertical="top"/>
    </xf>
    <xf numFmtId="173" fontId="36" fillId="21" borderId="0" xfId="0" applyNumberFormat="1" applyFont="1" applyFill="1" applyAlignment="1">
      <alignment horizontal="right" vertical="top"/>
    </xf>
    <xf numFmtId="0" fontId="36" fillId="22" borderId="0" xfId="0" applyFont="1" applyFill="1" applyAlignment="1">
      <alignment vertical="top"/>
    </xf>
    <xf numFmtId="3" fontId="36" fillId="22" borderId="0" xfId="0" applyNumberFormat="1" applyFont="1" applyFill="1" applyAlignment="1">
      <alignment vertical="top"/>
    </xf>
    <xf numFmtId="0" fontId="36" fillId="24" borderId="0" xfId="0" applyFont="1" applyFill="1" applyAlignment="1">
      <alignment vertical="top"/>
    </xf>
    <xf numFmtId="3" fontId="36" fillId="24" borderId="0" xfId="0" applyNumberFormat="1" applyFont="1" applyFill="1" applyAlignment="1">
      <alignment vertical="top"/>
    </xf>
    <xf numFmtId="4" fontId="36" fillId="24" borderId="0" xfId="0" applyNumberFormat="1" applyFont="1" applyFill="1" applyAlignment="1">
      <alignment vertical="top"/>
    </xf>
    <xf numFmtId="2" fontId="36" fillId="0" borderId="0" xfId="51" applyNumberFormat="1" applyFont="1" applyAlignment="1">
      <alignment vertical="top"/>
    </xf>
    <xf numFmtId="0" fontId="36" fillId="0" borderId="17" xfId="0" applyFont="1" applyBorder="1" applyAlignment="1">
      <alignment vertical="top"/>
    </xf>
    <xf numFmtId="0" fontId="36" fillId="16" borderId="13" xfId="0" applyFont="1" applyFill="1" applyBorder="1" applyAlignment="1">
      <alignment vertical="top"/>
    </xf>
    <xf numFmtId="0" fontId="36" fillId="16" borderId="14" xfId="0" applyFont="1" applyFill="1" applyBorder="1" applyAlignment="1">
      <alignment vertical="top"/>
    </xf>
    <xf numFmtId="0" fontId="36" fillId="16" borderId="18" xfId="0" applyFont="1" applyFill="1" applyBorder="1" applyAlignment="1">
      <alignment horizontal="center" vertical="top"/>
    </xf>
    <xf numFmtId="0" fontId="36" fillId="16" borderId="13" xfId="0" applyFont="1" applyFill="1" applyBorder="1" applyAlignment="1">
      <alignment horizontal="center" vertical="top"/>
    </xf>
    <xf numFmtId="1" fontId="36" fillId="0" borderId="14" xfId="0" applyNumberFormat="1" applyFont="1" applyBorder="1" applyAlignment="1">
      <alignment horizontal="center" vertical="top"/>
    </xf>
    <xf numFmtId="0" fontId="37" fillId="0" borderId="0" xfId="0" applyFont="1"/>
    <xf numFmtId="0" fontId="36" fillId="0" borderId="0" xfId="0" applyFont="1"/>
    <xf numFmtId="0" fontId="36" fillId="0" borderId="17" xfId="0" applyFont="1" applyBorder="1" applyAlignment="1">
      <alignment horizontal="left"/>
    </xf>
    <xf numFmtId="0" fontId="36" fillId="0" borderId="11" xfId="0" applyFont="1" applyBorder="1" applyAlignment="1">
      <alignment horizontal="left"/>
    </xf>
    <xf numFmtId="0" fontId="36" fillId="0" borderId="12" xfId="0" applyFont="1" applyBorder="1" applyAlignment="1">
      <alignment horizontal="left"/>
    </xf>
    <xf numFmtId="0" fontId="36" fillId="0" borderId="0" xfId="0" applyFont="1" applyAlignment="1">
      <alignment horizontal="left"/>
    </xf>
    <xf numFmtId="0" fontId="44" fillId="0" borderId="0" xfId="0" applyFont="1" applyAlignment="1">
      <alignment vertical="top"/>
    </xf>
    <xf numFmtId="5" fontId="36" fillId="0" borderId="17" xfId="0" applyNumberFormat="1" applyFont="1" applyFill="1" applyBorder="1" applyAlignment="1">
      <alignment horizontal="center" vertical="top"/>
    </xf>
    <xf numFmtId="42" fontId="36" fillId="0" borderId="18" xfId="0" applyNumberFormat="1" applyFont="1" applyFill="1" applyBorder="1" applyAlignment="1">
      <alignment vertical="top"/>
    </xf>
    <xf numFmtId="5" fontId="36" fillId="0" borderId="11" xfId="0" applyNumberFormat="1" applyFont="1" applyFill="1" applyBorder="1" applyAlignment="1">
      <alignment horizontal="center" vertical="top"/>
    </xf>
    <xf numFmtId="42" fontId="36" fillId="0" borderId="19" xfId="0" applyNumberFormat="1" applyFont="1" applyFill="1" applyBorder="1" applyAlignment="1">
      <alignment vertical="top"/>
    </xf>
    <xf numFmtId="5" fontId="36" fillId="0" borderId="12" xfId="0" applyNumberFormat="1" applyFont="1" applyFill="1" applyBorder="1" applyAlignment="1">
      <alignment horizontal="center" vertical="top"/>
    </xf>
    <xf numFmtId="42" fontId="36" fillId="0" borderId="20" xfId="0" applyNumberFormat="1" applyFont="1" applyFill="1" applyBorder="1" applyAlignment="1">
      <alignment vertical="top"/>
    </xf>
    <xf numFmtId="42" fontId="36" fillId="0" borderId="9" xfId="0" applyNumberFormat="1" applyFont="1" applyFill="1" applyBorder="1" applyAlignment="1">
      <alignment vertical="top"/>
    </xf>
    <xf numFmtId="42" fontId="36" fillId="0" borderId="0" xfId="0" applyNumberFormat="1" applyFont="1" applyFill="1" applyBorder="1" applyAlignment="1">
      <alignment vertical="top"/>
    </xf>
    <xf numFmtId="0" fontId="39" fillId="25" borderId="22" xfId="0" applyFont="1" applyFill="1" applyBorder="1" applyAlignment="1">
      <alignment vertical="top" wrapText="1"/>
    </xf>
    <xf numFmtId="0" fontId="39" fillId="25" borderId="23" xfId="0" applyFont="1" applyFill="1" applyBorder="1" applyAlignment="1">
      <alignment horizontal="center" vertical="top" wrapText="1"/>
    </xf>
    <xf numFmtId="0" fontId="39" fillId="25" borderId="21" xfId="0" applyFont="1" applyFill="1" applyBorder="1" applyAlignment="1">
      <alignment horizontal="center" vertical="top" wrapText="1"/>
    </xf>
    <xf numFmtId="0" fontId="39" fillId="25" borderId="16" xfId="0" applyFont="1" applyFill="1" applyBorder="1" applyAlignment="1">
      <alignment horizontal="center" vertical="top" wrapText="1"/>
    </xf>
    <xf numFmtId="5" fontId="39" fillId="25" borderId="20" xfId="0" applyNumberFormat="1" applyFont="1" applyFill="1" applyBorder="1" applyAlignment="1">
      <alignment horizontal="center" vertical="top" wrapText="1"/>
    </xf>
    <xf numFmtId="0" fontId="39" fillId="25" borderId="23" xfId="0" applyFont="1" applyFill="1" applyBorder="1" applyAlignment="1">
      <alignment vertical="top" wrapText="1"/>
    </xf>
    <xf numFmtId="0" fontId="39" fillId="25" borderId="22" xfId="0" applyFont="1" applyFill="1" applyBorder="1" applyAlignment="1">
      <alignment horizontal="center" vertical="top" wrapText="1"/>
    </xf>
    <xf numFmtId="10" fontId="36" fillId="0" borderId="0" xfId="45" applyNumberFormat="1" applyFont="1" applyFill="1" applyBorder="1" applyAlignment="1">
      <alignment vertical="top"/>
    </xf>
    <xf numFmtId="0" fontId="35" fillId="0" borderId="0" xfId="0" applyFont="1" applyAlignment="1">
      <alignment vertical="top" wrapText="1"/>
    </xf>
    <xf numFmtId="9" fontId="36" fillId="0" borderId="14" xfId="45" applyNumberFormat="1" applyFont="1" applyFill="1" applyBorder="1" applyAlignment="1">
      <alignment horizontal="center" vertical="top"/>
    </xf>
    <xf numFmtId="1" fontId="36" fillId="0" borderId="15" xfId="0" applyNumberFormat="1" applyFont="1" applyBorder="1" applyAlignment="1">
      <alignment horizontal="center" vertical="top"/>
    </xf>
    <xf numFmtId="0" fontId="43" fillId="25" borderId="9" xfId="0" applyFont="1" applyFill="1" applyBorder="1" applyAlignment="1">
      <alignment horizontal="center" vertical="top" wrapText="1"/>
    </xf>
    <xf numFmtId="0" fontId="39" fillId="25" borderId="17" xfId="0" applyFont="1" applyFill="1" applyBorder="1" applyAlignment="1">
      <alignment horizontal="center" vertical="top" wrapText="1"/>
    </xf>
    <xf numFmtId="0" fontId="43" fillId="25" borderId="13" xfId="0" applyFont="1" applyFill="1" applyBorder="1" applyAlignment="1">
      <alignment horizontal="center" vertical="top" wrapText="1"/>
    </xf>
    <xf numFmtId="168" fontId="36" fillId="0" borderId="17" xfId="29" applyNumberFormat="1" applyFont="1" applyFill="1" applyBorder="1" applyAlignment="1" applyProtection="1">
      <alignment horizontal="right" vertical="top"/>
      <protection locked="0"/>
    </xf>
    <xf numFmtId="168" fontId="36" fillId="0" borderId="11" xfId="29" applyNumberFormat="1" applyFont="1" applyFill="1" applyBorder="1" applyAlignment="1" applyProtection="1">
      <alignment horizontal="right" vertical="top"/>
      <protection locked="0"/>
    </xf>
    <xf numFmtId="168" fontId="36" fillId="0" borderId="12" xfId="29" applyNumberFormat="1" applyFont="1" applyFill="1" applyBorder="1" applyAlignment="1" applyProtection="1">
      <alignment horizontal="right" vertical="top"/>
      <protection locked="0"/>
    </xf>
    <xf numFmtId="168" fontId="36" fillId="0" borderId="0" xfId="0" applyNumberFormat="1" applyFont="1" applyAlignment="1">
      <alignment horizontal="right" vertical="top"/>
    </xf>
    <xf numFmtId="168" fontId="36" fillId="0" borderId="0" xfId="0" applyNumberFormat="1" applyFont="1" applyAlignment="1">
      <alignment vertical="top"/>
    </xf>
    <xf numFmtId="49" fontId="36" fillId="0" borderId="0" xfId="0" applyNumberFormat="1" applyFont="1" applyAlignment="1">
      <alignment horizontal="left" vertical="top"/>
    </xf>
    <xf numFmtId="0" fontId="36" fillId="16" borderId="9" xfId="0" applyFont="1" applyFill="1" applyBorder="1" applyAlignment="1">
      <alignment horizontal="center" vertical="top"/>
    </xf>
    <xf numFmtId="0" fontId="36" fillId="16" borderId="0" xfId="0" applyFont="1" applyFill="1" applyBorder="1" applyAlignment="1">
      <alignment vertical="top"/>
    </xf>
    <xf numFmtId="0" fontId="36" fillId="16" borderId="10" xfId="0" applyFont="1" applyFill="1" applyBorder="1" applyAlignment="1">
      <alignment horizontal="center" vertical="top"/>
    </xf>
    <xf numFmtId="0" fontId="36" fillId="16" borderId="15" xfId="0" applyFont="1" applyFill="1" applyBorder="1" applyAlignment="1">
      <alignment horizontal="center" vertical="top"/>
    </xf>
    <xf numFmtId="0" fontId="36" fillId="0" borderId="9" xfId="0" applyFont="1" applyBorder="1" applyAlignment="1">
      <alignment vertical="top"/>
    </xf>
    <xf numFmtId="44" fontId="36" fillId="0" borderId="13" xfId="29" applyFont="1" applyBorder="1" applyAlignment="1">
      <alignment vertical="top"/>
    </xf>
    <xf numFmtId="4" fontId="36" fillId="0" borderId="17" xfId="0" applyNumberFormat="1" applyFont="1" applyBorder="1" applyAlignment="1">
      <alignment horizontal="right" vertical="top"/>
    </xf>
    <xf numFmtId="4" fontId="36" fillId="0" borderId="18" xfId="0" applyNumberFormat="1" applyFont="1" applyBorder="1" applyAlignment="1">
      <alignment horizontal="right" vertical="top"/>
    </xf>
    <xf numFmtId="42" fontId="36" fillId="0" borderId="18" xfId="0" applyNumberFormat="1" applyFont="1" applyBorder="1" applyAlignment="1">
      <alignment vertical="top"/>
    </xf>
    <xf numFmtId="44" fontId="36" fillId="0" borderId="14" xfId="29" applyFont="1" applyBorder="1" applyAlignment="1">
      <alignment vertical="top"/>
    </xf>
    <xf numFmtId="4" fontId="36" fillId="16" borderId="0" xfId="0" applyNumberFormat="1" applyFont="1" applyFill="1" applyBorder="1" applyAlignment="1">
      <alignment horizontal="right" vertical="top"/>
    </xf>
    <xf numFmtId="4" fontId="36" fillId="0" borderId="19" xfId="0" applyNumberFormat="1" applyFont="1" applyBorder="1" applyAlignment="1">
      <alignment horizontal="right" vertical="top"/>
    </xf>
    <xf numFmtId="42" fontId="36" fillId="0" borderId="19" xfId="0" applyNumberFormat="1" applyFont="1" applyBorder="1" applyAlignment="1">
      <alignment vertical="top"/>
    </xf>
    <xf numFmtId="44" fontId="36" fillId="0" borderId="15" xfId="29" applyFont="1" applyBorder="1" applyAlignment="1">
      <alignment vertical="top"/>
    </xf>
    <xf numFmtId="4" fontId="36" fillId="16" borderId="10" xfId="0" applyNumberFormat="1" applyFont="1" applyFill="1" applyBorder="1" applyAlignment="1">
      <alignment horizontal="right" vertical="top"/>
    </xf>
    <xf numFmtId="4" fontId="36" fillId="0" borderId="20" xfId="0" applyNumberFormat="1" applyFont="1" applyBorder="1" applyAlignment="1">
      <alignment horizontal="right" vertical="top"/>
    </xf>
    <xf numFmtId="42" fontId="36" fillId="0" borderId="20" xfId="0" applyNumberFormat="1" applyFont="1" applyBorder="1" applyAlignment="1">
      <alignment vertical="top"/>
    </xf>
    <xf numFmtId="4" fontId="36" fillId="0" borderId="19" xfId="0" applyNumberFormat="1" applyFont="1" applyFill="1" applyBorder="1" applyAlignment="1">
      <alignment horizontal="right" vertical="top"/>
    </xf>
    <xf numFmtId="4" fontId="36" fillId="0" borderId="20" xfId="0" applyNumberFormat="1" applyFont="1" applyFill="1" applyBorder="1" applyAlignment="1">
      <alignment horizontal="right" vertical="top"/>
    </xf>
    <xf numFmtId="0" fontId="36" fillId="16" borderId="20" xfId="0" applyFont="1" applyFill="1" applyBorder="1" applyAlignment="1">
      <alignment horizontal="center" vertical="top"/>
    </xf>
    <xf numFmtId="0" fontId="36" fillId="0" borderId="0" xfId="0" applyFont="1" applyAlignment="1">
      <alignment horizontal="right" vertical="top"/>
    </xf>
    <xf numFmtId="44" fontId="36" fillId="0" borderId="0" xfId="29" applyFont="1" applyAlignment="1">
      <alignment vertical="top"/>
    </xf>
    <xf numFmtId="0" fontId="36" fillId="0" borderId="0" xfId="0" applyFont="1" applyAlignment="1">
      <alignment horizontal="center" vertical="top"/>
    </xf>
    <xf numFmtId="42" fontId="35" fillId="0" borderId="0" xfId="0" applyNumberFormat="1" applyFont="1" applyAlignment="1">
      <alignment vertical="top"/>
    </xf>
    <xf numFmtId="0" fontId="39" fillId="25" borderId="17" xfId="0" applyFont="1" applyFill="1" applyBorder="1" applyAlignment="1">
      <alignment vertical="top"/>
    </xf>
    <xf numFmtId="0" fontId="39" fillId="25" borderId="10" xfId="0" applyFont="1" applyFill="1" applyBorder="1" applyAlignment="1">
      <alignment horizontal="center" vertical="top"/>
    </xf>
    <xf numFmtId="44" fontId="39" fillId="25" borderId="15" xfId="29" applyFont="1" applyFill="1" applyBorder="1" applyAlignment="1">
      <alignment horizontal="center" vertical="top"/>
    </xf>
    <xf numFmtId="0" fontId="39" fillId="25" borderId="20" xfId="0" applyFont="1" applyFill="1" applyBorder="1" applyAlignment="1">
      <alignment horizontal="center" vertical="top"/>
    </xf>
    <xf numFmtId="0" fontId="35" fillId="25" borderId="12" xfId="0" applyFont="1" applyFill="1" applyBorder="1" applyAlignment="1">
      <alignment vertical="top"/>
    </xf>
    <xf numFmtId="0" fontId="35" fillId="25" borderId="10" xfId="0" applyFont="1" applyFill="1" applyBorder="1" applyAlignment="1">
      <alignment vertical="top"/>
    </xf>
    <xf numFmtId="0" fontId="35" fillId="25" borderId="15" xfId="0" applyFont="1" applyFill="1" applyBorder="1" applyAlignment="1">
      <alignment vertical="top"/>
    </xf>
    <xf numFmtId="0" fontId="39" fillId="25" borderId="18" xfId="0" applyFont="1" applyFill="1" applyBorder="1" applyAlignment="1">
      <alignment vertical="top"/>
    </xf>
    <xf numFmtId="0" fontId="36" fillId="25" borderId="20" xfId="0" applyFont="1" applyFill="1" applyBorder="1" applyAlignment="1">
      <alignment vertical="top"/>
    </xf>
    <xf numFmtId="0" fontId="39" fillId="25" borderId="17" xfId="0" applyFont="1" applyFill="1" applyBorder="1"/>
    <xf numFmtId="0" fontId="39" fillId="25" borderId="9" xfId="0" applyFont="1" applyFill="1" applyBorder="1" applyAlignment="1">
      <alignment horizontal="center"/>
    </xf>
    <xf numFmtId="0" fontId="36" fillId="25" borderId="10" xfId="0" applyFont="1" applyFill="1" applyBorder="1"/>
    <xf numFmtId="0" fontId="39" fillId="25" borderId="12" xfId="0" applyFont="1" applyFill="1" applyBorder="1" applyAlignment="1">
      <alignment horizontal="center"/>
    </xf>
    <xf numFmtId="0" fontId="39" fillId="25" borderId="10" xfId="0" applyFont="1" applyFill="1" applyBorder="1" applyAlignment="1">
      <alignment horizontal="center"/>
    </xf>
    <xf numFmtId="0" fontId="39" fillId="25" borderId="15" xfId="0" applyFont="1" applyFill="1" applyBorder="1" applyAlignment="1">
      <alignment horizontal="center"/>
    </xf>
    <xf numFmtId="0" fontId="36" fillId="16" borderId="17" xfId="0" applyFont="1" applyFill="1" applyBorder="1" applyAlignment="1">
      <alignment vertical="top"/>
    </xf>
    <xf numFmtId="0" fontId="36" fillId="16" borderId="9" xfId="0" applyFont="1" applyFill="1" applyBorder="1" applyAlignment="1">
      <alignment vertical="top"/>
    </xf>
    <xf numFmtId="0" fontId="36" fillId="16" borderId="11" xfId="0" applyFont="1" applyFill="1" applyBorder="1" applyAlignment="1">
      <alignment vertical="top"/>
    </xf>
    <xf numFmtId="0" fontId="36" fillId="16" borderId="12" xfId="0" applyFont="1" applyFill="1" applyBorder="1" applyAlignment="1">
      <alignment vertical="top"/>
    </xf>
    <xf numFmtId="0" fontId="36" fillId="16" borderId="10" xfId="0" applyFont="1" applyFill="1" applyBorder="1" applyAlignment="1">
      <alignment vertical="top"/>
    </xf>
    <xf numFmtId="0" fontId="36" fillId="16" borderId="15" xfId="0" applyFont="1" applyFill="1" applyBorder="1" applyAlignment="1">
      <alignment vertical="top"/>
    </xf>
    <xf numFmtId="0" fontId="39" fillId="25" borderId="17" xfId="0" applyFont="1" applyFill="1" applyBorder="1" applyAlignment="1">
      <alignment horizontal="center" vertical="top"/>
    </xf>
    <xf numFmtId="0" fontId="36" fillId="25" borderId="12" xfId="0" applyFont="1" applyFill="1" applyBorder="1" applyAlignment="1">
      <alignment vertical="top"/>
    </xf>
    <xf numFmtId="0" fontId="36" fillId="25" borderId="10" xfId="0" applyFont="1" applyFill="1" applyBorder="1" applyAlignment="1">
      <alignment vertical="top"/>
    </xf>
    <xf numFmtId="0" fontId="36" fillId="25" borderId="15" xfId="0" applyFont="1" applyFill="1" applyBorder="1" applyAlignment="1">
      <alignment vertical="top"/>
    </xf>
    <xf numFmtId="0" fontId="36" fillId="0" borderId="25" xfId="0" applyFont="1" applyBorder="1" applyAlignment="1">
      <alignment vertical="top"/>
    </xf>
    <xf numFmtId="0" fontId="39" fillId="25" borderId="28" xfId="0" applyFont="1" applyFill="1" applyBorder="1" applyAlignment="1">
      <alignment horizontal="center" vertical="top"/>
    </xf>
    <xf numFmtId="3" fontId="40" fillId="16" borderId="27" xfId="0" applyNumberFormat="1" applyFont="1" applyFill="1" applyBorder="1" applyAlignment="1">
      <alignment horizontal="center" vertical="top"/>
    </xf>
    <xf numFmtId="0" fontId="39" fillId="25" borderId="26" xfId="0" applyFont="1" applyFill="1" applyBorder="1" applyAlignment="1">
      <alignment horizontal="center" vertical="top" wrapText="1"/>
    </xf>
    <xf numFmtId="0" fontId="36" fillId="0" borderId="0" xfId="0" applyFont="1" applyFill="1" applyBorder="1" applyAlignment="1">
      <alignment horizontal="right" vertical="top"/>
    </xf>
    <xf numFmtId="0" fontId="36" fillId="25" borderId="23" xfId="0" applyFont="1" applyFill="1" applyBorder="1" applyAlignment="1">
      <alignment vertical="top"/>
    </xf>
    <xf numFmtId="0" fontId="36" fillId="25" borderId="16" xfId="0" applyFont="1" applyFill="1" applyBorder="1" applyAlignment="1">
      <alignment vertical="top"/>
    </xf>
    <xf numFmtId="0" fontId="36" fillId="25" borderId="9" xfId="0" applyFont="1" applyFill="1" applyBorder="1" applyAlignment="1">
      <alignment vertical="top"/>
    </xf>
    <xf numFmtId="0" fontId="36" fillId="0" borderId="9" xfId="0" applyFont="1" applyFill="1" applyBorder="1" applyAlignment="1">
      <alignment horizontal="right" vertical="top"/>
    </xf>
    <xf numFmtId="166" fontId="36" fillId="0" borderId="10" xfId="0" applyNumberFormat="1" applyFont="1" applyFill="1" applyBorder="1" applyAlignment="1">
      <alignment vertical="top"/>
    </xf>
    <xf numFmtId="0" fontId="47" fillId="0" borderId="0" xfId="0" applyFont="1"/>
    <xf numFmtId="42" fontId="36" fillId="0" borderId="17" xfId="0" applyNumberFormat="1" applyFont="1" applyBorder="1" applyAlignment="1">
      <alignment vertical="top"/>
    </xf>
    <xf numFmtId="42" fontId="36" fillId="0" borderId="11" xfId="0" applyNumberFormat="1" applyFont="1" applyBorder="1" applyAlignment="1">
      <alignment vertical="top"/>
    </xf>
    <xf numFmtId="42" fontId="36" fillId="0" borderId="12" xfId="0" applyNumberFormat="1" applyFont="1" applyBorder="1" applyAlignment="1">
      <alignment vertical="top"/>
    </xf>
    <xf numFmtId="0" fontId="36" fillId="0" borderId="25" xfId="0" applyFont="1" applyFill="1" applyBorder="1" applyAlignment="1">
      <alignment vertical="top"/>
    </xf>
    <xf numFmtId="0" fontId="36" fillId="0" borderId="24" xfId="0" applyFont="1" applyBorder="1" applyAlignment="1">
      <alignment vertical="top"/>
    </xf>
    <xf numFmtId="0" fontId="36" fillId="0" borderId="29" xfId="0" applyFont="1" applyBorder="1" applyAlignment="1">
      <alignment vertical="top"/>
    </xf>
    <xf numFmtId="0" fontId="36" fillId="0" borderId="17" xfId="0" applyFont="1" applyFill="1" applyBorder="1" applyAlignment="1">
      <alignment horizontal="right" vertical="top"/>
    </xf>
    <xf numFmtId="0" fontId="36" fillId="0" borderId="11" xfId="0" applyFont="1" applyFill="1" applyBorder="1" applyAlignment="1">
      <alignment horizontal="right" vertical="top"/>
    </xf>
    <xf numFmtId="0" fontId="36" fillId="0" borderId="12" xfId="0" applyFont="1" applyFill="1" applyBorder="1" applyAlignment="1">
      <alignment horizontal="right" vertical="top"/>
    </xf>
    <xf numFmtId="168" fontId="36" fillId="0" borderId="0" xfId="0" applyNumberFormat="1" applyFont="1" applyBorder="1" applyAlignment="1">
      <alignment horizontal="right" vertical="top"/>
    </xf>
    <xf numFmtId="170" fontId="36" fillId="0" borderId="11" xfId="0" applyNumberFormat="1" applyFont="1" applyFill="1" applyBorder="1" applyAlignment="1">
      <alignment horizontal="center" vertical="top"/>
    </xf>
    <xf numFmtId="170" fontId="36" fillId="0" borderId="12" xfId="0" applyNumberFormat="1" applyFont="1" applyFill="1" applyBorder="1" applyAlignment="1">
      <alignment horizontal="center" vertical="top"/>
    </xf>
    <xf numFmtId="170" fontId="36" fillId="0" borderId="25" xfId="0" applyNumberFormat="1" applyFont="1" applyFill="1" applyBorder="1" applyAlignment="1">
      <alignment horizontal="center" vertical="top"/>
    </xf>
    <xf numFmtId="170" fontId="36" fillId="0" borderId="24" xfId="0" applyNumberFormat="1" applyFont="1" applyFill="1" applyBorder="1" applyAlignment="1">
      <alignment horizontal="center" vertical="top"/>
    </xf>
    <xf numFmtId="168" fontId="36" fillId="0" borderId="13" xfId="0" applyNumberFormat="1" applyFont="1" applyFill="1" applyBorder="1" applyAlignment="1">
      <alignment horizontal="right" vertical="top"/>
    </xf>
    <xf numFmtId="168" fontId="35" fillId="0" borderId="13" xfId="0" applyNumberFormat="1" applyFont="1" applyFill="1" applyBorder="1" applyAlignment="1">
      <alignment horizontal="right" vertical="top"/>
    </xf>
    <xf numFmtId="168" fontId="36" fillId="0" borderId="14" xfId="0" applyNumberFormat="1" applyFont="1" applyFill="1" applyBorder="1" applyAlignment="1">
      <alignment horizontal="right" vertical="top"/>
    </xf>
    <xf numFmtId="168" fontId="35" fillId="0" borderId="14" xfId="0" applyNumberFormat="1" applyFont="1" applyFill="1" applyBorder="1" applyAlignment="1">
      <alignment horizontal="right" vertical="top"/>
    </xf>
    <xf numFmtId="168" fontId="36" fillId="0" borderId="15" xfId="0" applyNumberFormat="1" applyFont="1" applyFill="1" applyBorder="1" applyAlignment="1">
      <alignment horizontal="right" vertical="top"/>
    </xf>
    <xf numFmtId="168" fontId="35" fillId="0" borderId="15" xfId="0" applyNumberFormat="1" applyFont="1" applyFill="1" applyBorder="1" applyAlignment="1">
      <alignment horizontal="right" vertical="top"/>
    </xf>
    <xf numFmtId="0" fontId="36" fillId="25" borderId="21" xfId="0" applyFont="1" applyFill="1" applyBorder="1" applyAlignment="1">
      <alignment vertical="top" wrapText="1"/>
    </xf>
    <xf numFmtId="5" fontId="36" fillId="0" borderId="29" xfId="0" applyNumberFormat="1" applyFont="1" applyFill="1" applyBorder="1" applyAlignment="1">
      <alignment horizontal="center" vertical="top"/>
    </xf>
    <xf numFmtId="5" fontId="36" fillId="0" borderId="25" xfId="0" applyNumberFormat="1" applyFont="1" applyFill="1" applyBorder="1" applyAlignment="1">
      <alignment horizontal="center" vertical="top"/>
    </xf>
    <xf numFmtId="5" fontId="36" fillId="0" borderId="24" xfId="0" applyNumberFormat="1" applyFont="1" applyFill="1" applyBorder="1" applyAlignment="1">
      <alignment horizontal="center" vertical="top"/>
    </xf>
    <xf numFmtId="42" fontId="36" fillId="0" borderId="29" xfId="0" applyNumberFormat="1" applyFont="1" applyFill="1" applyBorder="1" applyAlignment="1">
      <alignment vertical="top"/>
    </xf>
    <xf numFmtId="42" fontId="36" fillId="0" borderId="25" xfId="0" applyNumberFormat="1" applyFont="1" applyFill="1" applyBorder="1" applyAlignment="1">
      <alignment vertical="top"/>
    </xf>
    <xf numFmtId="0" fontId="31" fillId="0" borderId="0" xfId="0" applyFont="1" applyAlignment="1">
      <alignment vertical="top"/>
    </xf>
    <xf numFmtId="0" fontId="36" fillId="0" borderId="13" xfId="0" applyFont="1" applyFill="1" applyBorder="1" applyAlignment="1">
      <alignment vertical="top"/>
    </xf>
    <xf numFmtId="0" fontId="36" fillId="0" borderId="14" xfId="0" applyFont="1" applyFill="1" applyBorder="1" applyAlignment="1">
      <alignment vertical="top"/>
    </xf>
    <xf numFmtId="0" fontId="36" fillId="0" borderId="15" xfId="0" applyFont="1" applyFill="1" applyBorder="1" applyAlignment="1">
      <alignment vertical="top"/>
    </xf>
    <xf numFmtId="3" fontId="36" fillId="0" borderId="19" xfId="0" applyNumberFormat="1" applyFont="1" applyFill="1" applyBorder="1" applyAlignment="1">
      <alignment vertical="top"/>
    </xf>
    <xf numFmtId="3" fontId="36" fillId="0" borderId="22" xfId="0" applyNumberFormat="1" applyFont="1" applyFill="1" applyBorder="1" applyAlignment="1">
      <alignment vertical="top"/>
    </xf>
    <xf numFmtId="3" fontId="36" fillId="0" borderId="27" xfId="0" applyNumberFormat="1" applyFont="1" applyFill="1" applyBorder="1" applyAlignment="1">
      <alignment vertical="top"/>
    </xf>
    <xf numFmtId="166" fontId="36" fillId="0" borderId="19" xfId="0" applyNumberFormat="1" applyFont="1" applyFill="1" applyBorder="1" applyAlignment="1">
      <alignment horizontal="right" vertical="top"/>
    </xf>
    <xf numFmtId="166" fontId="36" fillId="0" borderId="20" xfId="0" applyNumberFormat="1" applyFont="1" applyFill="1" applyBorder="1" applyAlignment="1">
      <alignment horizontal="right" vertical="top"/>
    </xf>
    <xf numFmtId="9" fontId="36" fillId="0" borderId="19" xfId="45" applyFont="1" applyFill="1" applyBorder="1" applyAlignment="1">
      <alignment horizontal="center" vertical="top"/>
    </xf>
    <xf numFmtId="0" fontId="32" fillId="19" borderId="0" xfId="0" applyFont="1" applyFill="1" applyBorder="1" applyAlignment="1">
      <alignment horizontal="center" vertical="top"/>
    </xf>
    <xf numFmtId="167" fontId="36" fillId="0" borderId="14" xfId="0" applyNumberFormat="1" applyFont="1" applyFill="1" applyBorder="1" applyAlignment="1">
      <alignment horizontal="right" vertical="top"/>
    </xf>
    <xf numFmtId="167" fontId="36" fillId="0" borderId="15" xfId="0" applyNumberFormat="1" applyFont="1" applyFill="1" applyBorder="1" applyAlignment="1">
      <alignment horizontal="right" vertical="top"/>
    </xf>
    <xf numFmtId="0" fontId="38" fillId="0" borderId="0" xfId="0" applyFont="1" applyFill="1" applyBorder="1"/>
    <xf numFmtId="0" fontId="36" fillId="0" borderId="14" xfId="0" applyFont="1" applyFill="1" applyBorder="1"/>
    <xf numFmtId="0" fontId="36" fillId="25" borderId="16" xfId="0" applyFont="1" applyFill="1" applyBorder="1" applyAlignment="1">
      <alignment vertical="top" wrapText="1"/>
    </xf>
    <xf numFmtId="0" fontId="36" fillId="0" borderId="19" xfId="0" applyFont="1" applyFill="1" applyBorder="1" applyAlignment="1">
      <alignment horizontal="center" vertical="top"/>
    </xf>
    <xf numFmtId="0" fontId="36" fillId="0" borderId="20" xfId="0" applyFont="1" applyFill="1" applyBorder="1" applyAlignment="1">
      <alignment horizontal="center" vertical="top"/>
    </xf>
    <xf numFmtId="167" fontId="36" fillId="0" borderId="19" xfId="0" applyNumberFormat="1" applyFont="1" applyFill="1" applyBorder="1" applyAlignment="1">
      <alignment horizontal="right" vertical="top"/>
    </xf>
    <xf numFmtId="167" fontId="36" fillId="0" borderId="20" xfId="0" applyNumberFormat="1" applyFont="1" applyFill="1" applyBorder="1" applyAlignment="1">
      <alignment horizontal="right" vertical="top"/>
    </xf>
    <xf numFmtId="0" fontId="50" fillId="0" borderId="0" xfId="0" applyFont="1" applyAlignment="1">
      <alignment vertical="top"/>
    </xf>
    <xf numFmtId="0" fontId="36" fillId="0" borderId="0" xfId="0" applyFont="1" applyBorder="1"/>
    <xf numFmtId="0" fontId="36" fillId="20" borderId="0" xfId="0" applyFont="1" applyFill="1" applyAlignment="1">
      <alignment vertical="top"/>
    </xf>
    <xf numFmtId="3" fontId="36" fillId="20" borderId="0" xfId="0" applyNumberFormat="1" applyFont="1" applyFill="1" applyAlignment="1">
      <alignment vertical="top"/>
    </xf>
    <xf numFmtId="0" fontId="51" fillId="20" borderId="0" xfId="0" applyFont="1" applyFill="1" applyAlignment="1">
      <alignment vertical="top"/>
    </xf>
    <xf numFmtId="0" fontId="51" fillId="20" borderId="0" xfId="0" quotePrefix="1" applyFont="1" applyFill="1" applyAlignment="1">
      <alignment vertical="top"/>
    </xf>
    <xf numFmtId="0" fontId="52" fillId="0" borderId="0" xfId="0" applyFont="1" applyAlignment="1">
      <alignment vertical="top"/>
    </xf>
    <xf numFmtId="10" fontId="36" fillId="0" borderId="0" xfId="45" applyNumberFormat="1" applyFont="1" applyFill="1" applyBorder="1" applyAlignment="1" applyProtection="1">
      <alignment horizontal="right" vertical="top"/>
      <protection locked="0"/>
    </xf>
    <xf numFmtId="9" fontId="36" fillId="0" borderId="0" xfId="45" applyFont="1" applyFill="1" applyBorder="1" applyAlignment="1">
      <alignment horizontal="left" vertical="top"/>
    </xf>
    <xf numFmtId="0" fontId="52" fillId="0" borderId="0" xfId="0" applyFont="1" applyFill="1" applyBorder="1" applyAlignment="1">
      <alignment vertical="top"/>
    </xf>
    <xf numFmtId="0" fontId="38" fillId="0" borderId="0" xfId="0" applyFont="1" applyFill="1" applyAlignment="1">
      <alignment vertical="top"/>
    </xf>
    <xf numFmtId="0" fontId="36" fillId="26" borderId="0" xfId="0" applyFont="1" applyFill="1" applyAlignment="1">
      <alignment vertical="top"/>
    </xf>
    <xf numFmtId="3" fontId="36" fillId="26" borderId="0" xfId="0" applyNumberFormat="1" applyFont="1" applyFill="1" applyAlignment="1">
      <alignment vertical="top"/>
    </xf>
    <xf numFmtId="4" fontId="36" fillId="26" borderId="0" xfId="0" applyNumberFormat="1" applyFont="1" applyFill="1" applyAlignment="1">
      <alignment vertical="top"/>
    </xf>
    <xf numFmtId="173" fontId="36" fillId="26" borderId="0" xfId="0" applyNumberFormat="1" applyFont="1" applyFill="1" applyAlignment="1">
      <alignment horizontal="right" vertical="top"/>
    </xf>
    <xf numFmtId="0" fontId="35" fillId="22" borderId="0" xfId="0" applyFont="1" applyFill="1" applyAlignment="1">
      <alignment vertical="top"/>
    </xf>
    <xf numFmtId="0" fontId="41" fillId="22" borderId="0" xfId="0" applyFont="1" applyFill="1" applyAlignment="1">
      <alignment vertical="top"/>
    </xf>
    <xf numFmtId="165" fontId="36" fillId="22" borderId="0" xfId="45" applyNumberFormat="1" applyFont="1" applyFill="1" applyAlignment="1">
      <alignment vertical="top"/>
    </xf>
    <xf numFmtId="3" fontId="41" fillId="22" borderId="0" xfId="0" applyNumberFormat="1" applyFont="1" applyFill="1" applyAlignment="1">
      <alignment vertical="top"/>
    </xf>
    <xf numFmtId="0" fontId="39" fillId="25" borderId="17" xfId="0" applyFont="1" applyFill="1" applyBorder="1" applyAlignment="1">
      <alignment horizontal="center" vertical="top" wrapText="1"/>
    </xf>
    <xf numFmtId="0" fontId="39" fillId="25" borderId="18" xfId="0" applyFont="1" applyFill="1" applyBorder="1" applyAlignment="1">
      <alignment horizontal="center" vertical="top"/>
    </xf>
    <xf numFmtId="0" fontId="39" fillId="25" borderId="15" xfId="0" applyFont="1" applyFill="1" applyBorder="1" applyAlignment="1">
      <alignment horizontal="center" vertical="top"/>
    </xf>
    <xf numFmtId="166" fontId="38" fillId="16" borderId="27" xfId="0" applyNumberFormat="1" applyFont="1" applyFill="1" applyBorder="1" applyAlignment="1">
      <alignment horizontal="right" vertical="top"/>
    </xf>
    <xf numFmtId="166" fontId="38" fillId="16" borderId="19" xfId="0" applyNumberFormat="1" applyFont="1" applyFill="1" applyBorder="1" applyAlignment="1">
      <alignment horizontal="right" vertical="top"/>
    </xf>
    <xf numFmtId="166" fontId="36" fillId="16" borderId="19" xfId="0" applyNumberFormat="1" applyFont="1" applyFill="1" applyBorder="1" applyAlignment="1">
      <alignment horizontal="right" vertical="top"/>
    </xf>
    <xf numFmtId="167" fontId="36" fillId="16" borderId="14" xfId="0" applyNumberFormat="1" applyFont="1" applyFill="1" applyBorder="1" applyAlignment="1">
      <alignment horizontal="right" vertical="top"/>
    </xf>
    <xf numFmtId="0" fontId="36" fillId="16" borderId="19" xfId="0" applyFont="1" applyFill="1" applyBorder="1" applyAlignment="1">
      <alignment horizontal="center" vertical="top"/>
    </xf>
    <xf numFmtId="167" fontId="36" fillId="16" borderId="19" xfId="0" applyNumberFormat="1" applyFont="1" applyFill="1" applyBorder="1" applyAlignment="1">
      <alignment horizontal="right" vertical="top"/>
    </xf>
    <xf numFmtId="166" fontId="36" fillId="0" borderId="0" xfId="0" applyNumberFormat="1" applyFont="1" applyAlignment="1">
      <alignment vertical="top"/>
    </xf>
    <xf numFmtId="0" fontId="9" fillId="0" borderId="0" xfId="0" applyFont="1"/>
    <xf numFmtId="3" fontId="55" fillId="26" borderId="0" xfId="0" applyNumberFormat="1" applyFont="1" applyFill="1" applyAlignment="1">
      <alignment vertical="top"/>
    </xf>
    <xf numFmtId="3" fontId="55" fillId="24" borderId="0" xfId="0" applyNumberFormat="1" applyFont="1" applyFill="1" applyAlignment="1">
      <alignment vertical="top"/>
    </xf>
    <xf numFmtId="3" fontId="36" fillId="0" borderId="0" xfId="0" applyNumberFormat="1" applyFont="1" applyAlignment="1">
      <alignment vertical="top"/>
    </xf>
    <xf numFmtId="0" fontId="36" fillId="25" borderId="32" xfId="0" applyFont="1" applyFill="1" applyBorder="1" applyAlignment="1">
      <alignment vertical="top"/>
    </xf>
    <xf numFmtId="0" fontId="36" fillId="16" borderId="30" xfId="0" applyFont="1" applyFill="1" applyBorder="1" applyAlignment="1">
      <alignment vertical="top"/>
    </xf>
    <xf numFmtId="0" fontId="36" fillId="16" borderId="31" xfId="0" applyFont="1" applyFill="1" applyBorder="1" applyAlignment="1">
      <alignment vertical="top"/>
    </xf>
    <xf numFmtId="0" fontId="36" fillId="0" borderId="30" xfId="0" applyFont="1" applyBorder="1" applyAlignment="1">
      <alignment vertical="top"/>
    </xf>
    <xf numFmtId="173" fontId="36" fillId="0" borderId="11" xfId="0" applyNumberFormat="1" applyFont="1" applyBorder="1" applyAlignment="1">
      <alignment vertical="top"/>
    </xf>
    <xf numFmtId="173" fontId="36" fillId="0" borderId="12" xfId="0" applyNumberFormat="1" applyFont="1" applyBorder="1" applyAlignment="1">
      <alignment vertical="top"/>
    </xf>
    <xf numFmtId="173" fontId="36" fillId="0" borderId="0" xfId="0" applyNumberFormat="1" applyFont="1" applyBorder="1" applyAlignment="1">
      <alignment vertical="top"/>
    </xf>
    <xf numFmtId="173" fontId="36" fillId="0" borderId="14" xfId="0" applyNumberFormat="1" applyFont="1" applyBorder="1" applyAlignment="1">
      <alignment vertical="top"/>
    </xf>
    <xf numFmtId="173" fontId="36" fillId="16" borderId="0" xfId="0" applyNumberFormat="1" applyFont="1" applyFill="1" applyBorder="1" applyAlignment="1">
      <alignment vertical="top"/>
    </xf>
    <xf numFmtId="173" fontId="36" fillId="16" borderId="14" xfId="0" applyNumberFormat="1" applyFont="1" applyFill="1" applyBorder="1" applyAlignment="1">
      <alignment vertical="top"/>
    </xf>
    <xf numFmtId="173" fontId="36" fillId="16" borderId="10" xfId="0" applyNumberFormat="1" applyFont="1" applyFill="1" applyBorder="1" applyAlignment="1">
      <alignment horizontal="center" vertical="top"/>
    </xf>
    <xf numFmtId="173" fontId="36" fillId="16" borderId="15" xfId="0" applyNumberFormat="1" applyFont="1" applyFill="1" applyBorder="1" applyAlignment="1">
      <alignment horizontal="center" vertical="top"/>
    </xf>
    <xf numFmtId="0" fontId="36" fillId="16" borderId="25" xfId="0" applyFont="1" applyFill="1" applyBorder="1" applyAlignment="1">
      <alignment vertical="top"/>
    </xf>
    <xf numFmtId="0" fontId="36" fillId="16" borderId="17" xfId="0" applyFont="1" applyFill="1" applyBorder="1" applyAlignment="1">
      <alignment horizontal="right" vertical="top"/>
    </xf>
    <xf numFmtId="0" fontId="36" fillId="16" borderId="9" xfId="0" applyFont="1" applyFill="1" applyBorder="1" applyAlignment="1">
      <alignment horizontal="right" vertical="top"/>
    </xf>
    <xf numFmtId="44" fontId="36" fillId="16" borderId="13" xfId="29" applyFont="1" applyFill="1" applyBorder="1" applyAlignment="1">
      <alignment vertical="top"/>
    </xf>
    <xf numFmtId="4" fontId="36" fillId="16" borderId="17" xfId="0" applyNumberFormat="1" applyFont="1" applyFill="1" applyBorder="1" applyAlignment="1">
      <alignment horizontal="right" vertical="top"/>
    </xf>
    <xf numFmtId="4" fontId="36" fillId="16" borderId="18" xfId="0" applyNumberFormat="1" applyFont="1" applyFill="1" applyBorder="1" applyAlignment="1">
      <alignment horizontal="right" vertical="top"/>
    </xf>
    <xf numFmtId="166" fontId="36" fillId="16" borderId="13" xfId="0" applyNumberFormat="1" applyFont="1" applyFill="1" applyBorder="1" applyAlignment="1">
      <alignment horizontal="center" vertical="top"/>
    </xf>
    <xf numFmtId="166" fontId="36" fillId="16" borderId="17" xfId="0" applyNumberFormat="1" applyFont="1" applyFill="1" applyBorder="1" applyAlignment="1">
      <alignment horizontal="center" vertical="top"/>
    </xf>
    <xf numFmtId="42" fontId="36" fillId="16" borderId="18" xfId="0" applyNumberFormat="1" applyFont="1" applyFill="1" applyBorder="1" applyAlignment="1">
      <alignment vertical="top"/>
    </xf>
    <xf numFmtId="0" fontId="36" fillId="16" borderId="11" xfId="0" applyFont="1" applyFill="1" applyBorder="1" applyAlignment="1">
      <alignment horizontal="right" vertical="top"/>
    </xf>
    <xf numFmtId="167" fontId="36" fillId="16" borderId="0" xfId="0" applyNumberFormat="1" applyFont="1" applyFill="1" applyBorder="1" applyAlignment="1">
      <alignment vertical="top"/>
    </xf>
    <xf numFmtId="44" fontId="36" fillId="16" borderId="14" xfId="29" applyFont="1" applyFill="1" applyBorder="1" applyAlignment="1">
      <alignment vertical="top"/>
    </xf>
    <xf numFmtId="4" fontId="36" fillId="16" borderId="19" xfId="0" applyNumberFormat="1" applyFont="1" applyFill="1" applyBorder="1" applyAlignment="1">
      <alignment horizontal="right" vertical="top"/>
    </xf>
    <xf numFmtId="166" fontId="36" fillId="16" borderId="14" xfId="0" applyNumberFormat="1" applyFont="1" applyFill="1" applyBorder="1" applyAlignment="1">
      <alignment horizontal="center" vertical="top"/>
    </xf>
    <xf numFmtId="166" fontId="36" fillId="16" borderId="11" xfId="0" applyNumberFormat="1" applyFont="1" applyFill="1" applyBorder="1" applyAlignment="1">
      <alignment horizontal="center" vertical="top"/>
    </xf>
    <xf numFmtId="42" fontId="36" fillId="16" borderId="19" xfId="0" applyNumberFormat="1" applyFont="1" applyFill="1" applyBorder="1" applyAlignment="1">
      <alignment vertical="top"/>
    </xf>
    <xf numFmtId="0" fontId="36" fillId="16" borderId="24" xfId="0" applyFont="1" applyFill="1" applyBorder="1" applyAlignment="1">
      <alignment vertical="top"/>
    </xf>
    <xf numFmtId="0" fontId="36" fillId="16" borderId="12" xfId="0" applyFont="1" applyFill="1" applyBorder="1" applyAlignment="1">
      <alignment horizontal="right" vertical="top"/>
    </xf>
    <xf numFmtId="167" fontId="36" fillId="16" borderId="10" xfId="0" applyNumberFormat="1" applyFont="1" applyFill="1" applyBorder="1" applyAlignment="1">
      <alignment vertical="top"/>
    </xf>
    <xf numFmtId="44" fontId="36" fillId="16" borderId="15" xfId="29" applyFont="1" applyFill="1" applyBorder="1" applyAlignment="1">
      <alignment vertical="top"/>
    </xf>
    <xf numFmtId="4" fontId="36" fillId="16" borderId="20" xfId="0" applyNumberFormat="1" applyFont="1" applyFill="1" applyBorder="1" applyAlignment="1">
      <alignment horizontal="right" vertical="top"/>
    </xf>
    <xf numFmtId="166" fontId="36" fillId="16" borderId="15" xfId="0" applyNumberFormat="1" applyFont="1" applyFill="1" applyBorder="1" applyAlignment="1">
      <alignment horizontal="center" vertical="top"/>
    </xf>
    <xf numFmtId="166" fontId="36" fillId="16" borderId="12" xfId="0" applyNumberFormat="1" applyFont="1" applyFill="1" applyBorder="1" applyAlignment="1">
      <alignment horizontal="center" vertical="top"/>
    </xf>
    <xf numFmtId="42" fontId="36" fillId="16" borderId="20" xfId="0" applyNumberFormat="1" applyFont="1" applyFill="1" applyBorder="1" applyAlignment="1">
      <alignment vertical="top"/>
    </xf>
    <xf numFmtId="0" fontId="36" fillId="16" borderId="29" xfId="0" applyFont="1" applyFill="1" applyBorder="1" applyAlignment="1">
      <alignment vertical="top"/>
    </xf>
    <xf numFmtId="0" fontId="36" fillId="16" borderId="0" xfId="0" applyFont="1" applyFill="1" applyAlignment="1">
      <alignment vertical="top"/>
    </xf>
    <xf numFmtId="166" fontId="36" fillId="16" borderId="9" xfId="0" applyNumberFormat="1" applyFont="1" applyFill="1" applyBorder="1" applyAlignment="1">
      <alignment horizontal="center" vertical="top"/>
    </xf>
    <xf numFmtId="166" fontId="36" fillId="16" borderId="0" xfId="0" applyNumberFormat="1" applyFont="1" applyFill="1" applyBorder="1" applyAlignment="1">
      <alignment horizontal="center" vertical="top"/>
    </xf>
    <xf numFmtId="42" fontId="42" fillId="0" borderId="0" xfId="0" applyNumberFormat="1" applyFont="1" applyAlignment="1">
      <alignment vertical="top"/>
    </xf>
    <xf numFmtId="168" fontId="36" fillId="16" borderId="9" xfId="0" applyNumberFormat="1" applyFont="1" applyFill="1" applyBorder="1" applyAlignment="1">
      <alignment horizontal="right" vertical="top"/>
    </xf>
    <xf numFmtId="168" fontId="36" fillId="16" borderId="17" xfId="29" applyNumberFormat="1" applyFont="1" applyFill="1" applyBorder="1" applyAlignment="1" applyProtection="1">
      <alignment horizontal="right" vertical="top"/>
      <protection locked="0"/>
    </xf>
    <xf numFmtId="168" fontId="36" fillId="16" borderId="13" xfId="0" applyNumberFormat="1" applyFont="1" applyFill="1" applyBorder="1" applyAlignment="1">
      <alignment horizontal="right" vertical="top"/>
    </xf>
    <xf numFmtId="168" fontId="35" fillId="16" borderId="13" xfId="0" applyNumberFormat="1" applyFont="1" applyFill="1" applyBorder="1" applyAlignment="1">
      <alignment horizontal="right" vertical="top"/>
    </xf>
    <xf numFmtId="168" fontId="36" fillId="16" borderId="0" xfId="0" applyNumberFormat="1" applyFont="1" applyFill="1" applyBorder="1" applyAlignment="1">
      <alignment horizontal="right" vertical="top"/>
    </xf>
    <xf numFmtId="168" fontId="36" fillId="16" borderId="11" xfId="29" applyNumberFormat="1" applyFont="1" applyFill="1" applyBorder="1" applyAlignment="1" applyProtection="1">
      <alignment horizontal="right" vertical="top"/>
      <protection locked="0"/>
    </xf>
    <xf numFmtId="168" fontId="36" fillId="16" borderId="14" xfId="0" applyNumberFormat="1" applyFont="1" applyFill="1" applyBorder="1" applyAlignment="1">
      <alignment horizontal="right" vertical="top"/>
    </xf>
    <xf numFmtId="168" fontId="35" fillId="16" borderId="14" xfId="0" applyNumberFormat="1" applyFont="1" applyFill="1" applyBorder="1" applyAlignment="1">
      <alignment horizontal="right" vertical="top"/>
    </xf>
    <xf numFmtId="5" fontId="36" fillId="16" borderId="29" xfId="0" applyNumberFormat="1" applyFont="1" applyFill="1" applyBorder="1" applyAlignment="1">
      <alignment horizontal="center" vertical="top"/>
    </xf>
    <xf numFmtId="3" fontId="45" fillId="16" borderId="13" xfId="0" applyNumberFormat="1" applyFont="1" applyFill="1" applyBorder="1" applyAlignment="1">
      <alignment horizontal="center" vertical="top"/>
    </xf>
    <xf numFmtId="5" fontId="36" fillId="16" borderId="25" xfId="0" applyNumberFormat="1" applyFont="1" applyFill="1" applyBorder="1" applyAlignment="1">
      <alignment horizontal="center" vertical="top"/>
    </xf>
    <xf numFmtId="3" fontId="45" fillId="16" borderId="14" xfId="0" applyNumberFormat="1" applyFont="1" applyFill="1" applyBorder="1" applyAlignment="1">
      <alignment horizontal="center" vertical="top"/>
    </xf>
    <xf numFmtId="42" fontId="36" fillId="16" borderId="29" xfId="0" applyNumberFormat="1" applyFont="1" applyFill="1" applyBorder="1" applyAlignment="1">
      <alignment vertical="top"/>
    </xf>
    <xf numFmtId="42" fontId="36" fillId="16" borderId="25" xfId="0" applyNumberFormat="1" applyFont="1" applyFill="1" applyBorder="1" applyAlignment="1">
      <alignment vertical="top"/>
    </xf>
    <xf numFmtId="1" fontId="36" fillId="16" borderId="18" xfId="0" applyNumberFormat="1" applyFont="1" applyFill="1" applyBorder="1" applyAlignment="1">
      <alignment horizontal="center" vertical="top"/>
    </xf>
    <xf numFmtId="1" fontId="36" fillId="16" borderId="19" xfId="0" applyNumberFormat="1" applyFont="1" applyFill="1" applyBorder="1" applyAlignment="1">
      <alignment horizontal="center" vertical="top"/>
    </xf>
    <xf numFmtId="5" fontId="36" fillId="16" borderId="11" xfId="0" applyNumberFormat="1" applyFont="1" applyFill="1" applyBorder="1" applyAlignment="1">
      <alignment horizontal="center" vertical="top"/>
    </xf>
    <xf numFmtId="2" fontId="36" fillId="16" borderId="18" xfId="0" applyNumberFormat="1" applyFont="1" applyFill="1" applyBorder="1" applyAlignment="1">
      <alignment horizontal="center" vertical="top"/>
    </xf>
    <xf numFmtId="2" fontId="36" fillId="16" borderId="19" xfId="0" applyNumberFormat="1" applyFont="1" applyFill="1" applyBorder="1" applyAlignment="1">
      <alignment horizontal="center" vertical="top"/>
    </xf>
    <xf numFmtId="166" fontId="36" fillId="16" borderId="19" xfId="0" applyNumberFormat="1" applyFont="1" applyFill="1" applyBorder="1" applyAlignment="1">
      <alignment horizontal="center" vertical="top"/>
    </xf>
    <xf numFmtId="42" fontId="36" fillId="16" borderId="11" xfId="0" applyNumberFormat="1" applyFont="1" applyFill="1" applyBorder="1" applyAlignment="1">
      <alignment vertical="top"/>
    </xf>
    <xf numFmtId="168" fontId="36" fillId="28" borderId="22" xfId="0" applyNumberFormat="1" applyFont="1" applyFill="1" applyBorder="1" applyAlignment="1">
      <alignment horizontal="right" vertical="top"/>
    </xf>
    <xf numFmtId="168" fontId="36" fillId="0" borderId="0" xfId="0" applyNumberFormat="1" applyFont="1" applyFill="1" applyAlignment="1">
      <alignment horizontal="right" vertical="top"/>
    </xf>
    <xf numFmtId="3" fontId="45" fillId="0" borderId="18" xfId="0" applyNumberFormat="1" applyFont="1" applyFill="1" applyBorder="1" applyAlignment="1">
      <alignment horizontal="right" vertical="top"/>
    </xf>
    <xf numFmtId="3" fontId="45" fillId="0" borderId="19" xfId="0" applyNumberFormat="1" applyFont="1" applyFill="1" applyBorder="1" applyAlignment="1">
      <alignment horizontal="right" vertical="top"/>
    </xf>
    <xf numFmtId="3" fontId="45" fillId="0" borderId="20" xfId="0" applyNumberFormat="1" applyFont="1" applyFill="1" applyBorder="1" applyAlignment="1">
      <alignment horizontal="right" vertical="top"/>
    </xf>
    <xf numFmtId="10" fontId="36" fillId="0" borderId="18" xfId="45" applyNumberFormat="1" applyFont="1" applyFill="1" applyBorder="1" applyAlignment="1">
      <alignment vertical="top"/>
    </xf>
    <xf numFmtId="10" fontId="36" fillId="0" borderId="19" xfId="45" applyNumberFormat="1" applyFont="1" applyFill="1" applyBorder="1" applyAlignment="1">
      <alignment vertical="top"/>
    </xf>
    <xf numFmtId="168" fontId="36" fillId="0" borderId="9" xfId="29" applyNumberFormat="1" applyFont="1" applyFill="1" applyBorder="1" applyAlignment="1" applyProtection="1">
      <alignment horizontal="right" vertical="top"/>
      <protection locked="0"/>
    </xf>
    <xf numFmtId="168" fontId="36" fillId="0" borderId="0" xfId="29" applyNumberFormat="1" applyFont="1" applyFill="1" applyBorder="1" applyAlignment="1" applyProtection="1">
      <alignment horizontal="right" vertical="top"/>
      <protection locked="0"/>
    </xf>
    <xf numFmtId="168" fontId="36" fillId="0" borderId="10" xfId="29" applyNumberFormat="1" applyFont="1" applyFill="1" applyBorder="1" applyAlignment="1" applyProtection="1">
      <alignment horizontal="right" vertical="top"/>
      <protection locked="0"/>
    </xf>
    <xf numFmtId="10" fontId="36" fillId="0" borderId="19" xfId="0" applyNumberFormat="1" applyFont="1" applyBorder="1" applyAlignment="1">
      <alignment vertical="top"/>
    </xf>
    <xf numFmtId="10" fontId="36" fillId="0" borderId="20" xfId="0" applyNumberFormat="1" applyFont="1" applyBorder="1" applyAlignment="1">
      <alignment vertical="top"/>
    </xf>
    <xf numFmtId="10" fontId="36" fillId="16" borderId="18" xfId="45" applyNumberFormat="1" applyFont="1" applyFill="1" applyBorder="1" applyAlignment="1">
      <alignment vertical="top"/>
    </xf>
    <xf numFmtId="10" fontId="36" fillId="16" borderId="19" xfId="0" applyNumberFormat="1" applyFont="1" applyFill="1" applyBorder="1" applyAlignment="1">
      <alignment vertical="top"/>
    </xf>
    <xf numFmtId="10" fontId="36" fillId="16" borderId="19" xfId="45" applyNumberFormat="1" applyFont="1" applyFill="1" applyBorder="1" applyAlignment="1">
      <alignment vertical="top"/>
    </xf>
    <xf numFmtId="168" fontId="36" fillId="0" borderId="0" xfId="0" applyNumberFormat="1" applyFont="1" applyBorder="1" applyAlignment="1">
      <alignment vertical="top"/>
    </xf>
    <xf numFmtId="0" fontId="56" fillId="0" borderId="0" xfId="0" applyFont="1" applyFill="1" applyBorder="1" applyAlignment="1">
      <alignment horizontal="center" vertical="top"/>
    </xf>
    <xf numFmtId="0" fontId="39" fillId="0" borderId="25" xfId="0" applyFont="1" applyFill="1" applyBorder="1" applyAlignment="1">
      <alignment horizontal="center" vertical="top"/>
    </xf>
    <xf numFmtId="0" fontId="39" fillId="0" borderId="0" xfId="0" applyFont="1" applyFill="1" applyBorder="1" applyAlignment="1">
      <alignment horizontal="center" vertical="top"/>
    </xf>
    <xf numFmtId="0" fontId="56" fillId="0" borderId="30" xfId="0" applyFont="1" applyFill="1" applyBorder="1" applyAlignment="1">
      <alignment horizontal="center" vertical="top"/>
    </xf>
    <xf numFmtId="0" fontId="36" fillId="0" borderId="31" xfId="0" applyFont="1" applyBorder="1" applyAlignment="1">
      <alignment vertical="top"/>
    </xf>
    <xf numFmtId="173" fontId="36" fillId="0" borderId="0" xfId="0" applyNumberFormat="1" applyFont="1" applyAlignment="1">
      <alignment vertical="top"/>
    </xf>
    <xf numFmtId="174" fontId="36" fillId="0" borderId="0" xfId="50" applyNumberFormat="1" applyFont="1"/>
    <xf numFmtId="0" fontId="36" fillId="0" borderId="0" xfId="0" applyFont="1" applyFill="1" applyBorder="1"/>
    <xf numFmtId="0" fontId="36" fillId="0" borderId="10" xfId="0" applyFont="1" applyFill="1" applyBorder="1"/>
    <xf numFmtId="0" fontId="36" fillId="0" borderId="0" xfId="0" applyFont="1" applyFill="1" applyBorder="1" applyAlignment="1">
      <alignment horizontal="left"/>
    </xf>
    <xf numFmtId="166" fontId="36" fillId="0" borderId="0" xfId="0" applyNumberFormat="1" applyFont="1" applyFill="1" applyBorder="1" applyAlignment="1">
      <alignment vertical="top"/>
    </xf>
    <xf numFmtId="166" fontId="36" fillId="0" borderId="13" xfId="0" applyNumberFormat="1" applyFont="1" applyBorder="1" applyAlignment="1">
      <alignment horizontal="left" vertical="top"/>
    </xf>
    <xf numFmtId="166" fontId="36" fillId="0" borderId="14" xfId="0" applyNumberFormat="1" applyFont="1" applyBorder="1" applyAlignment="1">
      <alignment horizontal="left" vertical="top"/>
    </xf>
    <xf numFmtId="166" fontId="36" fillId="0" borderId="15" xfId="0" applyNumberFormat="1" applyFont="1" applyBorder="1" applyAlignment="1">
      <alignment horizontal="left" vertical="top"/>
    </xf>
    <xf numFmtId="166" fontId="36" fillId="16" borderId="14" xfId="0" applyNumberFormat="1" applyFont="1" applyFill="1" applyBorder="1" applyAlignment="1">
      <alignment horizontal="left" vertical="top"/>
    </xf>
    <xf numFmtId="173" fontId="36" fillId="0" borderId="18" xfId="0" applyNumberFormat="1" applyFont="1" applyBorder="1" applyAlignment="1">
      <alignment horizontal="right" vertical="top"/>
    </xf>
    <xf numFmtId="173" fontId="36" fillId="0" borderId="19" xfId="0" applyNumberFormat="1" applyFont="1" applyBorder="1" applyAlignment="1">
      <alignment horizontal="right" vertical="top"/>
    </xf>
    <xf numFmtId="173" fontId="36" fillId="0" borderId="20" xfId="0" applyNumberFormat="1" applyFont="1" applyBorder="1" applyAlignment="1">
      <alignment horizontal="right" vertical="top"/>
    </xf>
    <xf numFmtId="173" fontId="36" fillId="16" borderId="19" xfId="0" applyNumberFormat="1" applyFont="1" applyFill="1" applyBorder="1" applyAlignment="1">
      <alignment horizontal="right" vertical="top"/>
    </xf>
    <xf numFmtId="1" fontId="36" fillId="0" borderId="0" xfId="0" applyNumberFormat="1" applyFont="1" applyFill="1" applyBorder="1" applyAlignment="1">
      <alignment horizontal="right" vertical="top"/>
    </xf>
    <xf numFmtId="3" fontId="36" fillId="0" borderId="18" xfId="0" applyNumberFormat="1" applyFont="1" applyBorder="1" applyAlignment="1">
      <alignment horizontal="right" vertical="top"/>
    </xf>
    <xf numFmtId="1" fontId="36" fillId="16" borderId="11" xfId="0" applyNumberFormat="1" applyFont="1" applyFill="1" applyBorder="1" applyAlignment="1">
      <alignment horizontal="right" vertical="top"/>
    </xf>
    <xf numFmtId="166" fontId="36" fillId="0" borderId="11" xfId="0" applyNumberFormat="1" applyFont="1" applyFill="1" applyBorder="1" applyAlignment="1">
      <alignment horizontal="right" vertical="top"/>
    </xf>
    <xf numFmtId="166" fontId="36" fillId="0" borderId="12" xfId="0" applyNumberFormat="1" applyFont="1" applyFill="1" applyBorder="1" applyAlignment="1">
      <alignment horizontal="right" vertical="top"/>
    </xf>
    <xf numFmtId="3" fontId="36" fillId="0" borderId="17" xfId="0" applyNumberFormat="1" applyFont="1" applyBorder="1" applyAlignment="1">
      <alignment horizontal="right" vertical="top"/>
    </xf>
    <xf numFmtId="173" fontId="36" fillId="0" borderId="11" xfId="0" applyNumberFormat="1" applyFont="1" applyFill="1" applyBorder="1" applyAlignment="1">
      <alignment horizontal="right" vertical="top"/>
    </xf>
    <xf numFmtId="173" fontId="36" fillId="0" borderId="12" xfId="0" applyNumberFormat="1" applyFont="1" applyFill="1" applyBorder="1" applyAlignment="1">
      <alignment horizontal="right" vertical="top"/>
    </xf>
    <xf numFmtId="3" fontId="36" fillId="0" borderId="9" xfId="0" applyNumberFormat="1" applyFont="1" applyFill="1" applyBorder="1" applyAlignment="1">
      <alignment vertical="top"/>
    </xf>
    <xf numFmtId="3" fontId="36" fillId="0" borderId="10" xfId="0" applyNumberFormat="1" applyFont="1" applyFill="1" applyBorder="1" applyAlignment="1">
      <alignment vertical="top"/>
    </xf>
    <xf numFmtId="3" fontId="36" fillId="0" borderId="12" xfId="0" applyNumberFormat="1" applyFont="1" applyBorder="1" applyAlignment="1">
      <alignment horizontal="right" vertical="top"/>
    </xf>
    <xf numFmtId="42" fontId="35" fillId="0" borderId="14" xfId="0" applyNumberFormat="1" applyFont="1" applyBorder="1" applyAlignment="1">
      <alignment vertical="top"/>
    </xf>
    <xf numFmtId="0" fontId="39" fillId="25" borderId="12" xfId="0" applyFont="1" applyFill="1" applyBorder="1" applyAlignment="1">
      <alignment horizontal="center" vertical="top" wrapText="1"/>
    </xf>
    <xf numFmtId="0" fontId="32" fillId="17" borderId="0" xfId="0" applyFont="1" applyFill="1" applyBorder="1" applyAlignment="1">
      <alignment horizontal="center" vertical="top"/>
    </xf>
    <xf numFmtId="0" fontId="39" fillId="25" borderId="20" xfId="0" applyFont="1" applyFill="1" applyBorder="1" applyAlignment="1">
      <alignment horizontal="center" vertical="top"/>
    </xf>
    <xf numFmtId="9" fontId="36" fillId="29" borderId="0" xfId="45" applyFont="1" applyFill="1" applyBorder="1"/>
    <xf numFmtId="9" fontId="36" fillId="29" borderId="0" xfId="0" applyNumberFormat="1" applyFont="1" applyFill="1" applyBorder="1"/>
    <xf numFmtId="166" fontId="36" fillId="0" borderId="13" xfId="0" applyNumberFormat="1" applyFont="1" applyBorder="1" applyAlignment="1">
      <alignment horizontal="right" vertical="top"/>
    </xf>
    <xf numFmtId="0" fontId="36" fillId="0" borderId="34" xfId="0" applyFont="1" applyFill="1" applyBorder="1" applyAlignment="1">
      <alignment horizontal="left" vertical="center" wrapText="1"/>
    </xf>
    <xf numFmtId="0" fontId="36" fillId="0" borderId="20" xfId="0" applyFont="1" applyBorder="1" applyAlignment="1">
      <alignment horizontal="left" vertical="center" wrapText="1"/>
    </xf>
    <xf numFmtId="0" fontId="36" fillId="0" borderId="35" xfId="0" applyFont="1" applyBorder="1" applyAlignment="1">
      <alignment horizontal="left" vertical="center" wrapText="1"/>
    </xf>
    <xf numFmtId="0" fontId="36" fillId="0" borderId="37" xfId="0" applyFont="1" applyBorder="1" applyAlignment="1">
      <alignment horizontal="left" vertical="center" wrapText="1"/>
    </xf>
    <xf numFmtId="0" fontId="31" fillId="0" borderId="0" xfId="0" applyFont="1" applyAlignment="1">
      <alignment horizontal="left" vertical="top"/>
    </xf>
    <xf numFmtId="0" fontId="36" fillId="0" borderId="20" xfId="0" applyFont="1" applyBorder="1" applyAlignment="1">
      <alignment horizontal="left" vertical="top" wrapText="1"/>
    </xf>
    <xf numFmtId="0" fontId="58" fillId="0" borderId="38" xfId="0" applyFont="1" applyFill="1" applyBorder="1" applyAlignment="1">
      <alignment vertical="top"/>
    </xf>
    <xf numFmtId="0" fontId="57" fillId="0" borderId="45" xfId="0" applyFont="1" applyBorder="1" applyAlignment="1">
      <alignment horizontal="left" vertical="top" wrapText="1"/>
    </xf>
    <xf numFmtId="0" fontId="58" fillId="0" borderId="11" xfId="0" applyFont="1" applyFill="1" applyBorder="1" applyAlignment="1">
      <alignment vertical="top"/>
    </xf>
    <xf numFmtId="0" fontId="57" fillId="0" borderId="19" xfId="0" applyFont="1" applyBorder="1" applyAlignment="1">
      <alignment horizontal="left" vertical="top" wrapText="1"/>
    </xf>
    <xf numFmtId="0" fontId="59" fillId="0" borderId="11" xfId="0" applyFont="1" applyFill="1" applyBorder="1" applyAlignment="1">
      <alignment vertical="top"/>
    </xf>
    <xf numFmtId="0" fontId="57" fillId="0" borderId="0" xfId="0" applyFont="1" applyAlignment="1">
      <alignment horizontal="left" vertical="top"/>
    </xf>
    <xf numFmtId="166" fontId="57" fillId="0" borderId="11" xfId="0" applyNumberFormat="1" applyFont="1" applyBorder="1" applyAlignment="1">
      <alignment horizontal="left" vertical="top"/>
    </xf>
    <xf numFmtId="176" fontId="57" fillId="0" borderId="0" xfId="0" applyNumberFormat="1" applyFont="1" applyBorder="1" applyAlignment="1">
      <alignment horizontal="left" vertical="top"/>
    </xf>
    <xf numFmtId="0" fontId="57" fillId="0" borderId="14" xfId="0" applyFont="1" applyBorder="1" applyAlignment="1">
      <alignment horizontal="left" vertical="top"/>
    </xf>
    <xf numFmtId="0" fontId="57" fillId="0" borderId="0" xfId="0" applyFont="1" applyBorder="1" applyAlignment="1">
      <alignment horizontal="left" vertical="top"/>
    </xf>
    <xf numFmtId="166" fontId="57" fillId="0" borderId="12" xfId="0" applyNumberFormat="1" applyFont="1" applyBorder="1" applyAlignment="1">
      <alignment horizontal="left" vertical="top"/>
    </xf>
    <xf numFmtId="0" fontId="57" fillId="0" borderId="10" xfId="0" applyFont="1" applyBorder="1" applyAlignment="1">
      <alignment horizontal="left" vertical="top"/>
    </xf>
    <xf numFmtId="0" fontId="57" fillId="0" borderId="15" xfId="0" applyFont="1" applyBorder="1" applyAlignment="1">
      <alignment horizontal="left" vertical="top"/>
    </xf>
    <xf numFmtId="0" fontId="39" fillId="25" borderId="41" xfId="0" applyFont="1" applyFill="1" applyBorder="1" applyAlignment="1">
      <alignment horizontal="left" vertical="top"/>
    </xf>
    <xf numFmtId="0" fontId="39" fillId="25" borderId="42" xfId="0" applyFont="1" applyFill="1" applyBorder="1" applyAlignment="1">
      <alignment horizontal="left" vertical="top"/>
    </xf>
    <xf numFmtId="0" fontId="39" fillId="25" borderId="44" xfId="0" applyFont="1" applyFill="1" applyBorder="1" applyAlignment="1">
      <alignment horizontal="left" vertical="top"/>
    </xf>
    <xf numFmtId="0" fontId="56" fillId="0" borderId="0" xfId="0" applyFont="1" applyAlignment="1">
      <alignment vertical="top"/>
    </xf>
    <xf numFmtId="0" fontId="39" fillId="25" borderId="44" xfId="0" applyFont="1" applyFill="1" applyBorder="1" applyAlignment="1">
      <alignment horizontal="center" vertical="top"/>
    </xf>
    <xf numFmtId="0" fontId="39" fillId="25" borderId="46" xfId="0" applyFont="1" applyFill="1" applyBorder="1" applyAlignment="1">
      <alignment horizontal="center" vertical="top"/>
    </xf>
    <xf numFmtId="170" fontId="60" fillId="0" borderId="47" xfId="0" applyNumberFormat="1" applyFont="1" applyFill="1" applyBorder="1" applyAlignment="1">
      <alignment horizontal="right"/>
    </xf>
    <xf numFmtId="170" fontId="60" fillId="0" borderId="27" xfId="0" applyNumberFormat="1" applyFont="1" applyFill="1" applyBorder="1" applyAlignment="1">
      <alignment horizontal="right"/>
    </xf>
    <xf numFmtId="170" fontId="60" fillId="0" borderId="28" xfId="0" applyNumberFormat="1" applyFont="1" applyFill="1" applyBorder="1" applyAlignment="1">
      <alignment horizontal="right"/>
    </xf>
    <xf numFmtId="9" fontId="36" fillId="0" borderId="41" xfId="45" applyFont="1" applyBorder="1" applyAlignment="1">
      <alignment horizontal="center" vertical="top"/>
    </xf>
    <xf numFmtId="9" fontId="36" fillId="0" borderId="43" xfId="45" applyFont="1" applyBorder="1" applyAlignment="1">
      <alignment horizontal="center" vertical="top"/>
    </xf>
    <xf numFmtId="0" fontId="51" fillId="0" borderId="38" xfId="0" applyFont="1" applyFill="1" applyBorder="1" applyAlignment="1">
      <alignment vertical="top"/>
    </xf>
    <xf numFmtId="0" fontId="51" fillId="0" borderId="11" xfId="0" applyFont="1" applyFill="1" applyBorder="1" applyAlignment="1">
      <alignment vertical="top"/>
    </xf>
    <xf numFmtId="0" fontId="39" fillId="25" borderId="38" xfId="0" applyFont="1" applyFill="1" applyBorder="1" applyAlignment="1">
      <alignment horizontal="left" vertical="top"/>
    </xf>
    <xf numFmtId="0" fontId="39" fillId="25" borderId="12" xfId="0" applyFont="1" applyFill="1" applyBorder="1" applyAlignment="1">
      <alignment horizontal="left" vertical="top"/>
    </xf>
    <xf numFmtId="0" fontId="36" fillId="0" borderId="38" xfId="0" applyFont="1" applyBorder="1" applyAlignment="1">
      <alignment vertical="top"/>
    </xf>
    <xf numFmtId="0" fontId="39" fillId="25" borderId="48" xfId="0" applyFont="1" applyFill="1" applyBorder="1" applyAlignment="1">
      <alignment horizontal="left" vertical="top"/>
    </xf>
    <xf numFmtId="0" fontId="36" fillId="25" borderId="41" xfId="0" applyFont="1" applyFill="1" applyBorder="1" applyAlignment="1">
      <alignment vertical="top"/>
    </xf>
    <xf numFmtId="0" fontId="36" fillId="25" borderId="42" xfId="0" applyFont="1" applyFill="1" applyBorder="1" applyAlignment="1">
      <alignment vertical="top"/>
    </xf>
    <xf numFmtId="0" fontId="36" fillId="16" borderId="38" xfId="0" applyFont="1" applyFill="1" applyBorder="1" applyAlignment="1">
      <alignment vertical="top"/>
    </xf>
    <xf numFmtId="3" fontId="61" fillId="0" borderId="19" xfId="0" applyNumberFormat="1" applyFont="1" applyFill="1" applyBorder="1" applyAlignment="1">
      <alignment horizontal="center" vertical="top"/>
    </xf>
    <xf numFmtId="0" fontId="62" fillId="0" borderId="0" xfId="0" applyFont="1"/>
    <xf numFmtId="0" fontId="36" fillId="0" borderId="38" xfId="0" applyFont="1" applyBorder="1" applyAlignment="1">
      <alignment horizontal="left"/>
    </xf>
    <xf numFmtId="0" fontId="36" fillId="0" borderId="25" xfId="0" applyFont="1" applyBorder="1"/>
    <xf numFmtId="9" fontId="60" fillId="0" borderId="47" xfId="45" applyFont="1" applyFill="1" applyBorder="1" applyAlignment="1">
      <alignment vertical="top"/>
    </xf>
    <xf numFmtId="9" fontId="60" fillId="0" borderId="27" xfId="45" applyFont="1" applyFill="1" applyBorder="1" applyAlignment="1">
      <alignment vertical="top"/>
    </xf>
    <xf numFmtId="9" fontId="60" fillId="0" borderId="28" xfId="45" applyFont="1" applyFill="1" applyBorder="1" applyAlignment="1">
      <alignment vertical="top"/>
    </xf>
    <xf numFmtId="0" fontId="36" fillId="0" borderId="0" xfId="0" applyFont="1" applyBorder="1" applyAlignment="1">
      <alignment horizontal="left"/>
    </xf>
    <xf numFmtId="9" fontId="60" fillId="0" borderId="49" xfId="45" applyFont="1" applyFill="1" applyBorder="1" applyAlignment="1">
      <alignment vertical="top"/>
    </xf>
    <xf numFmtId="9" fontId="38" fillId="0" borderId="25" xfId="45" applyFont="1" applyFill="1" applyBorder="1" applyAlignment="1">
      <alignment vertical="top"/>
    </xf>
    <xf numFmtId="0" fontId="39" fillId="25" borderId="41" xfId="0" applyFont="1" applyFill="1" applyBorder="1" applyAlignment="1">
      <alignment horizontal="center" vertical="top"/>
    </xf>
    <xf numFmtId="0" fontId="39" fillId="25" borderId="42" xfId="0" applyFont="1" applyFill="1" applyBorder="1" applyAlignment="1">
      <alignment horizontal="center" vertical="top"/>
    </xf>
    <xf numFmtId="0" fontId="36" fillId="16" borderId="40" xfId="0" applyFont="1" applyFill="1" applyBorder="1" applyAlignment="1">
      <alignment vertical="top"/>
    </xf>
    <xf numFmtId="9" fontId="61" fillId="0" borderId="22" xfId="45" applyFont="1" applyFill="1" applyBorder="1" applyAlignment="1">
      <alignment horizontal="center" vertical="top"/>
    </xf>
    <xf numFmtId="166" fontId="61" fillId="0" borderId="19" xfId="0" applyNumberFormat="1" applyFont="1" applyFill="1" applyBorder="1" applyAlignment="1">
      <alignment horizontal="right" vertical="top"/>
    </xf>
    <xf numFmtId="166" fontId="61" fillId="0" borderId="27" xfId="0" applyNumberFormat="1" applyFont="1" applyFill="1" applyBorder="1" applyAlignment="1">
      <alignment horizontal="right" vertical="top"/>
    </xf>
    <xf numFmtId="0" fontId="36" fillId="0" borderId="42" xfId="0" applyFont="1" applyFill="1" applyBorder="1" applyAlignment="1">
      <alignment vertical="top"/>
    </xf>
    <xf numFmtId="0" fontId="39" fillId="25" borderId="48" xfId="0" applyFont="1" applyFill="1" applyBorder="1" applyAlignment="1">
      <alignment horizontal="center" vertical="top" wrapText="1"/>
    </xf>
    <xf numFmtId="166" fontId="61" fillId="0" borderId="28" xfId="0" applyNumberFormat="1" applyFont="1" applyFill="1" applyBorder="1" applyAlignment="1">
      <alignment horizontal="right" vertical="top"/>
    </xf>
    <xf numFmtId="166" fontId="61" fillId="0" borderId="20" xfId="0" applyNumberFormat="1" applyFont="1" applyFill="1" applyBorder="1" applyAlignment="1">
      <alignment horizontal="right" vertical="top"/>
    </xf>
    <xf numFmtId="0" fontId="8" fillId="0" borderId="0" xfId="0" applyFont="1" applyFill="1" applyBorder="1" applyAlignment="1">
      <alignment vertical="top"/>
    </xf>
    <xf numFmtId="177" fontId="36" fillId="0" borderId="25" xfId="0" applyNumberFormat="1" applyFont="1" applyBorder="1"/>
    <xf numFmtId="172" fontId="36" fillId="0" borderId="0" xfId="0" applyNumberFormat="1" applyFont="1" applyBorder="1" applyAlignment="1">
      <alignment vertical="top"/>
    </xf>
    <xf numFmtId="3" fontId="36" fillId="0" borderId="45" xfId="0" applyNumberFormat="1" applyFont="1" applyFill="1" applyBorder="1" applyAlignment="1">
      <alignment vertical="top"/>
    </xf>
    <xf numFmtId="0" fontId="39" fillId="25" borderId="38" xfId="0" applyFont="1" applyFill="1" applyBorder="1" applyAlignment="1">
      <alignment horizontal="center" vertical="top" wrapText="1"/>
    </xf>
    <xf numFmtId="3" fontId="36" fillId="0" borderId="47" xfId="0" applyNumberFormat="1" applyFont="1" applyFill="1" applyBorder="1" applyAlignment="1">
      <alignment vertical="top"/>
    </xf>
    <xf numFmtId="3" fontId="36" fillId="0" borderId="43" xfId="0" applyNumberFormat="1" applyFont="1" applyFill="1" applyBorder="1" applyAlignment="1">
      <alignment vertical="top"/>
    </xf>
    <xf numFmtId="3" fontId="36" fillId="0" borderId="46" xfId="0" applyNumberFormat="1" applyFont="1" applyFill="1" applyBorder="1" applyAlignment="1">
      <alignment vertical="top"/>
    </xf>
    <xf numFmtId="169" fontId="32" fillId="30" borderId="43" xfId="50" applyNumberFormat="1" applyFont="1" applyFill="1" applyBorder="1" applyAlignment="1">
      <alignment vertical="top"/>
    </xf>
    <xf numFmtId="172" fontId="36" fillId="0" borderId="0" xfId="0" applyNumberFormat="1" applyFont="1" applyAlignment="1">
      <alignment vertical="top"/>
    </xf>
    <xf numFmtId="172" fontId="44" fillId="0" borderId="0" xfId="50" applyNumberFormat="1" applyFont="1" applyFill="1" applyBorder="1" applyAlignment="1">
      <alignment horizontal="center" vertical="top"/>
    </xf>
    <xf numFmtId="9" fontId="60" fillId="16" borderId="47" xfId="45" applyFont="1" applyFill="1" applyBorder="1" applyAlignment="1">
      <alignment vertical="top"/>
    </xf>
    <xf numFmtId="0" fontId="39" fillId="25" borderId="42" xfId="0" applyFont="1" applyFill="1" applyBorder="1" applyAlignment="1">
      <alignment horizontal="center" vertical="top" wrapText="1"/>
    </xf>
    <xf numFmtId="0" fontId="39" fillId="25" borderId="41" xfId="0" applyFont="1" applyFill="1" applyBorder="1" applyAlignment="1">
      <alignment horizontal="center" vertical="top" wrapText="1"/>
    </xf>
    <xf numFmtId="0" fontId="43" fillId="25" borderId="44" xfId="0" applyFont="1" applyFill="1" applyBorder="1" applyAlignment="1">
      <alignment horizontal="center" vertical="top" wrapText="1"/>
    </xf>
    <xf numFmtId="168" fontId="36" fillId="0" borderId="38" xfId="29" applyNumberFormat="1" applyFont="1" applyFill="1" applyBorder="1" applyAlignment="1" applyProtection="1">
      <alignment horizontal="right" vertical="top"/>
      <protection locked="0"/>
    </xf>
    <xf numFmtId="9" fontId="36" fillId="0" borderId="0" xfId="0" applyNumberFormat="1" applyFont="1" applyBorder="1" applyAlignment="1">
      <alignment vertical="top"/>
    </xf>
    <xf numFmtId="9" fontId="36" fillId="0" borderId="10" xfId="0" applyNumberFormat="1" applyFont="1" applyBorder="1" applyAlignment="1">
      <alignment vertical="top"/>
    </xf>
    <xf numFmtId="168" fontId="36" fillId="16" borderId="9" xfId="29" applyNumberFormat="1" applyFont="1" applyFill="1" applyBorder="1" applyAlignment="1" applyProtection="1">
      <alignment horizontal="right" vertical="top"/>
      <protection locked="0"/>
    </xf>
    <xf numFmtId="168" fontId="36" fillId="16" borderId="0" xfId="29" applyNumberFormat="1" applyFont="1" applyFill="1" applyBorder="1" applyAlignment="1" applyProtection="1">
      <alignment horizontal="right" vertical="top"/>
      <protection locked="0"/>
    </xf>
    <xf numFmtId="0" fontId="39" fillId="25" borderId="44" xfId="0" applyFont="1" applyFill="1" applyBorder="1" applyAlignment="1">
      <alignment horizontal="center" vertical="top" wrapText="1"/>
    </xf>
    <xf numFmtId="0" fontId="39" fillId="25" borderId="43" xfId="0" applyFont="1" applyFill="1" applyBorder="1" applyAlignment="1">
      <alignment horizontal="center" vertical="top" wrapText="1"/>
    </xf>
    <xf numFmtId="0" fontId="36" fillId="16" borderId="14" xfId="0" applyFont="1" applyFill="1" applyBorder="1" applyAlignment="1">
      <alignment horizontal="right" vertical="top"/>
    </xf>
    <xf numFmtId="0" fontId="36" fillId="16" borderId="0" xfId="0" applyFont="1" applyFill="1" applyBorder="1" applyAlignment="1">
      <alignment horizontal="right" vertical="top"/>
    </xf>
    <xf numFmtId="0" fontId="36" fillId="16" borderId="10" xfId="0" applyFont="1" applyFill="1" applyBorder="1" applyAlignment="1">
      <alignment horizontal="right" vertical="top"/>
    </xf>
    <xf numFmtId="0" fontId="36" fillId="16" borderId="15" xfId="0" applyFont="1" applyFill="1" applyBorder="1" applyAlignment="1">
      <alignment horizontal="right" vertical="top"/>
    </xf>
    <xf numFmtId="0" fontId="35" fillId="22" borderId="0" xfId="0" applyFont="1" applyFill="1" applyAlignment="1">
      <alignment horizontal="center" vertical="top" wrapText="1"/>
    </xf>
    <xf numFmtId="0" fontId="7" fillId="0" borderId="0" xfId="0" applyFont="1" applyFill="1" applyAlignment="1">
      <alignment vertical="top"/>
    </xf>
    <xf numFmtId="3" fontId="7" fillId="0" borderId="45" xfId="0" applyNumberFormat="1" applyFont="1" applyFill="1" applyBorder="1" applyAlignment="1">
      <alignment vertical="top"/>
    </xf>
    <xf numFmtId="169" fontId="7" fillId="0" borderId="0" xfId="50" applyNumberFormat="1" applyFont="1" applyFill="1" applyBorder="1" applyAlignment="1">
      <alignment horizontal="center" vertical="top"/>
    </xf>
    <xf numFmtId="169" fontId="7" fillId="0" borderId="25" xfId="50" applyNumberFormat="1" applyFont="1" applyFill="1" applyBorder="1" applyAlignment="1">
      <alignment horizontal="center" vertical="top"/>
    </xf>
    <xf numFmtId="169" fontId="63" fillId="0" borderId="0" xfId="50" applyNumberFormat="1" applyFont="1" applyFill="1" applyBorder="1" applyAlignment="1">
      <alignment horizontal="center" vertical="top"/>
    </xf>
    <xf numFmtId="0" fontId="7" fillId="22" borderId="0" xfId="0" applyFont="1" applyFill="1" applyAlignment="1">
      <alignment vertical="top"/>
    </xf>
    <xf numFmtId="0" fontId="7" fillId="23" borderId="0" xfId="0" applyFont="1" applyFill="1" applyAlignment="1">
      <alignment vertical="top"/>
    </xf>
    <xf numFmtId="3" fontId="7" fillId="23" borderId="0" xfId="0" applyNumberFormat="1" applyFont="1" applyFill="1" applyAlignment="1">
      <alignment vertical="top"/>
    </xf>
    <xf numFmtId="3" fontId="7" fillId="0" borderId="0" xfId="0" applyNumberFormat="1" applyFont="1" applyAlignment="1">
      <alignment vertical="top"/>
    </xf>
    <xf numFmtId="0" fontId="7" fillId="0" borderId="0" xfId="0" applyFont="1" applyAlignment="1">
      <alignment vertical="top"/>
    </xf>
    <xf numFmtId="3" fontId="7" fillId="0" borderId="19" xfId="0" applyNumberFormat="1" applyFont="1" applyFill="1" applyBorder="1" applyAlignment="1">
      <alignment vertical="top"/>
    </xf>
    <xf numFmtId="0" fontId="7" fillId="21" borderId="0" xfId="0" applyFont="1" applyFill="1" applyAlignment="1">
      <alignment vertical="top"/>
    </xf>
    <xf numFmtId="3" fontId="7" fillId="21" borderId="0" xfId="0" applyNumberFormat="1" applyFont="1" applyFill="1" applyAlignment="1">
      <alignment vertical="top"/>
    </xf>
    <xf numFmtId="0" fontId="7" fillId="26" borderId="0" xfId="0" applyFont="1" applyFill="1" applyAlignment="1">
      <alignment vertical="top"/>
    </xf>
    <xf numFmtId="3" fontId="7" fillId="26" borderId="0" xfId="0" applyNumberFormat="1" applyFont="1" applyFill="1" applyAlignment="1">
      <alignment vertical="top"/>
    </xf>
    <xf numFmtId="0" fontId="7" fillId="24" borderId="0" xfId="0" applyFont="1" applyFill="1" applyAlignment="1">
      <alignment vertical="top"/>
    </xf>
    <xf numFmtId="3" fontId="7" fillId="24" borderId="0" xfId="0" applyNumberFormat="1" applyFont="1" applyFill="1" applyAlignment="1">
      <alignment vertical="top"/>
    </xf>
    <xf numFmtId="3" fontId="7" fillId="22" borderId="0" xfId="0" applyNumberFormat="1" applyFont="1" applyFill="1" applyAlignment="1">
      <alignment vertical="top"/>
    </xf>
    <xf numFmtId="165" fontId="7" fillId="22" borderId="0" xfId="45" applyNumberFormat="1" applyFont="1" applyFill="1" applyAlignment="1">
      <alignment vertical="top"/>
    </xf>
    <xf numFmtId="3" fontId="61" fillId="0" borderId="45" xfId="0" applyNumberFormat="1" applyFont="1" applyFill="1" applyBorder="1" applyAlignment="1">
      <alignment vertical="top"/>
    </xf>
    <xf numFmtId="3" fontId="61" fillId="0" borderId="19" xfId="0" applyNumberFormat="1" applyFont="1" applyFill="1" applyBorder="1" applyAlignment="1">
      <alignment vertical="top"/>
    </xf>
    <xf numFmtId="0" fontId="39" fillId="25" borderId="38" xfId="0" applyFont="1" applyFill="1" applyBorder="1" applyAlignment="1">
      <alignment vertical="top" wrapText="1"/>
    </xf>
    <xf numFmtId="0" fontId="39" fillId="25" borderId="46" xfId="0" applyFont="1" applyFill="1" applyBorder="1" applyAlignment="1">
      <alignment horizontal="center" vertical="top" wrapText="1"/>
    </xf>
    <xf numFmtId="3" fontId="7" fillId="0" borderId="47" xfId="0" applyNumberFormat="1" applyFont="1" applyFill="1" applyBorder="1" applyAlignment="1">
      <alignment vertical="top"/>
    </xf>
    <xf numFmtId="3" fontId="7" fillId="0" borderId="27" xfId="0" applyNumberFormat="1" applyFont="1" applyFill="1" applyBorder="1" applyAlignment="1">
      <alignment vertical="top"/>
    </xf>
    <xf numFmtId="0" fontId="7" fillId="0" borderId="38" xfId="0" applyFont="1" applyFill="1" applyBorder="1" applyAlignment="1">
      <alignment vertical="top"/>
    </xf>
    <xf numFmtId="0" fontId="7" fillId="0" borderId="11" xfId="0" applyFont="1" applyFill="1" applyBorder="1" applyAlignment="1">
      <alignment vertical="top"/>
    </xf>
    <xf numFmtId="0" fontId="7" fillId="0" borderId="12" xfId="0" applyFont="1" applyFill="1" applyBorder="1" applyAlignment="1">
      <alignment vertical="top"/>
    </xf>
    <xf numFmtId="0" fontId="39" fillId="25" borderId="45" xfId="0" applyFont="1" applyFill="1" applyBorder="1" applyAlignment="1">
      <alignment horizontal="center" vertical="top" wrapText="1"/>
    </xf>
    <xf numFmtId="3" fontId="61" fillId="0" borderId="47" xfId="0" applyNumberFormat="1" applyFont="1" applyFill="1" applyBorder="1" applyAlignment="1">
      <alignment vertical="top"/>
    </xf>
    <xf numFmtId="3" fontId="61" fillId="0" borderId="27" xfId="0" applyNumberFormat="1" applyFont="1" applyFill="1" applyBorder="1" applyAlignment="1">
      <alignment vertical="top"/>
    </xf>
    <xf numFmtId="3" fontId="61" fillId="0" borderId="28" xfId="0" applyNumberFormat="1" applyFont="1" applyFill="1" applyBorder="1" applyAlignment="1">
      <alignment vertical="top"/>
    </xf>
    <xf numFmtId="3" fontId="36" fillId="16" borderId="45" xfId="0" applyNumberFormat="1" applyFont="1" applyFill="1" applyBorder="1" applyAlignment="1">
      <alignment vertical="top"/>
    </xf>
    <xf numFmtId="3" fontId="61" fillId="16" borderId="27" xfId="0" applyNumberFormat="1" applyFont="1" applyFill="1" applyBorder="1" applyAlignment="1">
      <alignment vertical="top"/>
    </xf>
    <xf numFmtId="3" fontId="36" fillId="16" borderId="19" xfId="0" applyNumberFormat="1" applyFont="1" applyFill="1" applyBorder="1" applyAlignment="1">
      <alignment vertical="top"/>
    </xf>
    <xf numFmtId="0" fontId="39" fillId="25" borderId="47" xfId="0" applyFont="1" applyFill="1" applyBorder="1" applyAlignment="1">
      <alignment horizontal="center" vertical="top" wrapText="1"/>
    </xf>
    <xf numFmtId="3" fontId="36" fillId="16" borderId="47" xfId="0" applyNumberFormat="1" applyFont="1" applyFill="1" applyBorder="1" applyAlignment="1">
      <alignment vertical="top"/>
    </xf>
    <xf numFmtId="3" fontId="36" fillId="16" borderId="27" xfId="0" applyNumberFormat="1" applyFont="1" applyFill="1" applyBorder="1" applyAlignment="1">
      <alignment vertical="top"/>
    </xf>
    <xf numFmtId="9" fontId="36" fillId="0" borderId="0" xfId="45" applyFont="1" applyAlignment="1">
      <alignment vertical="top"/>
    </xf>
    <xf numFmtId="0" fontId="39" fillId="25" borderId="12" xfId="0" applyFont="1" applyFill="1" applyBorder="1" applyAlignment="1">
      <alignment vertical="top" wrapText="1"/>
    </xf>
    <xf numFmtId="0" fontId="36" fillId="0" borderId="11" xfId="0" applyFont="1" applyFill="1" applyBorder="1" applyAlignment="1">
      <alignment horizontal="left" vertical="top"/>
    </xf>
    <xf numFmtId="0" fontId="36" fillId="0" borderId="12" xfId="0" applyFont="1" applyFill="1" applyBorder="1" applyAlignment="1">
      <alignment horizontal="left" vertical="top"/>
    </xf>
    <xf numFmtId="0" fontId="36" fillId="0" borderId="38" xfId="0" applyFont="1" applyFill="1" applyBorder="1" applyAlignment="1">
      <alignment horizontal="left" vertical="top"/>
    </xf>
    <xf numFmtId="0" fontId="56" fillId="19" borderId="0" xfId="0" applyFont="1" applyFill="1" applyBorder="1" applyAlignment="1">
      <alignment horizontal="center" vertical="top"/>
    </xf>
    <xf numFmtId="5" fontId="39" fillId="25" borderId="20" xfId="29" applyNumberFormat="1" applyFont="1" applyFill="1" applyBorder="1" applyAlignment="1">
      <alignment horizontal="center" vertical="top" wrapText="1"/>
    </xf>
    <xf numFmtId="5" fontId="39" fillId="25" borderId="28" xfId="29" applyNumberFormat="1" applyFont="1" applyFill="1" applyBorder="1" applyAlignment="1">
      <alignment horizontal="center" vertical="top" wrapText="1"/>
    </xf>
    <xf numFmtId="0" fontId="6" fillId="0" borderId="38" xfId="0" applyFont="1" applyFill="1" applyBorder="1" applyAlignment="1">
      <alignment vertical="top"/>
    </xf>
    <xf numFmtId="42" fontId="36" fillId="0" borderId="45" xfId="0" applyNumberFormat="1" applyFont="1" applyFill="1" applyBorder="1" applyAlignment="1">
      <alignment horizontal="right" vertical="top"/>
    </xf>
    <xf numFmtId="42" fontId="36" fillId="16" borderId="45" xfId="0" applyNumberFormat="1" applyFont="1" applyFill="1" applyBorder="1" applyAlignment="1">
      <alignment horizontal="right" vertical="top"/>
    </xf>
    <xf numFmtId="0" fontId="6" fillId="0" borderId="11" xfId="0" applyFont="1" applyFill="1" applyBorder="1" applyAlignment="1">
      <alignment vertical="top"/>
    </xf>
    <xf numFmtId="42" fontId="36" fillId="0" borderId="19" xfId="0" applyNumberFormat="1" applyFont="1" applyFill="1" applyBorder="1" applyAlignment="1">
      <alignment horizontal="right" vertical="top"/>
    </xf>
    <xf numFmtId="42" fontId="36" fillId="16" borderId="19" xfId="0" applyNumberFormat="1" applyFont="1" applyFill="1" applyBorder="1" applyAlignment="1">
      <alignment horizontal="right" vertical="top"/>
    </xf>
    <xf numFmtId="0" fontId="6" fillId="0" borderId="12" xfId="0" applyFont="1" applyFill="1" applyBorder="1" applyAlignment="1">
      <alignment vertical="top"/>
    </xf>
    <xf numFmtId="42" fontId="36" fillId="0" borderId="20" xfId="0" applyNumberFormat="1" applyFont="1" applyFill="1" applyBorder="1" applyAlignment="1">
      <alignment horizontal="right" vertical="top"/>
    </xf>
    <xf numFmtId="42" fontId="36" fillId="0" borderId="39" xfId="0" applyNumberFormat="1" applyFont="1" applyFill="1" applyBorder="1" applyAlignment="1">
      <alignment horizontal="right" vertical="top"/>
    </xf>
    <xf numFmtId="42" fontId="36" fillId="0" borderId="49" xfId="0" applyNumberFormat="1" applyFont="1" applyFill="1" applyBorder="1" applyAlignment="1">
      <alignment horizontal="right" vertical="top"/>
    </xf>
    <xf numFmtId="42" fontId="36" fillId="0" borderId="11" xfId="0" applyNumberFormat="1" applyFont="1" applyFill="1" applyBorder="1" applyAlignment="1">
      <alignment horizontal="right" vertical="top"/>
    </xf>
    <xf numFmtId="42" fontId="36" fillId="0" borderId="25" xfId="0" applyNumberFormat="1" applyFont="1" applyFill="1" applyBorder="1" applyAlignment="1">
      <alignment horizontal="right" vertical="top"/>
    </xf>
    <xf numFmtId="3" fontId="45" fillId="0" borderId="45" xfId="0" applyNumberFormat="1" applyFont="1" applyFill="1" applyBorder="1" applyAlignment="1">
      <alignment horizontal="right" vertical="top"/>
    </xf>
    <xf numFmtId="164" fontId="37" fillId="0" borderId="45" xfId="0" applyNumberFormat="1" applyFont="1" applyBorder="1" applyAlignment="1">
      <alignment horizontal="right" vertical="top"/>
    </xf>
    <xf numFmtId="164" fontId="37" fillId="0" borderId="19" xfId="0" applyNumberFormat="1" applyFont="1" applyBorder="1" applyAlignment="1">
      <alignment horizontal="right" vertical="top"/>
    </xf>
    <xf numFmtId="164" fontId="37" fillId="0" borderId="20" xfId="0" applyNumberFormat="1" applyFont="1" applyBorder="1" applyAlignment="1">
      <alignment horizontal="right" vertical="top"/>
    </xf>
    <xf numFmtId="42" fontId="36" fillId="16" borderId="27" xfId="0" applyNumberFormat="1" applyFont="1" applyFill="1" applyBorder="1" applyAlignment="1">
      <alignment horizontal="right" vertical="top"/>
    </xf>
    <xf numFmtId="42" fontId="36" fillId="16" borderId="47" xfId="0" applyNumberFormat="1" applyFont="1" applyFill="1" applyBorder="1" applyAlignment="1">
      <alignment horizontal="right" vertical="top"/>
    </xf>
    <xf numFmtId="42" fontId="36" fillId="16" borderId="28" xfId="0" applyNumberFormat="1" applyFont="1" applyFill="1" applyBorder="1" applyAlignment="1">
      <alignment horizontal="right" vertical="top"/>
    </xf>
    <xf numFmtId="42" fontId="36" fillId="16" borderId="20" xfId="0" applyNumberFormat="1" applyFont="1" applyFill="1" applyBorder="1" applyAlignment="1">
      <alignment horizontal="right" vertical="top"/>
    </xf>
    <xf numFmtId="167" fontId="36" fillId="0" borderId="38" xfId="0" applyNumberFormat="1" applyFont="1" applyBorder="1" applyAlignment="1">
      <alignment horizontal="right" vertical="top"/>
    </xf>
    <xf numFmtId="167" fontId="36" fillId="0" borderId="11" xfId="0" applyNumberFormat="1" applyFont="1" applyBorder="1" applyAlignment="1">
      <alignment horizontal="right" vertical="top"/>
    </xf>
    <xf numFmtId="167" fontId="36" fillId="0" borderId="12" xfId="0" applyNumberFormat="1" applyFont="1" applyBorder="1" applyAlignment="1">
      <alignment horizontal="right" vertical="top"/>
    </xf>
    <xf numFmtId="42" fontId="36" fillId="0" borderId="38" xfId="0" applyNumberFormat="1" applyFont="1" applyFill="1" applyBorder="1" applyAlignment="1">
      <alignment horizontal="right" vertical="top"/>
    </xf>
    <xf numFmtId="42" fontId="36" fillId="0" borderId="12" xfId="0" applyNumberFormat="1" applyFont="1" applyFill="1" applyBorder="1" applyAlignment="1">
      <alignment horizontal="right" vertical="top"/>
    </xf>
    <xf numFmtId="42" fontId="36" fillId="0" borderId="0" xfId="0" applyNumberFormat="1" applyFont="1" applyAlignment="1">
      <alignment horizontal="right" vertical="top"/>
    </xf>
    <xf numFmtId="3" fontId="36" fillId="0" borderId="0" xfId="0" applyNumberFormat="1" applyFont="1" applyBorder="1" applyAlignment="1">
      <alignment horizontal="right" vertical="top"/>
    </xf>
    <xf numFmtId="171" fontId="36" fillId="0" borderId="0" xfId="0" applyNumberFormat="1" applyFont="1" applyAlignment="1">
      <alignment horizontal="right" vertical="top"/>
    </xf>
    <xf numFmtId="3" fontId="42" fillId="0" borderId="0" xfId="0" applyNumberFormat="1" applyFont="1" applyAlignment="1">
      <alignment horizontal="right" vertical="top"/>
    </xf>
    <xf numFmtId="42" fontId="36" fillId="0" borderId="24" xfId="0" applyNumberFormat="1" applyFont="1" applyFill="1" applyBorder="1" applyAlignment="1">
      <alignment horizontal="right" vertical="top"/>
    </xf>
    <xf numFmtId="42" fontId="36" fillId="0" borderId="25" xfId="0" applyNumberFormat="1" applyFont="1" applyBorder="1" applyAlignment="1">
      <alignment horizontal="right" vertical="top"/>
    </xf>
    <xf numFmtId="0" fontId="36" fillId="25" borderId="0" xfId="0" applyFont="1" applyFill="1" applyAlignment="1">
      <alignment vertical="top"/>
    </xf>
    <xf numFmtId="0" fontId="36" fillId="25" borderId="11" xfId="0" applyFont="1" applyFill="1" applyBorder="1" applyAlignment="1">
      <alignment vertical="top"/>
    </xf>
    <xf numFmtId="0" fontId="36" fillId="25" borderId="0" xfId="0" applyFont="1" applyFill="1" applyBorder="1" applyAlignment="1">
      <alignment vertical="top"/>
    </xf>
    <xf numFmtId="173" fontId="36" fillId="16" borderId="17" xfId="0" applyNumberFormat="1" applyFont="1" applyFill="1" applyBorder="1" applyAlignment="1">
      <alignment vertical="top"/>
    </xf>
    <xf numFmtId="173" fontId="36" fillId="16" borderId="11" xfId="0" applyNumberFormat="1" applyFont="1" applyFill="1" applyBorder="1" applyAlignment="1">
      <alignment vertical="top"/>
    </xf>
    <xf numFmtId="5" fontId="36" fillId="16" borderId="38" xfId="0" applyNumberFormat="1" applyFont="1" applyFill="1" applyBorder="1" applyAlignment="1">
      <alignment horizontal="center" vertical="top"/>
    </xf>
    <xf numFmtId="5" fontId="36" fillId="16" borderId="45" xfId="0" applyNumberFormat="1" applyFont="1" applyFill="1" applyBorder="1" applyAlignment="1">
      <alignment horizontal="center" vertical="top"/>
    </xf>
    <xf numFmtId="5" fontId="36" fillId="16" borderId="19" xfId="0" applyNumberFormat="1" applyFont="1" applyFill="1" applyBorder="1" applyAlignment="1">
      <alignment horizontal="center" vertical="top"/>
    </xf>
    <xf numFmtId="42" fontId="36" fillId="0" borderId="45" xfId="0" applyNumberFormat="1" applyFont="1" applyBorder="1" applyAlignment="1">
      <alignment vertical="top"/>
    </xf>
    <xf numFmtId="166" fontId="36" fillId="0" borderId="14" xfId="0" applyNumberFormat="1" applyFont="1" applyFill="1" applyBorder="1"/>
    <xf numFmtId="167" fontId="36" fillId="0" borderId="15" xfId="0" applyNumberFormat="1" applyFont="1" applyFill="1" applyBorder="1"/>
    <xf numFmtId="9" fontId="36" fillId="0" borderId="0" xfId="45" applyFont="1" applyFill="1" applyBorder="1"/>
    <xf numFmtId="9" fontId="36" fillId="0" borderId="10" xfId="45" applyFont="1" applyFill="1" applyBorder="1"/>
    <xf numFmtId="164" fontId="36" fillId="0" borderId="45" xfId="0" applyNumberFormat="1" applyFont="1" applyBorder="1" applyAlignment="1">
      <alignment horizontal="right" vertical="top"/>
    </xf>
    <xf numFmtId="164" fontId="36" fillId="0" borderId="19" xfId="0" applyNumberFormat="1" applyFont="1" applyBorder="1" applyAlignment="1">
      <alignment horizontal="right" vertical="top"/>
    </xf>
    <xf numFmtId="164" fontId="36" fillId="0" borderId="20" xfId="0" applyNumberFormat="1" applyFont="1" applyBorder="1" applyAlignment="1">
      <alignment horizontal="right" vertical="top"/>
    </xf>
    <xf numFmtId="166" fontId="36" fillId="0" borderId="13" xfId="0" applyNumberFormat="1" applyFont="1" applyFill="1" applyBorder="1" applyAlignment="1">
      <alignment horizontal="right" vertical="top"/>
    </xf>
    <xf numFmtId="166" fontId="36" fillId="0" borderId="17" xfId="0" applyNumberFormat="1" applyFont="1" applyFill="1" applyBorder="1" applyAlignment="1">
      <alignment horizontal="right" vertical="top"/>
    </xf>
    <xf numFmtId="1" fontId="36" fillId="0" borderId="14" xfId="0" applyNumberFormat="1" applyFont="1" applyFill="1" applyBorder="1" applyAlignment="1">
      <alignment horizontal="right" vertical="top"/>
    </xf>
    <xf numFmtId="1" fontId="36" fillId="0" borderId="15" xfId="0" applyNumberFormat="1" applyFont="1" applyFill="1" applyBorder="1" applyAlignment="1">
      <alignment horizontal="right" vertical="top"/>
    </xf>
    <xf numFmtId="42" fontId="36" fillId="0" borderId="17" xfId="0" applyNumberFormat="1" applyFont="1" applyFill="1" applyBorder="1" applyAlignment="1">
      <alignment vertical="top"/>
    </xf>
    <xf numFmtId="42" fontId="36" fillId="0" borderId="11" xfId="0" applyNumberFormat="1" applyFont="1" applyFill="1" applyBorder="1" applyAlignment="1">
      <alignment vertical="top"/>
    </xf>
    <xf numFmtId="42" fontId="36" fillId="0" borderId="12" xfId="0" applyNumberFormat="1" applyFont="1" applyFill="1" applyBorder="1" applyAlignment="1">
      <alignment vertical="top"/>
    </xf>
    <xf numFmtId="173" fontId="36" fillId="0" borderId="18" xfId="0" applyNumberFormat="1" applyFont="1" applyFill="1" applyBorder="1" applyAlignment="1">
      <alignment horizontal="right" vertical="top"/>
    </xf>
    <xf numFmtId="173" fontId="36" fillId="0" borderId="19" xfId="0" applyNumberFormat="1" applyFont="1" applyFill="1" applyBorder="1" applyAlignment="1">
      <alignment horizontal="right" vertical="top"/>
    </xf>
    <xf numFmtId="173" fontId="36" fillId="0" borderId="20" xfId="0" applyNumberFormat="1" applyFont="1" applyFill="1" applyBorder="1" applyAlignment="1">
      <alignment horizontal="right" vertical="top"/>
    </xf>
    <xf numFmtId="166" fontId="36" fillId="0" borderId="13" xfId="0" applyNumberFormat="1" applyFont="1" applyFill="1" applyBorder="1" applyAlignment="1">
      <alignment horizontal="left" vertical="top"/>
    </xf>
    <xf numFmtId="166" fontId="36" fillId="0" borderId="14" xfId="0" applyNumberFormat="1" applyFont="1" applyFill="1" applyBorder="1" applyAlignment="1">
      <alignment horizontal="left" vertical="top"/>
    </xf>
    <xf numFmtId="166" fontId="36" fillId="0" borderId="15" xfId="0" applyNumberFormat="1" applyFont="1" applyFill="1" applyBorder="1" applyAlignment="1">
      <alignment horizontal="left" vertical="top"/>
    </xf>
    <xf numFmtId="166" fontId="44" fillId="0" borderId="9" xfId="0" applyNumberFormat="1" applyFont="1" applyFill="1" applyBorder="1" applyAlignment="1">
      <alignment horizontal="right" vertical="top"/>
    </xf>
    <xf numFmtId="166" fontId="44" fillId="0" borderId="10" xfId="0" applyNumberFormat="1" applyFont="1" applyFill="1" applyBorder="1" applyAlignment="1">
      <alignment horizontal="right" vertical="top"/>
    </xf>
    <xf numFmtId="3" fontId="61" fillId="0" borderId="38" xfId="0" applyNumberFormat="1" applyFont="1" applyFill="1" applyBorder="1" applyAlignment="1">
      <alignment vertical="top"/>
    </xf>
    <xf numFmtId="3" fontId="61" fillId="0" borderId="11" xfId="0" applyNumberFormat="1" applyFont="1" applyFill="1" applyBorder="1" applyAlignment="1">
      <alignment vertical="top"/>
    </xf>
    <xf numFmtId="0" fontId="39" fillId="25" borderId="0" xfId="0" applyFont="1" applyFill="1" applyBorder="1" applyAlignment="1">
      <alignment horizontal="center" vertical="top" wrapText="1"/>
    </xf>
    <xf numFmtId="1" fontId="36" fillId="0" borderId="14" xfId="0" applyNumberFormat="1" applyFont="1" applyFill="1" applyBorder="1" applyAlignment="1">
      <alignment horizontal="center" vertical="top"/>
    </xf>
    <xf numFmtId="1" fontId="36" fillId="0" borderId="15" xfId="0" applyNumberFormat="1" applyFont="1" applyFill="1" applyBorder="1" applyAlignment="1">
      <alignment horizontal="center" vertical="top"/>
    </xf>
    <xf numFmtId="164" fontId="36" fillId="0" borderId="40" xfId="0" applyNumberFormat="1" applyFont="1" applyBorder="1" applyAlignment="1">
      <alignment horizontal="right" vertical="top"/>
    </xf>
    <xf numFmtId="164" fontId="36" fillId="0" borderId="14" xfId="0" applyNumberFormat="1" applyFont="1" applyBorder="1" applyAlignment="1">
      <alignment horizontal="right" vertical="top"/>
    </xf>
    <xf numFmtId="164" fontId="36" fillId="0" borderId="15" xfId="0" applyNumberFormat="1" applyFont="1" applyBorder="1" applyAlignment="1">
      <alignment horizontal="right" vertical="top"/>
    </xf>
    <xf numFmtId="0" fontId="39" fillId="25" borderId="15" xfId="0" applyFont="1" applyFill="1" applyBorder="1" applyAlignment="1">
      <alignment horizontal="center" vertical="top"/>
    </xf>
    <xf numFmtId="9" fontId="5" fillId="0" borderId="0" xfId="45" applyFont="1" applyAlignment="1">
      <alignment vertical="top"/>
    </xf>
    <xf numFmtId="9" fontId="55" fillId="0" borderId="0" xfId="45" applyFont="1" applyAlignment="1">
      <alignment vertical="top"/>
    </xf>
    <xf numFmtId="0" fontId="37" fillId="22" borderId="0" xfId="0" applyFont="1" applyFill="1" applyAlignment="1">
      <alignment horizontal="center" vertical="top" wrapText="1"/>
    </xf>
    <xf numFmtId="4" fontId="38" fillId="23" borderId="0" xfId="0" applyNumberFormat="1" applyFont="1" applyFill="1" applyAlignment="1">
      <alignment vertical="top"/>
    </xf>
    <xf numFmtId="4" fontId="38" fillId="21" borderId="0" xfId="0" applyNumberFormat="1" applyFont="1" applyFill="1" applyAlignment="1">
      <alignment vertical="top"/>
    </xf>
    <xf numFmtId="4" fontId="38" fillId="26" borderId="0" xfId="0" applyNumberFormat="1" applyFont="1" applyFill="1" applyAlignment="1">
      <alignment vertical="top"/>
    </xf>
    <xf numFmtId="4" fontId="38" fillId="24" borderId="0" xfId="0" applyNumberFormat="1" applyFont="1" applyFill="1" applyAlignment="1">
      <alignment vertical="top"/>
    </xf>
    <xf numFmtId="0" fontId="36" fillId="0" borderId="0" xfId="0" applyFont="1" applyFill="1" applyAlignment="1">
      <alignment horizontal="center" vertical="top"/>
    </xf>
    <xf numFmtId="0" fontId="67" fillId="25" borderId="43" xfId="0" applyFont="1" applyFill="1" applyBorder="1" applyAlignment="1">
      <alignment horizontal="center" vertical="top" wrapText="1"/>
    </xf>
    <xf numFmtId="9" fontId="61" fillId="0" borderId="19" xfId="45" applyFont="1" applyFill="1" applyBorder="1" applyAlignment="1">
      <alignment vertical="top"/>
    </xf>
    <xf numFmtId="9" fontId="36" fillId="0" borderId="19" xfId="45" applyFont="1" applyFill="1" applyBorder="1" applyAlignment="1">
      <alignment vertical="top"/>
    </xf>
    <xf numFmtId="9" fontId="61" fillId="0" borderId="20" xfId="45" applyFont="1" applyFill="1" applyBorder="1" applyAlignment="1">
      <alignment vertical="top"/>
    </xf>
    <xf numFmtId="9" fontId="36" fillId="0" borderId="45" xfId="45" applyFont="1" applyFill="1" applyBorder="1" applyAlignment="1">
      <alignment vertical="top"/>
    </xf>
    <xf numFmtId="9" fontId="36" fillId="0" borderId="20" xfId="45" applyFont="1" applyFill="1" applyBorder="1" applyAlignment="1">
      <alignment vertical="top"/>
    </xf>
    <xf numFmtId="170" fontId="36" fillId="0" borderId="19" xfId="0" applyNumberFormat="1" applyFont="1" applyBorder="1" applyAlignment="1">
      <alignment vertical="top"/>
    </xf>
    <xf numFmtId="170" fontId="55" fillId="0" borderId="19" xfId="0" applyNumberFormat="1" applyFont="1" applyBorder="1" applyAlignment="1">
      <alignment vertical="top"/>
    </xf>
    <xf numFmtId="170" fontId="36" fillId="0" borderId="20" xfId="0" applyNumberFormat="1" applyFont="1" applyBorder="1" applyAlignment="1">
      <alignment vertical="top"/>
    </xf>
    <xf numFmtId="173" fontId="36" fillId="0" borderId="45" xfId="0" applyNumberFormat="1" applyFont="1" applyBorder="1" applyAlignment="1">
      <alignment vertical="top"/>
    </xf>
    <xf numFmtId="173" fontId="36" fillId="0" borderId="19" xfId="0" applyNumberFormat="1" applyFont="1" applyBorder="1" applyAlignment="1">
      <alignment vertical="top"/>
    </xf>
    <xf numFmtId="173" fontId="36" fillId="0" borderId="20" xfId="0" applyNumberFormat="1" applyFont="1" applyBorder="1" applyAlignment="1">
      <alignment vertical="top"/>
    </xf>
    <xf numFmtId="3" fontId="61" fillId="0" borderId="25" xfId="0" applyNumberFormat="1" applyFont="1" applyFill="1" applyBorder="1" applyAlignment="1">
      <alignment vertical="top"/>
    </xf>
    <xf numFmtId="9" fontId="55" fillId="0" borderId="19" xfId="45" applyFont="1" applyFill="1" applyBorder="1" applyAlignment="1">
      <alignment vertical="top"/>
    </xf>
    <xf numFmtId="0" fontId="67" fillId="25" borderId="46" xfId="0" applyFont="1" applyFill="1" applyBorder="1" applyAlignment="1">
      <alignment horizontal="center" vertical="top" wrapText="1"/>
    </xf>
    <xf numFmtId="0" fontId="68" fillId="25" borderId="48" xfId="0" applyFont="1" applyFill="1" applyBorder="1" applyAlignment="1">
      <alignment horizontal="center" vertical="top" wrapText="1"/>
    </xf>
    <xf numFmtId="9" fontId="36" fillId="0" borderId="25" xfId="45" applyFont="1" applyFill="1" applyBorder="1" applyAlignment="1">
      <alignment vertical="top"/>
    </xf>
    <xf numFmtId="9" fontId="36" fillId="0" borderId="0" xfId="45" applyFont="1" applyFill="1" applyAlignment="1">
      <alignment vertical="top"/>
    </xf>
    <xf numFmtId="2" fontId="61" fillId="0" borderId="19" xfId="0" applyNumberFormat="1" applyFont="1" applyFill="1" applyBorder="1" applyAlignment="1">
      <alignment vertical="top"/>
    </xf>
    <xf numFmtId="2" fontId="61" fillId="0" borderId="20" xfId="0" applyNumberFormat="1" applyFont="1" applyFill="1" applyBorder="1" applyAlignment="1">
      <alignment vertical="top"/>
    </xf>
    <xf numFmtId="173" fontId="36" fillId="16" borderId="19" xfId="0" applyNumberFormat="1" applyFont="1" applyFill="1" applyBorder="1" applyAlignment="1">
      <alignment vertical="top"/>
    </xf>
    <xf numFmtId="3" fontId="5" fillId="0" borderId="0" xfId="0" applyNumberFormat="1" applyFont="1" applyAlignment="1">
      <alignment vertical="top"/>
    </xf>
    <xf numFmtId="0" fontId="5" fillId="0" borderId="0" xfId="0" applyFont="1" applyAlignment="1">
      <alignment vertical="top"/>
    </xf>
    <xf numFmtId="4" fontId="5" fillId="0" borderId="0" xfId="0" applyNumberFormat="1" applyFont="1" applyAlignment="1">
      <alignment vertical="top"/>
    </xf>
    <xf numFmtId="2" fontId="5" fillId="0" borderId="0" xfId="0" applyNumberFormat="1" applyFont="1" applyAlignment="1">
      <alignment vertical="top"/>
    </xf>
    <xf numFmtId="3" fontId="36" fillId="0" borderId="19" xfId="0" applyNumberFormat="1" applyFont="1" applyFill="1" applyBorder="1" applyAlignment="1">
      <alignment horizontal="right" vertical="top"/>
    </xf>
    <xf numFmtId="3" fontId="55" fillId="0" borderId="19" xfId="0" applyNumberFormat="1" applyFont="1" applyFill="1" applyBorder="1" applyAlignment="1">
      <alignment horizontal="right" vertical="top"/>
    </xf>
    <xf numFmtId="173" fontId="55" fillId="0" borderId="19" xfId="0" applyNumberFormat="1" applyFont="1" applyFill="1" applyBorder="1" applyAlignment="1">
      <alignment horizontal="right" vertical="top"/>
    </xf>
    <xf numFmtId="3" fontId="36" fillId="0" borderId="27" xfId="51" applyNumberFormat="1" applyFont="1" applyFill="1" applyBorder="1" applyAlignment="1">
      <alignment horizontal="right" vertical="top"/>
    </xf>
    <xf numFmtId="3" fontId="36" fillId="16" borderId="25" xfId="51" applyNumberFormat="1" applyFont="1" applyFill="1" applyBorder="1" applyAlignment="1">
      <alignment horizontal="right" vertical="top"/>
    </xf>
    <xf numFmtId="3" fontId="36" fillId="16" borderId="14" xfId="51" applyNumberFormat="1" applyFont="1" applyFill="1" applyBorder="1" applyAlignment="1">
      <alignment horizontal="right" vertical="top"/>
    </xf>
    <xf numFmtId="3" fontId="36" fillId="0" borderId="27" xfId="51" applyNumberFormat="1" applyFont="1" applyBorder="1" applyAlignment="1">
      <alignment horizontal="right" vertical="top"/>
    </xf>
    <xf numFmtId="3" fontId="36" fillId="0" borderId="27" xfId="0" applyNumberFormat="1" applyFont="1" applyFill="1" applyBorder="1" applyAlignment="1">
      <alignment horizontal="right" vertical="top"/>
    </xf>
    <xf numFmtId="3" fontId="36" fillId="16" borderId="25" xfId="0" applyNumberFormat="1" applyFont="1" applyFill="1" applyBorder="1" applyAlignment="1">
      <alignment horizontal="right" vertical="top"/>
    </xf>
    <xf numFmtId="3" fontId="36" fillId="16" borderId="14" xfId="0" applyNumberFormat="1" applyFont="1" applyFill="1" applyBorder="1" applyAlignment="1">
      <alignment horizontal="right" vertical="top"/>
    </xf>
    <xf numFmtId="3" fontId="36" fillId="0" borderId="27" xfId="0" applyNumberFormat="1" applyFont="1" applyBorder="1" applyAlignment="1">
      <alignment horizontal="right" vertical="top"/>
    </xf>
    <xf numFmtId="1" fontId="36" fillId="0" borderId="0" xfId="0" applyNumberFormat="1" applyFont="1" applyAlignment="1">
      <alignment vertical="top"/>
    </xf>
    <xf numFmtId="3" fontId="36" fillId="0" borderId="28" xfId="0" applyNumberFormat="1" applyFont="1" applyFill="1" applyBorder="1" applyAlignment="1">
      <alignment horizontal="right" vertical="top"/>
    </xf>
    <xf numFmtId="3" fontId="36" fillId="0" borderId="28" xfId="0" applyNumberFormat="1" applyFont="1" applyBorder="1" applyAlignment="1">
      <alignment horizontal="right" vertical="top"/>
    </xf>
    <xf numFmtId="0" fontId="65" fillId="0" borderId="0" xfId="0" applyFont="1" applyAlignment="1">
      <alignment vertical="top"/>
    </xf>
    <xf numFmtId="0" fontId="63" fillId="0" borderId="0" xfId="0" applyFont="1" applyAlignment="1">
      <alignment vertical="top"/>
    </xf>
    <xf numFmtId="3" fontId="36" fillId="16" borderId="38" xfId="0" applyNumberFormat="1" applyFont="1" applyFill="1" applyBorder="1" applyAlignment="1">
      <alignment horizontal="right" vertical="top"/>
    </xf>
    <xf numFmtId="3" fontId="36" fillId="16" borderId="45" xfId="0" applyNumberFormat="1" applyFont="1" applyFill="1" applyBorder="1" applyAlignment="1">
      <alignment horizontal="right" vertical="top"/>
    </xf>
    <xf numFmtId="3" fontId="36" fillId="16" borderId="40" xfId="0" applyNumberFormat="1" applyFont="1" applyFill="1" applyBorder="1" applyAlignment="1">
      <alignment horizontal="right" vertical="top"/>
    </xf>
    <xf numFmtId="0" fontId="63" fillId="31" borderId="38" xfId="0" applyFont="1" applyFill="1" applyBorder="1" applyAlignment="1">
      <alignment vertical="top"/>
    </xf>
    <xf numFmtId="0" fontId="63" fillId="31" borderId="39" xfId="0" applyFont="1" applyFill="1" applyBorder="1" applyAlignment="1">
      <alignment vertical="top"/>
    </xf>
    <xf numFmtId="0" fontId="63" fillId="31" borderId="40" xfId="0" applyFont="1" applyFill="1" applyBorder="1" applyAlignment="1">
      <alignment vertical="top"/>
    </xf>
    <xf numFmtId="0" fontId="63" fillId="31" borderId="45" xfId="0" applyFont="1" applyFill="1" applyBorder="1" applyAlignment="1">
      <alignment horizontal="center" vertical="top"/>
    </xf>
    <xf numFmtId="3" fontId="36" fillId="16" borderId="11" xfId="0" applyNumberFormat="1" applyFont="1" applyFill="1" applyBorder="1" applyAlignment="1">
      <alignment horizontal="right" vertical="top"/>
    </xf>
    <xf numFmtId="3" fontId="36" fillId="0" borderId="19" xfId="0" applyNumberFormat="1" applyFont="1" applyBorder="1" applyAlignment="1">
      <alignment horizontal="right" vertical="top"/>
    </xf>
    <xf numFmtId="3" fontId="36" fillId="16" borderId="19" xfId="0" applyNumberFormat="1" applyFont="1" applyFill="1" applyBorder="1" applyAlignment="1">
      <alignment horizontal="right" vertical="top"/>
    </xf>
    <xf numFmtId="0" fontId="63" fillId="31" borderId="12" xfId="0" applyFont="1" applyFill="1" applyBorder="1" applyAlignment="1">
      <alignment vertical="top"/>
    </xf>
    <xf numFmtId="0" fontId="63" fillId="31" borderId="10" xfId="0" applyFont="1" applyFill="1" applyBorder="1" applyAlignment="1">
      <alignment vertical="top"/>
    </xf>
    <xf numFmtId="0" fontId="63" fillId="31" borderId="15" xfId="0" applyFont="1" applyFill="1" applyBorder="1" applyAlignment="1">
      <alignment vertical="top"/>
    </xf>
    <xf numFmtId="22" fontId="66" fillId="31" borderId="12" xfId="0" applyNumberFormat="1" applyFont="1" applyFill="1" applyBorder="1" applyAlignment="1">
      <alignment horizontal="center" vertical="top"/>
    </xf>
    <xf numFmtId="22" fontId="66" fillId="31" borderId="15" xfId="0" applyNumberFormat="1" applyFont="1" applyFill="1" applyBorder="1" applyAlignment="1">
      <alignment horizontal="center" vertical="top"/>
    </xf>
    <xf numFmtId="0" fontId="5" fillId="31" borderId="20" xfId="0" applyFont="1" applyFill="1" applyBorder="1" applyAlignment="1">
      <alignment vertical="top"/>
    </xf>
    <xf numFmtId="3" fontId="36" fillId="0" borderId="11" xfId="0" applyNumberFormat="1" applyFont="1" applyFill="1" applyBorder="1" applyAlignment="1">
      <alignment horizontal="right" vertical="top"/>
    </xf>
    <xf numFmtId="3" fontId="36" fillId="0" borderId="14" xfId="0" applyNumberFormat="1" applyFont="1" applyFill="1" applyBorder="1" applyAlignment="1">
      <alignment horizontal="right" vertical="top"/>
    </xf>
    <xf numFmtId="3" fontId="36" fillId="0" borderId="11" xfId="0" applyNumberFormat="1" applyFont="1" applyBorder="1" applyAlignment="1">
      <alignment horizontal="right" vertical="top"/>
    </xf>
    <xf numFmtId="3" fontId="36" fillId="0" borderId="14" xfId="0" applyNumberFormat="1" applyFont="1" applyBorder="1" applyAlignment="1">
      <alignment horizontal="right" vertical="top"/>
    </xf>
    <xf numFmtId="0" fontId="63" fillId="0" borderId="12" xfId="0" applyFont="1" applyBorder="1" applyAlignment="1">
      <alignment vertical="top"/>
    </xf>
    <xf numFmtId="0" fontId="63" fillId="0" borderId="10" xfId="0" applyFont="1" applyBorder="1" applyAlignment="1">
      <alignment vertical="top"/>
    </xf>
    <xf numFmtId="0" fontId="63" fillId="0" borderId="15" xfId="0" applyFont="1" applyBorder="1" applyAlignment="1">
      <alignment vertical="top"/>
    </xf>
    <xf numFmtId="173" fontId="5" fillId="0" borderId="11" xfId="0" applyNumberFormat="1" applyFont="1" applyBorder="1" applyAlignment="1">
      <alignment vertical="top"/>
    </xf>
    <xf numFmtId="173" fontId="5" fillId="0" borderId="14" xfId="0" applyNumberFormat="1" applyFont="1" applyBorder="1" applyAlignment="1">
      <alignment vertical="top"/>
    </xf>
    <xf numFmtId="0" fontId="5" fillId="0" borderId="20" xfId="0" applyFont="1" applyBorder="1" applyAlignment="1">
      <alignment vertical="top"/>
    </xf>
    <xf numFmtId="0" fontId="63" fillId="0" borderId="11" xfId="0" applyFont="1" applyBorder="1" applyAlignment="1">
      <alignment vertical="top"/>
    </xf>
    <xf numFmtId="0" fontId="63" fillId="0" borderId="0" xfId="0" applyFont="1" applyBorder="1" applyAlignment="1">
      <alignment vertical="top"/>
    </xf>
    <xf numFmtId="0" fontId="5" fillId="0" borderId="19" xfId="0" applyFont="1" applyBorder="1" applyAlignment="1">
      <alignment vertical="top"/>
    </xf>
    <xf numFmtId="0" fontId="5" fillId="0" borderId="45" xfId="0" applyFont="1" applyBorder="1" applyAlignment="1">
      <alignment vertical="top"/>
    </xf>
    <xf numFmtId="0" fontId="5" fillId="0" borderId="38" xfId="0" applyFont="1" applyBorder="1" applyAlignment="1">
      <alignment vertical="top"/>
    </xf>
    <xf numFmtId="173" fontId="5" fillId="0" borderId="38" xfId="0" applyNumberFormat="1" applyFont="1" applyBorder="1" applyAlignment="1">
      <alignment vertical="top"/>
    </xf>
    <xf numFmtId="173" fontId="64" fillId="0" borderId="40" xfId="0" applyNumberFormat="1" applyFont="1" applyBorder="1" applyAlignment="1">
      <alignment vertical="top"/>
    </xf>
    <xf numFmtId="2" fontId="5" fillId="0" borderId="45" xfId="0" applyNumberFormat="1" applyFont="1" applyBorder="1" applyAlignment="1">
      <alignment vertical="top"/>
    </xf>
    <xf numFmtId="0" fontId="5" fillId="0" borderId="11" xfId="0" applyFont="1" applyBorder="1" applyAlignment="1">
      <alignment vertical="top"/>
    </xf>
    <xf numFmtId="173" fontId="64" fillId="0" borderId="14" xfId="0" applyNumberFormat="1" applyFont="1" applyBorder="1" applyAlignment="1">
      <alignment vertical="top"/>
    </xf>
    <xf numFmtId="2" fontId="5" fillId="0" borderId="19" xfId="0" applyNumberFormat="1" applyFont="1" applyBorder="1" applyAlignment="1">
      <alignment vertical="top"/>
    </xf>
    <xf numFmtId="0" fontId="5" fillId="0" borderId="12" xfId="0" applyFont="1" applyBorder="1" applyAlignment="1">
      <alignment vertical="top"/>
    </xf>
    <xf numFmtId="173" fontId="5" fillId="0" borderId="12" xfId="0" applyNumberFormat="1" applyFont="1" applyBorder="1" applyAlignment="1">
      <alignment vertical="top"/>
    </xf>
    <xf numFmtId="173" fontId="64" fillId="0" borderId="15" xfId="0" applyNumberFormat="1" applyFont="1" applyBorder="1" applyAlignment="1">
      <alignment vertical="top"/>
    </xf>
    <xf numFmtId="2" fontId="5" fillId="0" borderId="20" xfId="0" applyNumberFormat="1" applyFont="1" applyBorder="1" applyAlignment="1">
      <alignment vertical="top"/>
    </xf>
    <xf numFmtId="3" fontId="36" fillId="0" borderId="20" xfId="0" applyNumberFormat="1" applyFont="1" applyBorder="1" applyAlignment="1">
      <alignment horizontal="right" vertical="top"/>
    </xf>
    <xf numFmtId="3" fontId="36" fillId="0" borderId="15" xfId="0" applyNumberFormat="1" applyFont="1" applyBorder="1" applyAlignment="1">
      <alignment horizontal="right" vertical="top"/>
    </xf>
    <xf numFmtId="2" fontId="42" fillId="0" borderId="0" xfId="51" applyNumberFormat="1" applyFont="1" applyAlignment="1">
      <alignment vertical="top"/>
    </xf>
    <xf numFmtId="3" fontId="42" fillId="0" borderId="0" xfId="51" applyNumberFormat="1" applyFont="1" applyAlignment="1">
      <alignment horizontal="right" vertical="top"/>
    </xf>
    <xf numFmtId="173" fontId="5" fillId="16" borderId="12" xfId="0" applyNumberFormat="1" applyFont="1" applyFill="1" applyBorder="1" applyAlignment="1">
      <alignment vertical="top"/>
    </xf>
    <xf numFmtId="173" fontId="64" fillId="16" borderId="15" xfId="0" applyNumberFormat="1" applyFont="1" applyFill="1" applyBorder="1" applyAlignment="1">
      <alignment vertical="top"/>
    </xf>
    <xf numFmtId="2" fontId="5" fillId="16" borderId="20" xfId="0" applyNumberFormat="1" applyFont="1" applyFill="1" applyBorder="1" applyAlignment="1">
      <alignment vertical="top"/>
    </xf>
    <xf numFmtId="173" fontId="5" fillId="16" borderId="38" xfId="0" applyNumberFormat="1" applyFont="1" applyFill="1" applyBorder="1" applyAlignment="1">
      <alignment vertical="top"/>
    </xf>
    <xf numFmtId="173" fontId="64" fillId="16" borderId="40" xfId="0" applyNumberFormat="1" applyFont="1" applyFill="1" applyBorder="1" applyAlignment="1">
      <alignment vertical="top"/>
    </xf>
    <xf numFmtId="2" fontId="5" fillId="16" borderId="45" xfId="0" applyNumberFormat="1" applyFont="1" applyFill="1" applyBorder="1" applyAlignment="1">
      <alignment vertical="top"/>
    </xf>
    <xf numFmtId="0" fontId="39" fillId="25" borderId="12" xfId="0" applyFont="1" applyFill="1" applyBorder="1" applyAlignment="1">
      <alignment horizontal="left" vertical="top" wrapText="1"/>
    </xf>
    <xf numFmtId="1" fontId="39" fillId="25" borderId="46" xfId="0" applyNumberFormat="1" applyFont="1" applyFill="1" applyBorder="1" applyAlignment="1">
      <alignment horizontal="right" vertical="top" wrapText="1"/>
    </xf>
    <xf numFmtId="1" fontId="39" fillId="25" borderId="43" xfId="0" applyNumberFormat="1" applyFont="1" applyFill="1" applyBorder="1" applyAlignment="1">
      <alignment horizontal="right" vertical="top" wrapText="1"/>
    </xf>
    <xf numFmtId="9" fontId="36" fillId="0" borderId="47" xfId="45" applyNumberFormat="1" applyFont="1" applyFill="1" applyBorder="1" applyAlignment="1">
      <alignment horizontal="right" vertical="top"/>
    </xf>
    <xf numFmtId="9" fontId="36" fillId="16" borderId="45" xfId="45" applyNumberFormat="1" applyFont="1" applyFill="1" applyBorder="1" applyAlignment="1">
      <alignment horizontal="right" vertical="top"/>
    </xf>
    <xf numFmtId="9" fontId="36" fillId="0" borderId="27" xfId="45" applyNumberFormat="1" applyFont="1" applyFill="1" applyBorder="1" applyAlignment="1">
      <alignment horizontal="right" vertical="top"/>
    </xf>
    <xf numFmtId="9" fontId="36" fillId="0" borderId="19" xfId="45" applyNumberFormat="1" applyFont="1" applyFill="1" applyBorder="1" applyAlignment="1">
      <alignment horizontal="right" vertical="top"/>
    </xf>
    <xf numFmtId="9" fontId="38" fillId="16" borderId="19" xfId="45" applyNumberFormat="1" applyFont="1" applyFill="1" applyBorder="1" applyAlignment="1">
      <alignment horizontal="right" vertical="top"/>
    </xf>
    <xf numFmtId="9" fontId="36" fillId="16" borderId="19" xfId="45" applyNumberFormat="1" applyFont="1" applyFill="1" applyBorder="1" applyAlignment="1">
      <alignment horizontal="right" vertical="top"/>
    </xf>
    <xf numFmtId="10" fontId="36" fillId="0" borderId="27" xfId="45" applyNumberFormat="1" applyFont="1" applyFill="1" applyBorder="1" applyAlignment="1">
      <alignment horizontal="right" vertical="top"/>
    </xf>
    <xf numFmtId="10" fontId="36" fillId="0" borderId="19" xfId="45" applyNumberFormat="1" applyFont="1" applyFill="1" applyBorder="1" applyAlignment="1">
      <alignment horizontal="right" vertical="top"/>
    </xf>
    <xf numFmtId="9" fontId="36" fillId="16" borderId="19" xfId="0" applyNumberFormat="1" applyFont="1" applyFill="1" applyBorder="1" applyAlignment="1">
      <alignment horizontal="right" vertical="top"/>
    </xf>
    <xf numFmtId="173" fontId="5" fillId="16" borderId="11" xfId="0" applyNumberFormat="1" applyFont="1" applyFill="1" applyBorder="1" applyAlignment="1">
      <alignment vertical="top"/>
    </xf>
    <xf numFmtId="173" fontId="64" fillId="16" borderId="14" xfId="0" applyNumberFormat="1" applyFont="1" applyFill="1" applyBorder="1" applyAlignment="1">
      <alignment vertical="top"/>
    </xf>
    <xf numFmtId="2" fontId="5" fillId="16" borderId="19" xfId="0" applyNumberFormat="1" applyFont="1" applyFill="1" applyBorder="1" applyAlignment="1">
      <alignment vertical="top"/>
    </xf>
    <xf numFmtId="173" fontId="5" fillId="0" borderId="41" xfId="0" applyNumberFormat="1" applyFont="1" applyBorder="1" applyAlignment="1">
      <alignment vertical="top"/>
    </xf>
    <xf numFmtId="173" fontId="64" fillId="0" borderId="44" xfId="0" applyNumberFormat="1" applyFont="1" applyBorder="1" applyAlignment="1">
      <alignment vertical="top"/>
    </xf>
    <xf numFmtId="9" fontId="36" fillId="0" borderId="28" xfId="45" applyNumberFormat="1" applyFont="1" applyFill="1" applyBorder="1" applyAlignment="1">
      <alignment horizontal="right" vertical="top"/>
    </xf>
    <xf numFmtId="9" fontId="36" fillId="0" borderId="20" xfId="45" applyNumberFormat="1" applyFont="1" applyFill="1" applyBorder="1" applyAlignment="1">
      <alignment horizontal="right" vertical="top"/>
    </xf>
    <xf numFmtId="9" fontId="36" fillId="16" borderId="20" xfId="45" applyNumberFormat="1" applyFont="1" applyFill="1" applyBorder="1" applyAlignment="1">
      <alignment horizontal="right" vertical="top"/>
    </xf>
    <xf numFmtId="3" fontId="61" fillId="16" borderId="45" xfId="0" applyNumberFormat="1" applyFont="1" applyFill="1" applyBorder="1" applyAlignment="1">
      <alignment vertical="top"/>
    </xf>
    <xf numFmtId="3" fontId="61" fillId="16" borderId="19" xfId="0" applyNumberFormat="1" applyFont="1" applyFill="1" applyBorder="1" applyAlignment="1">
      <alignment vertical="top"/>
    </xf>
    <xf numFmtId="3" fontId="61" fillId="16" borderId="49" xfId="0" applyNumberFormat="1" applyFont="1" applyFill="1" applyBorder="1" applyAlignment="1">
      <alignment vertical="top"/>
    </xf>
    <xf numFmtId="3" fontId="61" fillId="16" borderId="25" xfId="0" applyNumberFormat="1" applyFont="1" applyFill="1" applyBorder="1" applyAlignment="1">
      <alignment vertical="top"/>
    </xf>
    <xf numFmtId="3" fontId="61" fillId="0" borderId="24" xfId="0" applyNumberFormat="1" applyFont="1" applyFill="1" applyBorder="1" applyAlignment="1">
      <alignment vertical="top"/>
    </xf>
    <xf numFmtId="3" fontId="36" fillId="0" borderId="48" xfId="0" applyNumberFormat="1" applyFont="1" applyFill="1" applyBorder="1" applyAlignment="1">
      <alignment vertical="top"/>
    </xf>
    <xf numFmtId="2" fontId="36" fillId="0" borderId="19" xfId="0" applyNumberFormat="1" applyFont="1" applyFill="1" applyBorder="1" applyAlignment="1">
      <alignment vertical="top"/>
    </xf>
    <xf numFmtId="2" fontId="36" fillId="0" borderId="20" xfId="0" applyNumberFormat="1" applyFont="1" applyFill="1" applyBorder="1" applyAlignment="1">
      <alignment vertical="top"/>
    </xf>
    <xf numFmtId="2" fontId="36" fillId="16" borderId="19" xfId="0" applyNumberFormat="1" applyFont="1" applyFill="1" applyBorder="1" applyAlignment="1">
      <alignment vertical="top"/>
    </xf>
    <xf numFmtId="170" fontId="36" fillId="16" borderId="19" xfId="0" applyNumberFormat="1" applyFont="1" applyFill="1" applyBorder="1" applyAlignment="1">
      <alignment vertical="top"/>
    </xf>
    <xf numFmtId="170" fontId="55" fillId="16" borderId="19" xfId="0" applyNumberFormat="1" applyFont="1" applyFill="1" applyBorder="1" applyAlignment="1">
      <alignment vertical="top"/>
    </xf>
    <xf numFmtId="0" fontId="69" fillId="27" borderId="0" xfId="0" applyFont="1" applyFill="1"/>
    <xf numFmtId="0" fontId="36" fillId="27" borderId="0" xfId="0" applyFont="1" applyFill="1"/>
    <xf numFmtId="3" fontId="7" fillId="0" borderId="43" xfId="0" applyNumberFormat="1" applyFont="1" applyFill="1" applyBorder="1" applyAlignment="1">
      <alignment vertical="top"/>
    </xf>
    <xf numFmtId="173" fontId="36" fillId="0" borderId="19" xfId="0" applyNumberFormat="1" applyFont="1" applyFill="1" applyBorder="1" applyAlignment="1">
      <alignment vertical="top"/>
    </xf>
    <xf numFmtId="3" fontId="55" fillId="16" borderId="19" xfId="0" applyNumberFormat="1" applyFont="1" applyFill="1" applyBorder="1" applyAlignment="1">
      <alignment horizontal="right" vertical="top"/>
    </xf>
    <xf numFmtId="173" fontId="55" fillId="16" borderId="19" xfId="0" applyNumberFormat="1" applyFont="1" applyFill="1" applyBorder="1" applyAlignment="1">
      <alignment horizontal="right" vertical="top"/>
    </xf>
    <xf numFmtId="172" fontId="36" fillId="0" borderId="25" xfId="50" applyNumberFormat="1" applyFont="1" applyFill="1" applyBorder="1" applyAlignment="1">
      <alignment horizontal="center" vertical="top"/>
    </xf>
    <xf numFmtId="0" fontId="39" fillId="25" borderId="48" xfId="0" applyFont="1" applyFill="1" applyBorder="1" applyAlignment="1">
      <alignment horizontal="center" vertical="top"/>
    </xf>
    <xf numFmtId="0" fontId="36" fillId="16" borderId="49" xfId="0" applyFont="1" applyFill="1" applyBorder="1" applyAlignment="1">
      <alignment vertical="top"/>
    </xf>
    <xf numFmtId="0" fontId="36" fillId="16" borderId="25" xfId="0" applyFont="1" applyFill="1" applyBorder="1" applyAlignment="1">
      <alignment horizontal="right" vertical="top"/>
    </xf>
    <xf numFmtId="0" fontId="36" fillId="16" borderId="24" xfId="0" applyFont="1" applyFill="1" applyBorder="1" applyAlignment="1">
      <alignment horizontal="right" vertical="top"/>
    </xf>
    <xf numFmtId="0" fontId="37" fillId="0" borderId="0" xfId="0" applyFont="1" applyFill="1" applyAlignment="1">
      <alignment horizontal="right" vertical="top"/>
    </xf>
    <xf numFmtId="169" fontId="37" fillId="0" borderId="25" xfId="50" applyNumberFormat="1" applyFont="1" applyFill="1" applyBorder="1" applyAlignment="1">
      <alignment horizontal="center" vertical="top"/>
    </xf>
    <xf numFmtId="3" fontId="61" fillId="16" borderId="11" xfId="0" applyNumberFormat="1" applyFont="1" applyFill="1" applyBorder="1" applyAlignment="1">
      <alignment vertical="top"/>
    </xf>
    <xf numFmtId="9" fontId="55" fillId="16" borderId="19" xfId="45" applyFont="1" applyFill="1" applyBorder="1" applyAlignment="1">
      <alignment vertical="top"/>
    </xf>
    <xf numFmtId="9" fontId="36" fillId="16" borderId="19" xfId="45" applyFont="1" applyFill="1" applyBorder="1" applyAlignment="1">
      <alignment vertical="top"/>
    </xf>
    <xf numFmtId="9" fontId="36" fillId="16" borderId="14" xfId="45" applyNumberFormat="1" applyFont="1" applyFill="1" applyBorder="1" applyAlignment="1">
      <alignment horizontal="center" vertical="top"/>
    </xf>
    <xf numFmtId="1" fontId="36" fillId="16" borderId="14" xfId="0" applyNumberFormat="1" applyFont="1" applyFill="1" applyBorder="1" applyAlignment="1">
      <alignment horizontal="center" vertical="top"/>
    </xf>
    <xf numFmtId="9" fontId="36" fillId="0" borderId="15" xfId="45" applyNumberFormat="1" applyFont="1" applyFill="1" applyBorder="1" applyAlignment="1">
      <alignment horizontal="center" vertical="top"/>
    </xf>
    <xf numFmtId="0" fontId="36" fillId="0" borderId="40" xfId="0" applyFont="1" applyBorder="1" applyAlignment="1">
      <alignment vertical="top"/>
    </xf>
    <xf numFmtId="168" fontId="36" fillId="0" borderId="11" xfId="0" applyNumberFormat="1" applyFont="1" applyBorder="1" applyAlignment="1">
      <alignment horizontal="right" vertical="top"/>
    </xf>
    <xf numFmtId="168" fontId="36" fillId="16" borderId="38" xfId="29" applyNumberFormat="1" applyFont="1" applyFill="1" applyBorder="1" applyAlignment="1" applyProtection="1">
      <alignment horizontal="right" vertical="top"/>
      <protection locked="0"/>
    </xf>
    <xf numFmtId="0" fontId="4" fillId="0" borderId="0" xfId="0" applyFont="1" applyFill="1" applyAlignment="1">
      <alignment vertical="top"/>
    </xf>
    <xf numFmtId="3" fontId="36" fillId="0" borderId="25" xfId="0" applyNumberFormat="1" applyFont="1" applyFill="1" applyBorder="1" applyAlignment="1">
      <alignment vertical="top"/>
    </xf>
    <xf numFmtId="0" fontId="7" fillId="0" borderId="0" xfId="0" applyFont="1" applyFill="1" applyBorder="1" applyAlignment="1">
      <alignment vertical="top"/>
    </xf>
    <xf numFmtId="169" fontId="4" fillId="0" borderId="0" xfId="50" applyNumberFormat="1" applyFont="1" applyFill="1" applyBorder="1" applyAlignment="1">
      <alignment horizontal="left" vertical="top"/>
    </xf>
    <xf numFmtId="9" fontId="7" fillId="0" borderId="25" xfId="45" applyFont="1" applyFill="1" applyBorder="1" applyAlignment="1">
      <alignment horizontal="center" vertical="top"/>
    </xf>
    <xf numFmtId="3" fontId="55" fillId="0" borderId="45" xfId="0" applyNumberFormat="1" applyFont="1" applyFill="1" applyBorder="1" applyAlignment="1">
      <alignment vertical="top"/>
    </xf>
    <xf numFmtId="3" fontId="55" fillId="0" borderId="19" xfId="0" applyNumberFormat="1" applyFont="1" applyFill="1" applyBorder="1" applyAlignment="1">
      <alignment vertical="top"/>
    </xf>
    <xf numFmtId="42" fontId="36" fillId="0" borderId="45" xfId="0" applyNumberFormat="1" applyFont="1" applyFill="1" applyBorder="1" applyAlignment="1">
      <alignment vertical="top"/>
    </xf>
    <xf numFmtId="167" fontId="36" fillId="0" borderId="0" xfId="0" applyNumberFormat="1" applyFont="1" applyBorder="1" applyAlignment="1">
      <alignment horizontal="right" vertical="top"/>
    </xf>
    <xf numFmtId="3" fontId="36" fillId="0" borderId="20" xfId="0" applyNumberFormat="1" applyFont="1" applyFill="1" applyBorder="1" applyAlignment="1">
      <alignment horizontal="right" vertical="top"/>
    </xf>
    <xf numFmtId="167" fontId="36" fillId="0" borderId="10" xfId="0" applyNumberFormat="1" applyFont="1" applyBorder="1" applyAlignment="1">
      <alignment horizontal="right" vertical="top"/>
    </xf>
    <xf numFmtId="42" fontId="36" fillId="0" borderId="0" xfId="0" applyNumberFormat="1" applyFont="1" applyAlignment="1">
      <alignment vertical="top"/>
    </xf>
    <xf numFmtId="3" fontId="36" fillId="0" borderId="0" xfId="0" applyNumberFormat="1" applyFont="1" applyBorder="1" applyAlignment="1">
      <alignment vertical="top"/>
    </xf>
    <xf numFmtId="42" fontId="36" fillId="0" borderId="47" xfId="0" applyNumberFormat="1" applyFont="1" applyFill="1" applyBorder="1" applyAlignment="1">
      <alignment horizontal="right" vertical="top"/>
    </xf>
    <xf numFmtId="42" fontId="36" fillId="0" borderId="27" xfId="0" applyNumberFormat="1" applyFont="1" applyFill="1" applyBorder="1" applyAlignment="1">
      <alignment horizontal="right" vertical="top"/>
    </xf>
    <xf numFmtId="42" fontId="36" fillId="0" borderId="28" xfId="0" applyNumberFormat="1" applyFont="1" applyFill="1" applyBorder="1" applyAlignment="1">
      <alignment horizontal="right" vertical="top"/>
    </xf>
    <xf numFmtId="3" fontId="45" fillId="16" borderId="45" xfId="0" applyNumberFormat="1" applyFont="1" applyFill="1" applyBorder="1" applyAlignment="1">
      <alignment horizontal="right" vertical="top"/>
    </xf>
    <xf numFmtId="164" fontId="36" fillId="16" borderId="45" xfId="0" applyNumberFormat="1" applyFont="1" applyFill="1" applyBorder="1" applyAlignment="1">
      <alignment horizontal="right" vertical="top"/>
    </xf>
    <xf numFmtId="167" fontId="36" fillId="16" borderId="0" xfId="0" applyNumberFormat="1" applyFont="1" applyFill="1" applyBorder="1" applyAlignment="1">
      <alignment horizontal="right" vertical="top"/>
    </xf>
    <xf numFmtId="164" fontId="37" fillId="16" borderId="45" xfId="0" applyNumberFormat="1" applyFont="1" applyFill="1" applyBorder="1" applyAlignment="1">
      <alignment horizontal="right" vertical="top"/>
    </xf>
    <xf numFmtId="42" fontId="36" fillId="16" borderId="25" xfId="0" applyNumberFormat="1" applyFont="1" applyFill="1" applyBorder="1" applyAlignment="1">
      <alignment horizontal="right" vertical="top"/>
    </xf>
    <xf numFmtId="3" fontId="45" fillId="16" borderId="19" xfId="0" applyNumberFormat="1" applyFont="1" applyFill="1" applyBorder="1" applyAlignment="1">
      <alignment horizontal="right" vertical="top"/>
    </xf>
    <xf numFmtId="164" fontId="36" fillId="16" borderId="19" xfId="0" applyNumberFormat="1" applyFont="1" applyFill="1" applyBorder="1" applyAlignment="1">
      <alignment horizontal="right" vertical="top"/>
    </xf>
    <xf numFmtId="164" fontId="37" fillId="16" borderId="19" xfId="0" applyNumberFormat="1" applyFont="1" applyFill="1" applyBorder="1" applyAlignment="1">
      <alignment horizontal="right" vertical="top"/>
    </xf>
    <xf numFmtId="9" fontId="36" fillId="32" borderId="0" xfId="45" applyFont="1" applyFill="1" applyBorder="1"/>
    <xf numFmtId="0" fontId="36" fillId="32" borderId="0" xfId="0" applyFont="1" applyFill="1" applyBorder="1"/>
    <xf numFmtId="0" fontId="3" fillId="23" borderId="50" xfId="0" applyFont="1" applyFill="1" applyBorder="1" applyAlignment="1">
      <alignment horizontal="center" wrapText="1"/>
    </xf>
    <xf numFmtId="0" fontId="3" fillId="23" borderId="51" xfId="0" applyFont="1" applyFill="1" applyBorder="1"/>
    <xf numFmtId="0" fontId="3" fillId="23" borderId="52" xfId="0" applyFont="1" applyFill="1" applyBorder="1"/>
    <xf numFmtId="0" fontId="3" fillId="23" borderId="53" xfId="0" applyFont="1" applyFill="1" applyBorder="1" applyAlignment="1">
      <alignment horizontal="center" wrapText="1"/>
    </xf>
    <xf numFmtId="0" fontId="3" fillId="23" borderId="53" xfId="0" applyFont="1" applyFill="1" applyBorder="1" applyAlignment="1">
      <alignment wrapText="1"/>
    </xf>
    <xf numFmtId="0" fontId="3" fillId="23" borderId="54" xfId="0" applyFont="1" applyFill="1" applyBorder="1" applyAlignment="1">
      <alignment wrapText="1"/>
    </xf>
    <xf numFmtId="0" fontId="3" fillId="23" borderId="55" xfId="0" applyFont="1" applyFill="1" applyBorder="1" applyAlignment="1">
      <alignment horizontal="center" wrapText="1"/>
    </xf>
    <xf numFmtId="0" fontId="3" fillId="23" borderId="50" xfId="0" applyFont="1" applyFill="1" applyBorder="1" applyAlignment="1">
      <alignment wrapText="1"/>
    </xf>
    <xf numFmtId="0" fontId="3" fillId="23" borderId="56" xfId="0" applyFont="1" applyFill="1" applyBorder="1" applyAlignment="1">
      <alignment wrapText="1"/>
    </xf>
    <xf numFmtId="0" fontId="3" fillId="23" borderId="55" xfId="0" applyFont="1" applyFill="1" applyBorder="1" applyAlignment="1">
      <alignment wrapText="1"/>
    </xf>
    <xf numFmtId="0" fontId="50" fillId="0" borderId="0" xfId="0" applyFont="1"/>
    <xf numFmtId="3" fontId="36" fillId="0" borderId="0" xfId="0" applyNumberFormat="1" applyFont="1"/>
    <xf numFmtId="3" fontId="36" fillId="23" borderId="0" xfId="0" applyNumberFormat="1" applyFont="1" applyFill="1"/>
    <xf numFmtId="3" fontId="36" fillId="0" borderId="0" xfId="0" applyNumberFormat="1" applyFont="1" applyFill="1"/>
    <xf numFmtId="3" fontId="36" fillId="23" borderId="45" xfId="0" applyNumberFormat="1" applyFont="1" applyFill="1" applyBorder="1"/>
    <xf numFmtId="3" fontId="36" fillId="23" borderId="19" xfId="0" applyNumberFormat="1" applyFont="1" applyFill="1" applyBorder="1"/>
    <xf numFmtId="3" fontId="36" fillId="23" borderId="20" xfId="0" applyNumberFormat="1" applyFont="1" applyFill="1" applyBorder="1"/>
    <xf numFmtId="3" fontId="36" fillId="23" borderId="43" xfId="0" applyNumberFormat="1" applyFont="1" applyFill="1" applyBorder="1"/>
    <xf numFmtId="3" fontId="36" fillId="23" borderId="19" xfId="0" applyNumberFormat="1" applyFont="1" applyFill="1" applyBorder="1" applyAlignment="1">
      <alignment vertical="top"/>
    </xf>
    <xf numFmtId="0" fontId="5" fillId="0" borderId="11" xfId="0" applyFont="1" applyFill="1" applyBorder="1" applyAlignment="1">
      <alignment vertical="top"/>
    </xf>
    <xf numFmtId="3" fontId="36" fillId="0" borderId="48" xfId="0" applyNumberFormat="1" applyFont="1" applyFill="1" applyBorder="1" applyAlignment="1">
      <alignment horizontal="right"/>
    </xf>
    <xf numFmtId="3" fontId="36" fillId="0" borderId="43" xfId="0" applyNumberFormat="1" applyFont="1" applyFill="1" applyBorder="1" applyAlignment="1">
      <alignment horizontal="right"/>
    </xf>
    <xf numFmtId="4" fontId="61" fillId="0" borderId="19" xfId="0" applyNumberFormat="1" applyFont="1" applyFill="1" applyBorder="1" applyAlignment="1">
      <alignment horizontal="center" vertical="top"/>
    </xf>
    <xf numFmtId="0" fontId="36" fillId="34" borderId="0" xfId="0" applyFont="1" applyFill="1"/>
    <xf numFmtId="0" fontId="36" fillId="34" borderId="14" xfId="0" applyFont="1" applyFill="1" applyBorder="1"/>
    <xf numFmtId="0" fontId="36" fillId="34" borderId="10" xfId="0" applyFont="1" applyFill="1" applyBorder="1"/>
    <xf numFmtId="0" fontId="36" fillId="34" borderId="15" xfId="0" applyFont="1" applyFill="1" applyBorder="1"/>
    <xf numFmtId="173" fontId="36" fillId="20" borderId="0" xfId="0" applyNumberFormat="1" applyFont="1" applyFill="1" applyBorder="1" applyAlignment="1">
      <alignment vertical="top"/>
    </xf>
    <xf numFmtId="166" fontId="36" fillId="20" borderId="14" xfId="0" applyNumberFormat="1" applyFont="1" applyFill="1" applyBorder="1"/>
    <xf numFmtId="0" fontId="63" fillId="20" borderId="10" xfId="0" applyFont="1" applyFill="1" applyBorder="1"/>
    <xf numFmtId="0" fontId="63" fillId="20" borderId="0" xfId="0" applyFont="1" applyFill="1" applyAlignment="1">
      <alignment horizontal="center"/>
    </xf>
    <xf numFmtId="0" fontId="2" fillId="20" borderId="0" xfId="0" applyFont="1" applyFill="1"/>
    <xf numFmtId="9" fontId="2" fillId="20" borderId="0" xfId="45" applyFont="1" applyFill="1"/>
    <xf numFmtId="0" fontId="65" fillId="20" borderId="0" xfId="0" applyFont="1" applyFill="1"/>
    <xf numFmtId="171" fontId="2" fillId="20" borderId="0" xfId="0" applyNumberFormat="1" applyFont="1" applyFill="1"/>
    <xf numFmtId="165" fontId="2" fillId="20" borderId="0" xfId="45" applyNumberFormat="1" applyFont="1" applyFill="1"/>
    <xf numFmtId="0" fontId="36" fillId="0" borderId="0" xfId="0" applyFont="1" applyFill="1"/>
    <xf numFmtId="175" fontId="36" fillId="0" borderId="0" xfId="0" applyNumberFormat="1" applyFont="1" applyFill="1"/>
    <xf numFmtId="0" fontId="36" fillId="0" borderId="36" xfId="0" applyFont="1" applyFill="1" applyBorder="1" applyAlignment="1">
      <alignment horizontal="left" vertical="center" wrapText="1"/>
    </xf>
    <xf numFmtId="0" fontId="32" fillId="19" borderId="0" xfId="0" applyFont="1" applyFill="1" applyBorder="1" applyAlignment="1">
      <alignment horizontal="center" vertical="top"/>
    </xf>
    <xf numFmtId="0" fontId="32" fillId="17" borderId="0" xfId="0" applyFont="1" applyFill="1" applyBorder="1" applyAlignment="1">
      <alignment horizontal="center" vertical="top"/>
    </xf>
    <xf numFmtId="0" fontId="39" fillId="25" borderId="9" xfId="0" applyFont="1" applyFill="1" applyBorder="1" applyAlignment="1">
      <alignment horizontal="center" vertical="top"/>
    </xf>
    <xf numFmtId="0" fontId="39" fillId="25" borderId="38" xfId="0" applyFont="1" applyFill="1" applyBorder="1" applyAlignment="1">
      <alignment horizontal="center" vertical="top"/>
    </xf>
    <xf numFmtId="0" fontId="39" fillId="25" borderId="40" xfId="0" applyFont="1" applyFill="1" applyBorder="1" applyAlignment="1">
      <alignment horizontal="center" vertical="top"/>
    </xf>
    <xf numFmtId="169" fontId="48" fillId="19" borderId="30" xfId="50" applyNumberFormat="1" applyFont="1" applyFill="1" applyBorder="1" applyAlignment="1">
      <alignment horizontal="center" vertical="top"/>
    </xf>
    <xf numFmtId="169" fontId="48" fillId="17" borderId="33" xfId="50" applyNumberFormat="1" applyFont="1" applyFill="1" applyBorder="1" applyAlignment="1">
      <alignment horizontal="center" vertical="top"/>
    </xf>
    <xf numFmtId="0" fontId="39" fillId="25" borderId="20" xfId="0" applyFont="1" applyFill="1" applyBorder="1" applyAlignment="1">
      <alignment horizontal="center" vertical="top"/>
    </xf>
    <xf numFmtId="0" fontId="39" fillId="25" borderId="12" xfId="0" applyFont="1" applyFill="1" applyBorder="1" applyAlignment="1">
      <alignment horizontal="center" vertical="top"/>
    </xf>
    <xf numFmtId="0" fontId="39" fillId="25" borderId="15" xfId="0" applyFont="1" applyFill="1" applyBorder="1" applyAlignment="1">
      <alignment horizontal="center" vertical="top"/>
    </xf>
    <xf numFmtId="0" fontId="39" fillId="25" borderId="39" xfId="0" applyFont="1" applyFill="1" applyBorder="1" applyAlignment="1">
      <alignment horizontal="center" vertical="top"/>
    </xf>
    <xf numFmtId="0" fontId="48" fillId="19" borderId="10" xfId="0" applyFont="1" applyFill="1" applyBorder="1" applyAlignment="1">
      <alignment horizontal="center" vertical="top"/>
    </xf>
    <xf numFmtId="0" fontId="48" fillId="17" borderId="10" xfId="0" applyFont="1" applyFill="1" applyBorder="1" applyAlignment="1">
      <alignment horizontal="center" vertical="top"/>
    </xf>
    <xf numFmtId="0" fontId="36" fillId="0" borderId="38" xfId="0" applyFont="1" applyFill="1" applyBorder="1" applyAlignment="1">
      <alignment vertical="top"/>
    </xf>
    <xf numFmtId="10" fontId="60" fillId="0" borderId="40" xfId="45" applyNumberFormat="1" applyFont="1" applyFill="1" applyBorder="1" applyAlignment="1">
      <alignment vertical="top"/>
    </xf>
    <xf numFmtId="0" fontId="35" fillId="0" borderId="0" xfId="0" applyFont="1" applyFill="1" applyAlignment="1">
      <alignment horizontal="left" vertical="top"/>
    </xf>
    <xf numFmtId="10" fontId="60" fillId="0" borderId="14" xfId="45" applyNumberFormat="1" applyFont="1" applyFill="1" applyBorder="1" applyAlignment="1">
      <alignment vertical="top"/>
    </xf>
    <xf numFmtId="178" fontId="60" fillId="0" borderId="14" xfId="0" applyNumberFormat="1" applyFont="1" applyFill="1" applyBorder="1" applyAlignment="1">
      <alignment horizontal="right" vertical="top"/>
    </xf>
    <xf numFmtId="1" fontId="60" fillId="0" borderId="14" xfId="0" applyNumberFormat="1" applyFont="1" applyFill="1" applyBorder="1" applyAlignment="1">
      <alignment vertical="top"/>
    </xf>
    <xf numFmtId="10" fontId="60" fillId="0" borderId="14" xfId="45" applyNumberFormat="1" applyFont="1" applyFill="1" applyBorder="1" applyAlignment="1" applyProtection="1">
      <alignment horizontal="right" vertical="center"/>
      <protection locked="0"/>
    </xf>
    <xf numFmtId="10" fontId="60" fillId="0" borderId="14" xfId="45" applyNumberFormat="1" applyFont="1" applyFill="1" applyBorder="1" applyAlignment="1" applyProtection="1">
      <alignment horizontal="right" vertical="top"/>
      <protection locked="0"/>
    </xf>
    <xf numFmtId="0" fontId="36" fillId="0" borderId="12" xfId="0" applyFont="1" applyBorder="1" applyAlignment="1">
      <alignment horizontal="right" vertical="top"/>
    </xf>
    <xf numFmtId="10" fontId="60" fillId="0" borderId="15" xfId="45" applyNumberFormat="1" applyFont="1" applyFill="1" applyBorder="1" applyAlignment="1" applyProtection="1">
      <alignment horizontal="right" vertical="top"/>
      <protection locked="0"/>
    </xf>
    <xf numFmtId="0" fontId="39" fillId="25" borderId="39" xfId="0" applyFont="1" applyFill="1" applyBorder="1" applyAlignment="1">
      <alignment horizontal="center"/>
    </xf>
    <xf numFmtId="0" fontId="39" fillId="25" borderId="0" xfId="0" applyFont="1" applyFill="1" applyBorder="1" applyAlignment="1">
      <alignment horizontal="center"/>
    </xf>
    <xf numFmtId="0" fontId="36" fillId="25" borderId="0" xfId="0" applyFont="1" applyFill="1" applyBorder="1"/>
    <xf numFmtId="0" fontId="3" fillId="23" borderId="0" xfId="0" applyFont="1" applyFill="1" applyBorder="1"/>
    <xf numFmtId="0" fontId="36" fillId="32" borderId="39" xfId="0" applyFont="1" applyFill="1" applyBorder="1"/>
    <xf numFmtId="0" fontId="49" fillId="0" borderId="0" xfId="0" applyFont="1" applyFill="1" applyBorder="1"/>
    <xf numFmtId="0" fontId="49" fillId="0" borderId="10" xfId="0" applyFont="1" applyFill="1" applyBorder="1"/>
    <xf numFmtId="166" fontId="38" fillId="0" borderId="0" xfId="0" applyNumberFormat="1" applyFont="1" applyFill="1" applyBorder="1"/>
    <xf numFmtId="171" fontId="36" fillId="0" borderId="45" xfId="29" applyNumberFormat="1" applyFont="1" applyFill="1" applyBorder="1"/>
    <xf numFmtId="171" fontId="36" fillId="0" borderId="19" xfId="29" applyNumberFormat="1" applyFont="1" applyFill="1" applyBorder="1"/>
    <xf numFmtId="171" fontId="36" fillId="0" borderId="20" xfId="29" applyNumberFormat="1" applyFont="1" applyFill="1" applyBorder="1"/>
    <xf numFmtId="179" fontId="39" fillId="25" borderId="0" xfId="0" applyNumberFormat="1" applyFont="1" applyFill="1" applyBorder="1" applyAlignment="1">
      <alignment horizontal="center"/>
    </xf>
    <xf numFmtId="179" fontId="36" fillId="0" borderId="57" xfId="0" applyNumberFormat="1" applyFont="1" applyBorder="1"/>
    <xf numFmtId="179" fontId="36" fillId="0" borderId="0" xfId="0" applyNumberFormat="1" applyFont="1" applyBorder="1"/>
    <xf numFmtId="179" fontId="36" fillId="0" borderId="58" xfId="0" applyNumberFormat="1" applyFont="1" applyBorder="1"/>
    <xf numFmtId="180" fontId="36" fillId="0" borderId="45" xfId="29" applyNumberFormat="1" applyFont="1" applyFill="1" applyBorder="1"/>
    <xf numFmtId="180" fontId="36" fillId="0" borderId="19" xfId="29" applyNumberFormat="1" applyFont="1" applyFill="1" applyBorder="1"/>
    <xf numFmtId="180" fontId="36" fillId="0" borderId="20" xfId="29" applyNumberFormat="1" applyFont="1" applyFill="1" applyBorder="1"/>
    <xf numFmtId="0" fontId="57" fillId="0" borderId="38" xfId="0" applyFont="1" applyBorder="1" applyAlignment="1">
      <alignment horizontal="left"/>
    </xf>
    <xf numFmtId="0" fontId="57" fillId="0" borderId="11" xfId="0" applyFont="1" applyBorder="1" applyAlignment="1">
      <alignment horizontal="left"/>
    </xf>
    <xf numFmtId="0" fontId="36" fillId="0" borderId="11" xfId="0" applyFont="1" applyBorder="1"/>
    <xf numFmtId="0" fontId="36" fillId="0" borderId="12" xfId="0" applyFont="1" applyBorder="1"/>
    <xf numFmtId="166" fontId="36" fillId="0" borderId="40" xfId="0" applyNumberFormat="1" applyFont="1" applyFill="1" applyBorder="1"/>
    <xf numFmtId="166" fontId="36" fillId="0" borderId="14" xfId="0" applyNumberFormat="1" applyFont="1" applyBorder="1"/>
    <xf numFmtId="166" fontId="36" fillId="0" borderId="15" xfId="0" applyNumberFormat="1" applyFont="1" applyBorder="1"/>
    <xf numFmtId="0" fontId="39" fillId="25" borderId="10" xfId="0" applyFont="1" applyFill="1" applyBorder="1"/>
    <xf numFmtId="0" fontId="36" fillId="0" borderId="39" xfId="0" applyFont="1" applyFill="1" applyBorder="1"/>
    <xf numFmtId="1" fontId="36" fillId="0" borderId="11" xfId="0" applyNumberFormat="1" applyFont="1" applyFill="1" applyBorder="1" applyAlignment="1">
      <alignment horizontal="left"/>
    </xf>
    <xf numFmtId="2" fontId="36" fillId="0" borderId="0" xfId="0" applyNumberFormat="1" applyFont="1" applyFill="1" applyBorder="1"/>
    <xf numFmtId="1" fontId="36" fillId="0" borderId="12" xfId="0" applyNumberFormat="1" applyFont="1" applyFill="1" applyBorder="1" applyAlignment="1">
      <alignment horizontal="left"/>
    </xf>
    <xf numFmtId="2" fontId="36" fillId="0" borderId="10" xfId="0" applyNumberFormat="1" applyFont="1" applyFill="1" applyBorder="1"/>
    <xf numFmtId="0" fontId="36" fillId="0" borderId="9" xfId="0" applyFont="1" applyFill="1" applyBorder="1"/>
    <xf numFmtId="2" fontId="36" fillId="0" borderId="38" xfId="0" applyNumberFormat="1" applyFont="1" applyBorder="1"/>
    <xf numFmtId="2" fontId="36" fillId="0" borderId="39" xfId="0" applyNumberFormat="1" applyFont="1" applyBorder="1"/>
    <xf numFmtId="2" fontId="36" fillId="0" borderId="40" xfId="0" applyNumberFormat="1" applyFont="1" applyBorder="1"/>
    <xf numFmtId="2" fontId="36" fillId="0" borderId="11" xfId="0" applyNumberFormat="1" applyFont="1" applyBorder="1"/>
    <xf numFmtId="2" fontId="36" fillId="0" borderId="0" xfId="0" applyNumberFormat="1" applyFont="1" applyBorder="1"/>
    <xf numFmtId="2" fontId="36" fillId="0" borderId="14" xfId="0" applyNumberFormat="1" applyFont="1" applyBorder="1"/>
    <xf numFmtId="2" fontId="36" fillId="0" borderId="12" xfId="0" applyNumberFormat="1" applyFont="1" applyBorder="1"/>
    <xf numFmtId="2" fontId="36" fillId="0" borderId="10" xfId="0" applyNumberFormat="1" applyFont="1" applyBorder="1"/>
    <xf numFmtId="2" fontId="36" fillId="0" borderId="15" xfId="0" applyNumberFormat="1" applyFont="1" applyBorder="1"/>
    <xf numFmtId="2" fontId="35" fillId="0" borderId="41" xfId="0" applyNumberFormat="1" applyFont="1" applyBorder="1"/>
    <xf numFmtId="2" fontId="35" fillId="0" borderId="42" xfId="0" applyNumberFormat="1" applyFont="1" applyBorder="1"/>
    <xf numFmtId="2" fontId="35" fillId="0" borderId="44" xfId="0" applyNumberFormat="1" applyFont="1" applyBorder="1"/>
    <xf numFmtId="42" fontId="36" fillId="0" borderId="40" xfId="0" applyNumberFormat="1" applyFont="1" applyBorder="1" applyAlignment="1">
      <alignment vertical="top"/>
    </xf>
    <xf numFmtId="42" fontId="36" fillId="0" borderId="14" xfId="0" applyNumberFormat="1" applyFont="1" applyBorder="1" applyAlignment="1">
      <alignment vertical="top"/>
    </xf>
    <xf numFmtId="42" fontId="36" fillId="0" borderId="15" xfId="0" applyNumberFormat="1" applyFont="1" applyBorder="1" applyAlignment="1">
      <alignment vertical="top"/>
    </xf>
    <xf numFmtId="0" fontId="36" fillId="0" borderId="45" xfId="0" applyFont="1" applyBorder="1" applyAlignment="1">
      <alignment vertical="top"/>
    </xf>
    <xf numFmtId="0" fontId="36" fillId="0" borderId="19" xfId="0" applyFont="1" applyBorder="1" applyAlignment="1">
      <alignment vertical="top"/>
    </xf>
    <xf numFmtId="0" fontId="36" fillId="0" borderId="20" xfId="0" applyFont="1" applyBorder="1" applyAlignment="1">
      <alignment vertical="top"/>
    </xf>
    <xf numFmtId="2" fontId="36" fillId="0" borderId="45" xfId="0" applyNumberFormat="1" applyFont="1" applyBorder="1" applyAlignment="1">
      <alignment vertical="top"/>
    </xf>
    <xf numFmtId="2" fontId="36" fillId="0" borderId="19" xfId="0" applyNumberFormat="1" applyFont="1" applyBorder="1" applyAlignment="1">
      <alignment vertical="top"/>
    </xf>
    <xf numFmtId="2" fontId="36" fillId="0" borderId="20" xfId="0" applyNumberFormat="1" applyFont="1" applyBorder="1" applyAlignment="1">
      <alignment vertical="top"/>
    </xf>
    <xf numFmtId="0" fontId="36" fillId="16" borderId="45" xfId="0" applyFont="1" applyFill="1" applyBorder="1" applyAlignment="1">
      <alignment vertical="top"/>
    </xf>
    <xf numFmtId="2" fontId="36" fillId="16" borderId="38" xfId="0" applyNumberFormat="1" applyFont="1" applyFill="1" applyBorder="1"/>
    <xf numFmtId="2" fontId="36" fillId="16" borderId="39" xfId="0" applyNumberFormat="1" applyFont="1" applyFill="1" applyBorder="1"/>
    <xf numFmtId="2" fontId="36" fillId="16" borderId="40" xfId="0" applyNumberFormat="1" applyFont="1" applyFill="1" applyBorder="1"/>
    <xf numFmtId="0" fontId="36" fillId="16" borderId="19" xfId="0" applyFont="1" applyFill="1" applyBorder="1" applyAlignment="1">
      <alignment vertical="top"/>
    </xf>
    <xf numFmtId="2" fontId="36" fillId="16" borderId="11" xfId="0" applyNumberFormat="1" applyFont="1" applyFill="1" applyBorder="1"/>
    <xf numFmtId="2" fontId="36" fillId="16" borderId="0" xfId="0" applyNumberFormat="1" applyFont="1" applyFill="1" applyBorder="1"/>
    <xf numFmtId="2" fontId="36" fillId="16" borderId="14" xfId="0" applyNumberFormat="1" applyFont="1" applyFill="1" applyBorder="1"/>
    <xf numFmtId="181" fontId="36" fillId="0" borderId="40" xfId="0" applyNumberFormat="1" applyFont="1" applyFill="1" applyBorder="1" applyAlignment="1">
      <alignment horizontal="right" vertical="top"/>
    </xf>
    <xf numFmtId="181" fontId="36" fillId="0" borderId="14" xfId="0" applyNumberFormat="1" applyFont="1" applyFill="1" applyBorder="1" applyAlignment="1">
      <alignment horizontal="right" vertical="top"/>
    </xf>
    <xf numFmtId="0" fontId="36" fillId="16" borderId="39" xfId="0" applyFont="1" applyFill="1" applyBorder="1" applyAlignment="1">
      <alignment horizontal="center" vertical="top"/>
    </xf>
    <xf numFmtId="0" fontId="36" fillId="0" borderId="39" xfId="0" applyFont="1" applyFill="1" applyBorder="1" applyAlignment="1">
      <alignment horizontal="right" vertical="top"/>
    </xf>
    <xf numFmtId="0" fontId="39" fillId="25" borderId="39" xfId="0" applyFont="1" applyFill="1" applyBorder="1" applyAlignment="1">
      <alignment vertical="top"/>
    </xf>
    <xf numFmtId="2" fontId="36" fillId="16" borderId="12" xfId="0" applyNumberFormat="1" applyFont="1" applyFill="1" applyBorder="1"/>
    <xf numFmtId="2" fontId="36" fillId="16" borderId="10" xfId="0" applyNumberFormat="1" applyFont="1" applyFill="1" applyBorder="1"/>
    <xf numFmtId="2" fontId="35" fillId="16" borderId="41" xfId="0" applyNumberFormat="1" applyFont="1" applyFill="1" applyBorder="1"/>
    <xf numFmtId="2" fontId="35" fillId="16" borderId="42" xfId="0" applyNumberFormat="1" applyFont="1" applyFill="1" applyBorder="1"/>
    <xf numFmtId="2" fontId="36" fillId="16" borderId="45" xfId="0" applyNumberFormat="1" applyFont="1" applyFill="1" applyBorder="1" applyAlignment="1">
      <alignment vertical="top"/>
    </xf>
    <xf numFmtId="0" fontId="39" fillId="25" borderId="40" xfId="0" applyFont="1" applyFill="1" applyBorder="1" applyAlignment="1">
      <alignment vertical="top"/>
    </xf>
    <xf numFmtId="168" fontId="36" fillId="16" borderId="39" xfId="29" applyNumberFormat="1" applyFont="1" applyFill="1" applyBorder="1" applyAlignment="1" applyProtection="1">
      <alignment horizontal="right" vertical="top"/>
      <protection locked="0"/>
    </xf>
    <xf numFmtId="166" fontId="36" fillId="0" borderId="14" xfId="0" applyNumberFormat="1" applyFont="1" applyBorder="1" applyAlignment="1">
      <alignment horizontal="center" vertical="top"/>
    </xf>
    <xf numFmtId="166" fontId="36" fillId="0" borderId="15" xfId="0" applyNumberFormat="1" applyFont="1" applyBorder="1" applyAlignment="1">
      <alignment horizontal="center" vertical="top"/>
    </xf>
    <xf numFmtId="182" fontId="36" fillId="28" borderId="14" xfId="0" applyNumberFormat="1" applyFont="1" applyFill="1" applyBorder="1" applyAlignment="1">
      <alignment horizontal="right" vertical="top"/>
    </xf>
    <xf numFmtId="182" fontId="36" fillId="28" borderId="15" xfId="0" applyNumberFormat="1" applyFont="1" applyFill="1" applyBorder="1" applyAlignment="1">
      <alignment horizontal="right" vertical="top"/>
    </xf>
    <xf numFmtId="0" fontId="39" fillId="25" borderId="45" xfId="0" applyFont="1" applyFill="1" applyBorder="1" applyAlignment="1">
      <alignment horizontal="center" vertical="top"/>
    </xf>
    <xf numFmtId="173" fontId="36" fillId="0" borderId="39" xfId="0" applyNumberFormat="1" applyFont="1" applyBorder="1" applyAlignment="1">
      <alignment vertical="top"/>
    </xf>
    <xf numFmtId="173" fontId="36" fillId="0" borderId="10" xfId="0" applyNumberFormat="1" applyFont="1" applyBorder="1" applyAlignment="1">
      <alignment vertical="top"/>
    </xf>
    <xf numFmtId="0" fontId="36" fillId="0" borderId="39" xfId="0" applyFont="1" applyFill="1" applyBorder="1" applyAlignment="1">
      <alignment vertical="top"/>
    </xf>
    <xf numFmtId="0" fontId="36" fillId="0" borderId="39" xfId="0" applyFont="1" applyBorder="1" applyAlignment="1">
      <alignment vertical="top"/>
    </xf>
    <xf numFmtId="173" fontId="36" fillId="0" borderId="38" xfId="0" applyNumberFormat="1" applyFont="1" applyBorder="1" applyAlignment="1">
      <alignment vertical="top"/>
    </xf>
    <xf numFmtId="0" fontId="36" fillId="16" borderId="40" xfId="0" applyFont="1" applyFill="1" applyBorder="1" applyAlignment="1">
      <alignment horizontal="center" vertical="top"/>
    </xf>
    <xf numFmtId="0" fontId="39" fillId="25" borderId="38" xfId="0" applyFont="1" applyFill="1" applyBorder="1" applyAlignment="1">
      <alignment horizontal="right" vertical="top"/>
    </xf>
    <xf numFmtId="44" fontId="39" fillId="25" borderId="40" xfId="29" applyFont="1" applyFill="1" applyBorder="1" applyAlignment="1">
      <alignment vertical="top"/>
    </xf>
    <xf numFmtId="0" fontId="39" fillId="25" borderId="31" xfId="0" applyFont="1" applyFill="1" applyBorder="1" applyAlignment="1">
      <alignment horizontal="center" vertical="top"/>
    </xf>
    <xf numFmtId="0" fontId="36" fillId="0" borderId="38" xfId="0" applyFont="1" applyFill="1" applyBorder="1" applyAlignment="1">
      <alignment horizontal="right" vertical="top"/>
    </xf>
    <xf numFmtId="44" fontId="36" fillId="0" borderId="40" xfId="29" applyFont="1" applyBorder="1" applyAlignment="1">
      <alignment vertical="top"/>
    </xf>
    <xf numFmtId="4" fontId="36" fillId="0" borderId="38" xfId="0" applyNumberFormat="1" applyFont="1" applyBorder="1" applyAlignment="1">
      <alignment horizontal="right" vertical="top"/>
    </xf>
    <xf numFmtId="4" fontId="36" fillId="0" borderId="45" xfId="0" applyNumberFormat="1" applyFont="1" applyBorder="1" applyAlignment="1">
      <alignment horizontal="right" vertical="top"/>
    </xf>
    <xf numFmtId="173" fontId="36" fillId="0" borderId="45" xfId="0" applyNumberFormat="1" applyFont="1" applyBorder="1" applyAlignment="1">
      <alignment horizontal="right" vertical="top"/>
    </xf>
    <xf numFmtId="166" fontId="36" fillId="0" borderId="40" xfId="0" applyNumberFormat="1" applyFont="1" applyFill="1" applyBorder="1" applyAlignment="1">
      <alignment horizontal="right" vertical="top"/>
    </xf>
    <xf numFmtId="166" fontId="36" fillId="0" borderId="38" xfId="0" applyNumberFormat="1" applyFont="1" applyFill="1" applyBorder="1" applyAlignment="1">
      <alignment horizontal="right" vertical="top"/>
    </xf>
    <xf numFmtId="166" fontId="36" fillId="0" borderId="40" xfId="0" applyNumberFormat="1" applyFont="1" applyBorder="1" applyAlignment="1">
      <alignment horizontal="left" vertical="top"/>
    </xf>
    <xf numFmtId="42" fontId="36" fillId="0" borderId="38" xfId="0" applyNumberFormat="1" applyFont="1" applyBorder="1" applyAlignment="1">
      <alignment vertical="top"/>
    </xf>
    <xf numFmtId="2" fontId="36" fillId="0" borderId="59" xfId="0" applyNumberFormat="1" applyFont="1" applyBorder="1"/>
    <xf numFmtId="2" fontId="36" fillId="0" borderId="30" xfId="0" applyNumberFormat="1" applyFont="1" applyBorder="1"/>
    <xf numFmtId="3" fontId="36" fillId="0" borderId="45" xfId="0" applyNumberFormat="1" applyFont="1" applyFill="1" applyBorder="1" applyAlignment="1">
      <alignment horizontal="right" vertical="top"/>
    </xf>
    <xf numFmtId="3" fontId="36" fillId="0" borderId="38" xfId="0" applyNumberFormat="1" applyFont="1" applyFill="1" applyBorder="1" applyAlignment="1">
      <alignment horizontal="right" vertical="top"/>
    </xf>
    <xf numFmtId="3" fontId="36" fillId="0" borderId="45" xfId="0" applyNumberFormat="1" applyFont="1" applyBorder="1" applyAlignment="1">
      <alignment horizontal="right" vertical="top"/>
    </xf>
    <xf numFmtId="3" fontId="36" fillId="0" borderId="38" xfId="0" applyNumberFormat="1" applyFont="1" applyBorder="1" applyAlignment="1">
      <alignment horizontal="right" vertical="top"/>
    </xf>
    <xf numFmtId="3" fontId="36" fillId="0" borderId="39" xfId="0" applyNumberFormat="1" applyFont="1" applyFill="1" applyBorder="1" applyAlignment="1">
      <alignment vertical="top"/>
    </xf>
    <xf numFmtId="0" fontId="36" fillId="16" borderId="45" xfId="0" applyFont="1" applyFill="1" applyBorder="1" applyAlignment="1">
      <alignment horizontal="center" vertical="top"/>
    </xf>
    <xf numFmtId="166" fontId="44" fillId="0" borderId="39" xfId="0" applyNumberFormat="1" applyFont="1" applyFill="1" applyBorder="1" applyAlignment="1">
      <alignment horizontal="right" vertical="top"/>
    </xf>
    <xf numFmtId="0" fontId="36" fillId="0" borderId="0" xfId="0" applyFont="1" applyBorder="1" applyAlignment="1">
      <alignment horizontal="right" vertical="top"/>
    </xf>
    <xf numFmtId="44" fontId="36" fillId="0" borderId="0" xfId="29" applyFont="1" applyBorder="1" applyAlignment="1">
      <alignment vertical="top"/>
    </xf>
    <xf numFmtId="0" fontId="36" fillId="0" borderId="0" xfId="0" applyFont="1" applyBorder="1" applyAlignment="1">
      <alignment horizontal="center" vertical="top"/>
    </xf>
    <xf numFmtId="42" fontId="35" fillId="0" borderId="0" xfId="0" applyNumberFormat="1" applyFont="1" applyBorder="1" applyAlignment="1">
      <alignment vertical="top"/>
    </xf>
    <xf numFmtId="2" fontId="35" fillId="0" borderId="32" xfId="0" applyNumberFormat="1" applyFont="1" applyBorder="1"/>
    <xf numFmtId="42" fontId="42" fillId="0" borderId="0" xfId="0" applyNumberFormat="1" applyFont="1" applyBorder="1" applyAlignment="1">
      <alignment vertical="top"/>
    </xf>
    <xf numFmtId="4" fontId="61" fillId="0" borderId="27" xfId="0" applyNumberFormat="1" applyFont="1" applyFill="1" applyBorder="1" applyAlignment="1">
      <alignment horizontal="right" vertical="top"/>
    </xf>
    <xf numFmtId="4" fontId="61" fillId="0" borderId="19" xfId="0" applyNumberFormat="1" applyFont="1" applyFill="1" applyBorder="1" applyAlignment="1">
      <alignment horizontal="right" vertical="top"/>
    </xf>
    <xf numFmtId="4" fontId="40" fillId="0" borderId="19" xfId="0" applyNumberFormat="1" applyFont="1" applyFill="1" applyBorder="1" applyAlignment="1">
      <alignment horizontal="center" vertical="top"/>
    </xf>
    <xf numFmtId="3" fontId="61" fillId="0" borderId="27" xfId="0" applyNumberFormat="1" applyFont="1" applyFill="1" applyBorder="1" applyAlignment="1">
      <alignment horizontal="right" vertical="top"/>
    </xf>
    <xf numFmtId="169" fontId="4" fillId="0" borderId="0" xfId="50" applyNumberFormat="1" applyFont="1" applyFill="1" applyBorder="1" applyAlignment="1">
      <alignment horizontal="center" vertical="top"/>
    </xf>
    <xf numFmtId="1" fontId="36" fillId="0" borderId="11" xfId="0" applyNumberFormat="1" applyFont="1" applyFill="1" applyBorder="1" applyAlignment="1">
      <alignment horizontal="right" vertical="top"/>
    </xf>
    <xf numFmtId="1" fontId="36" fillId="0" borderId="12" xfId="0" applyNumberFormat="1" applyFont="1" applyFill="1" applyBorder="1" applyAlignment="1">
      <alignment horizontal="right" vertical="top"/>
    </xf>
    <xf numFmtId="0" fontId="36" fillId="25" borderId="39" xfId="0" applyFont="1" applyFill="1" applyBorder="1" applyAlignment="1">
      <alignment vertical="top"/>
    </xf>
    <xf numFmtId="1" fontId="39" fillId="25" borderId="0" xfId="0" applyNumberFormat="1" applyFont="1" applyFill="1" applyBorder="1" applyAlignment="1">
      <alignment horizontal="right" vertical="top" wrapText="1"/>
    </xf>
    <xf numFmtId="9" fontId="36" fillId="16" borderId="0" xfId="45" applyNumberFormat="1" applyFont="1" applyFill="1" applyBorder="1" applyAlignment="1">
      <alignment horizontal="right" vertical="top"/>
    </xf>
    <xf numFmtId="9" fontId="38" fillId="16" borderId="0" xfId="45" applyNumberFormat="1" applyFont="1" applyFill="1" applyBorder="1" applyAlignment="1">
      <alignment horizontal="right" vertical="top"/>
    </xf>
    <xf numFmtId="9" fontId="36" fillId="0" borderId="0" xfId="45" applyNumberFormat="1" applyFont="1" applyFill="1" applyBorder="1" applyAlignment="1">
      <alignment horizontal="right" vertical="top"/>
    </xf>
    <xf numFmtId="0" fontId="36" fillId="0" borderId="43" xfId="0" applyFont="1" applyBorder="1" applyAlignment="1">
      <alignment horizontal="left" vertical="center" wrapText="1"/>
    </xf>
    <xf numFmtId="0" fontId="36" fillId="0" borderId="43" xfId="0" applyFont="1" applyFill="1" applyBorder="1" applyAlignment="1">
      <alignment horizontal="left" vertical="center" wrapText="1"/>
    </xf>
    <xf numFmtId="0" fontId="36" fillId="0" borderId="37" xfId="0" applyFont="1" applyFill="1" applyBorder="1" applyAlignment="1">
      <alignment horizontal="left" vertical="center" wrapText="1"/>
    </xf>
    <xf numFmtId="9" fontId="40" fillId="0" borderId="25" xfId="45" applyFont="1" applyFill="1" applyBorder="1" applyAlignment="1">
      <alignment horizontal="right" vertical="top"/>
    </xf>
    <xf numFmtId="9" fontId="40" fillId="0" borderId="0" xfId="45" applyFont="1" applyFill="1" applyBorder="1" applyAlignment="1">
      <alignment horizontal="right" vertical="top"/>
    </xf>
    <xf numFmtId="0" fontId="40" fillId="16" borderId="14" xfId="0" applyFont="1" applyFill="1" applyBorder="1" applyAlignment="1">
      <alignment horizontal="right" vertical="top"/>
    </xf>
    <xf numFmtId="0" fontId="40" fillId="16" borderId="25" xfId="0" applyFont="1" applyFill="1" applyBorder="1" applyAlignment="1">
      <alignment horizontal="right" vertical="top"/>
    </xf>
    <xf numFmtId="0" fontId="40" fillId="16" borderId="0" xfId="0" applyFont="1" applyFill="1" applyBorder="1" applyAlignment="1">
      <alignment horizontal="right" vertical="top"/>
    </xf>
    <xf numFmtId="9" fontId="40" fillId="0" borderId="14" xfId="45" applyFont="1" applyFill="1" applyBorder="1" applyAlignment="1">
      <alignment horizontal="right" vertical="top"/>
    </xf>
    <xf numFmtId="3" fontId="40" fillId="0" borderId="45" xfId="0" applyNumberFormat="1" applyFont="1" applyFill="1" applyBorder="1" applyAlignment="1">
      <alignment vertical="top"/>
    </xf>
    <xf numFmtId="3" fontId="40" fillId="0" borderId="19" xfId="0" applyNumberFormat="1" applyFont="1" applyFill="1" applyBorder="1" applyAlignment="1">
      <alignment vertical="top"/>
    </xf>
    <xf numFmtId="3" fontId="40" fillId="16" borderId="19" xfId="0" applyNumberFormat="1" applyFont="1" applyFill="1" applyBorder="1" applyAlignment="1">
      <alignment vertical="top"/>
    </xf>
    <xf numFmtId="173" fontId="40" fillId="0" borderId="19" xfId="0" applyNumberFormat="1" applyFont="1" applyFill="1" applyBorder="1" applyAlignment="1">
      <alignment vertical="top"/>
    </xf>
    <xf numFmtId="0" fontId="39" fillId="25" borderId="45" xfId="0" applyFont="1" applyFill="1" applyBorder="1" applyAlignment="1">
      <alignment horizontal="left" vertical="top"/>
    </xf>
    <xf numFmtId="171" fontId="40" fillId="33" borderId="45" xfId="29" applyNumberFormat="1" applyFont="1" applyFill="1" applyBorder="1"/>
    <xf numFmtId="171" fontId="40" fillId="33" borderId="19" xfId="29" applyNumberFormat="1" applyFont="1" applyFill="1" applyBorder="1"/>
    <xf numFmtId="171" fontId="40" fillId="20" borderId="19" xfId="29" applyNumberFormat="1" applyFont="1" applyFill="1" applyBorder="1"/>
    <xf numFmtId="171" fontId="40" fillId="27" borderId="19" xfId="29" applyNumberFormat="1" applyFont="1" applyFill="1" applyBorder="1"/>
    <xf numFmtId="175" fontId="40" fillId="27" borderId="19" xfId="29" applyNumberFormat="1" applyFont="1" applyFill="1" applyBorder="1"/>
    <xf numFmtId="37" fontId="40" fillId="34" borderId="19" xfId="0" applyNumberFormat="1" applyFont="1" applyFill="1" applyBorder="1"/>
    <xf numFmtId="37" fontId="40" fillId="20" borderId="19" xfId="0" applyNumberFormat="1" applyFont="1" applyFill="1" applyBorder="1"/>
    <xf numFmtId="37" fontId="40" fillId="34" borderId="20" xfId="0" applyNumberFormat="1" applyFont="1" applyFill="1" applyBorder="1"/>
    <xf numFmtId="166" fontId="70" fillId="0" borderId="19" xfId="0" applyNumberFormat="1" applyFont="1" applyFill="1" applyBorder="1"/>
    <xf numFmtId="166" fontId="70" fillId="0" borderId="20" xfId="0" applyNumberFormat="1" applyFont="1" applyFill="1" applyBorder="1"/>
    <xf numFmtId="0" fontId="46" fillId="0" borderId="12" xfId="0" applyFont="1" applyFill="1" applyBorder="1" applyAlignment="1">
      <alignment vertical="top" wrapText="1"/>
    </xf>
    <xf numFmtId="0" fontId="1" fillId="0" borderId="0" xfId="0" applyFont="1" applyFill="1" applyAlignment="1">
      <alignment vertical="top"/>
    </xf>
    <xf numFmtId="3" fontId="40" fillId="0" borderId="25" xfId="0" applyNumberFormat="1" applyFont="1" applyFill="1" applyBorder="1" applyAlignment="1">
      <alignment vertical="top"/>
    </xf>
    <xf numFmtId="0" fontId="36" fillId="25" borderId="42" xfId="0" applyFont="1" applyFill="1" applyBorder="1" applyAlignment="1">
      <alignment vertical="top" wrapText="1"/>
    </xf>
    <xf numFmtId="0" fontId="39" fillId="25" borderId="41" xfId="0" applyFont="1" applyFill="1" applyBorder="1" applyAlignment="1">
      <alignment horizontal="left" vertical="top"/>
    </xf>
    <xf numFmtId="0" fontId="39" fillId="25" borderId="44" xfId="0" applyFont="1" applyFill="1" applyBorder="1" applyAlignment="1">
      <alignment horizontal="left" vertical="top"/>
    </xf>
    <xf numFmtId="0" fontId="57" fillId="0" borderId="41" xfId="0" applyFont="1" applyBorder="1" applyAlignment="1">
      <alignment horizontal="left" vertical="top" wrapText="1"/>
    </xf>
    <xf numFmtId="0" fontId="57" fillId="0" borderId="44" xfId="0" applyFont="1" applyBorder="1" applyAlignment="1">
      <alignment horizontal="left" vertical="top" wrapText="1"/>
    </xf>
    <xf numFmtId="0" fontId="36" fillId="0" borderId="41" xfId="0" quotePrefix="1" applyFont="1" applyBorder="1" applyAlignment="1">
      <alignment horizontal="left" vertical="top" wrapText="1"/>
    </xf>
    <xf numFmtId="0" fontId="36" fillId="0" borderId="44" xfId="0" quotePrefix="1" applyFont="1" applyBorder="1" applyAlignment="1">
      <alignment horizontal="left" vertical="top" wrapText="1"/>
    </xf>
    <xf numFmtId="0" fontId="32" fillId="19" borderId="25" xfId="0" applyFont="1" applyFill="1" applyBorder="1" applyAlignment="1">
      <alignment horizontal="center" vertical="top"/>
    </xf>
    <xf numFmtId="0" fontId="32" fillId="19" borderId="0" xfId="0" applyFont="1" applyFill="1" applyBorder="1" applyAlignment="1">
      <alignment horizontal="center" vertical="top"/>
    </xf>
    <xf numFmtId="0" fontId="32" fillId="17" borderId="25" xfId="0" applyFont="1" applyFill="1" applyBorder="1" applyAlignment="1">
      <alignment horizontal="center" vertical="top"/>
    </xf>
    <xf numFmtId="0" fontId="32" fillId="17" borderId="0" xfId="0" applyFont="1" applyFill="1" applyBorder="1" applyAlignment="1">
      <alignment horizontal="center" vertical="top"/>
    </xf>
    <xf numFmtId="0" fontId="39" fillId="25" borderId="49" xfId="0" applyFont="1" applyFill="1" applyBorder="1" applyAlignment="1">
      <alignment horizontal="center" vertical="top"/>
    </xf>
    <xf numFmtId="0" fontId="39" fillId="25" borderId="9" xfId="0" applyFont="1" applyFill="1" applyBorder="1" applyAlignment="1">
      <alignment horizontal="center" vertical="top"/>
    </xf>
    <xf numFmtId="0" fontId="39" fillId="25" borderId="17" xfId="0" applyFont="1" applyFill="1" applyBorder="1" applyAlignment="1">
      <alignment horizontal="center" vertical="top"/>
    </xf>
    <xf numFmtId="0" fontId="39" fillId="25" borderId="13" xfId="0" applyFont="1" applyFill="1" applyBorder="1" applyAlignment="1">
      <alignment horizontal="center" vertical="top"/>
    </xf>
    <xf numFmtId="0" fontId="32" fillId="18" borderId="25" xfId="0" applyFont="1" applyFill="1" applyBorder="1" applyAlignment="1">
      <alignment horizontal="center" vertical="top"/>
    </xf>
    <xf numFmtId="0" fontId="32" fillId="18" borderId="0" xfId="0" applyFont="1" applyFill="1" applyBorder="1" applyAlignment="1">
      <alignment horizontal="center" vertical="top"/>
    </xf>
    <xf numFmtId="0" fontId="32" fillId="18" borderId="14" xfId="0" applyFont="1" applyFill="1" applyBorder="1" applyAlignment="1">
      <alignment horizontal="center" vertical="top"/>
    </xf>
    <xf numFmtId="0" fontId="51" fillId="0" borderId="19" xfId="0" applyFont="1" applyFill="1" applyBorder="1" applyAlignment="1">
      <alignment horizontal="center" vertical="top" wrapText="1"/>
    </xf>
    <xf numFmtId="0" fontId="36" fillId="0" borderId="19" xfId="0" applyFont="1" applyFill="1" applyBorder="1" applyAlignment="1">
      <alignment horizontal="center" vertical="top" wrapText="1"/>
    </xf>
    <xf numFmtId="0" fontId="36" fillId="0" borderId="20" xfId="0" applyFont="1" applyFill="1" applyBorder="1" applyAlignment="1">
      <alignment horizontal="center" vertical="top" wrapText="1"/>
    </xf>
    <xf numFmtId="0" fontId="39" fillId="25" borderId="38" xfId="0" applyFont="1" applyFill="1" applyBorder="1" applyAlignment="1">
      <alignment horizontal="center" vertical="top"/>
    </xf>
    <xf numFmtId="0" fontId="39" fillId="25" borderId="40" xfId="0" applyFont="1" applyFill="1" applyBorder="1" applyAlignment="1">
      <alignment horizontal="center" vertical="top"/>
    </xf>
    <xf numFmtId="22" fontId="66" fillId="31" borderId="45" xfId="0" applyNumberFormat="1" applyFont="1" applyFill="1" applyBorder="1" applyAlignment="1">
      <alignment horizontal="center" vertical="top"/>
    </xf>
    <xf numFmtId="169" fontId="48" fillId="19" borderId="11" xfId="50" applyNumberFormat="1" applyFont="1" applyFill="1" applyBorder="1" applyAlignment="1">
      <alignment horizontal="center" vertical="top"/>
    </xf>
    <xf numFmtId="169" fontId="48" fillId="19" borderId="0" xfId="50" applyNumberFormat="1" applyFont="1" applyFill="1" applyBorder="1" applyAlignment="1">
      <alignment horizontal="center" vertical="top"/>
    </xf>
    <xf numFmtId="169" fontId="48" fillId="19" borderId="30" xfId="50" applyNumberFormat="1" applyFont="1" applyFill="1" applyBorder="1" applyAlignment="1">
      <alignment horizontal="center" vertical="top"/>
    </xf>
    <xf numFmtId="169" fontId="48" fillId="17" borderId="33" xfId="50" applyNumberFormat="1" applyFont="1" applyFill="1" applyBorder="1" applyAlignment="1">
      <alignment horizontal="center" vertical="top"/>
    </xf>
    <xf numFmtId="169" fontId="32" fillId="30" borderId="48" xfId="50" applyNumberFormat="1" applyFont="1" applyFill="1" applyBorder="1" applyAlignment="1">
      <alignment horizontal="center" vertical="top"/>
    </xf>
    <xf numFmtId="169" fontId="32" fillId="30" borderId="44" xfId="50" applyNumberFormat="1" applyFont="1" applyFill="1" applyBorder="1" applyAlignment="1">
      <alignment horizontal="center" vertical="top"/>
    </xf>
    <xf numFmtId="169" fontId="48" fillId="18" borderId="25" xfId="50" applyNumberFormat="1" applyFont="1" applyFill="1" applyBorder="1" applyAlignment="1">
      <alignment horizontal="center" vertical="top"/>
    </xf>
    <xf numFmtId="169" fontId="48" fillId="18" borderId="0" xfId="50" applyNumberFormat="1" applyFont="1" applyFill="1" applyBorder="1" applyAlignment="1">
      <alignment horizontal="center" vertical="top"/>
    </xf>
    <xf numFmtId="169" fontId="48" fillId="18" borderId="30" xfId="50" applyNumberFormat="1" applyFont="1" applyFill="1" applyBorder="1" applyAlignment="1">
      <alignment horizontal="center" vertical="top"/>
    </xf>
    <xf numFmtId="0" fontId="39" fillId="25" borderId="17" xfId="0" applyFont="1" applyFill="1" applyBorder="1" applyAlignment="1">
      <alignment horizontal="center"/>
    </xf>
    <xf numFmtId="0" fontId="39" fillId="25" borderId="9" xfId="0" applyFont="1" applyFill="1" applyBorder="1" applyAlignment="1">
      <alignment horizontal="center"/>
    </xf>
    <xf numFmtId="0" fontId="39" fillId="25" borderId="13" xfId="0" applyFont="1" applyFill="1" applyBorder="1" applyAlignment="1">
      <alignment horizontal="center"/>
    </xf>
    <xf numFmtId="0" fontId="39" fillId="25" borderId="39" xfId="0" applyFont="1" applyFill="1" applyBorder="1" applyAlignment="1">
      <alignment horizontal="center" vertical="top"/>
    </xf>
    <xf numFmtId="0" fontId="39" fillId="25" borderId="59" xfId="0" applyFont="1" applyFill="1" applyBorder="1" applyAlignment="1">
      <alignment horizontal="center" vertical="top"/>
    </xf>
    <xf numFmtId="0" fontId="39" fillId="18" borderId="25" xfId="0" applyFont="1" applyFill="1" applyBorder="1" applyAlignment="1">
      <alignment horizontal="center" vertical="top"/>
    </xf>
    <xf numFmtId="0" fontId="39" fillId="18" borderId="0" xfId="0" applyFont="1" applyFill="1" applyBorder="1" applyAlignment="1">
      <alignment horizontal="center" vertical="top"/>
    </xf>
    <xf numFmtId="0" fontId="56" fillId="19" borderId="10" xfId="0" applyFont="1" applyFill="1" applyBorder="1" applyAlignment="1">
      <alignment horizontal="center" vertical="top"/>
    </xf>
    <xf numFmtId="0" fontId="56" fillId="19" borderId="31" xfId="0" applyFont="1" applyFill="1" applyBorder="1" applyAlignment="1">
      <alignment horizontal="center" vertical="top"/>
    </xf>
    <xf numFmtId="0" fontId="56" fillId="17" borderId="10" xfId="0" applyFont="1" applyFill="1" applyBorder="1" applyAlignment="1">
      <alignment horizontal="center" vertical="top"/>
    </xf>
    <xf numFmtId="0" fontId="48" fillId="19" borderId="10" xfId="0" applyFont="1" applyFill="1" applyBorder="1" applyAlignment="1">
      <alignment horizontal="center" vertical="top"/>
    </xf>
    <xf numFmtId="0" fontId="48" fillId="19" borderId="0" xfId="0" applyFont="1" applyFill="1" applyBorder="1" applyAlignment="1">
      <alignment horizontal="center" vertical="top"/>
    </xf>
    <xf numFmtId="0" fontId="48" fillId="19" borderId="31" xfId="0" applyFont="1" applyFill="1" applyBorder="1" applyAlignment="1">
      <alignment horizontal="center" vertical="top"/>
    </xf>
    <xf numFmtId="0" fontId="48" fillId="17" borderId="24" xfId="0" applyFont="1" applyFill="1" applyBorder="1" applyAlignment="1">
      <alignment horizontal="center" vertical="top"/>
    </xf>
    <xf numFmtId="0" fontId="48" fillId="17" borderId="10" xfId="0" applyFont="1" applyFill="1" applyBorder="1" applyAlignment="1">
      <alignment horizontal="center" vertical="top"/>
    </xf>
    <xf numFmtId="0" fontId="39" fillId="18" borderId="26" xfId="0" applyFont="1" applyFill="1" applyBorder="1" applyAlignment="1">
      <alignment horizontal="center" vertical="top"/>
    </xf>
    <xf numFmtId="0" fontId="39" fillId="18" borderId="16" xfId="0" applyFont="1" applyFill="1" applyBorder="1" applyAlignment="1">
      <alignment horizontal="center" vertical="top"/>
    </xf>
    <xf numFmtId="0" fontId="39" fillId="18" borderId="42" xfId="0" applyFont="1" applyFill="1" applyBorder="1" applyAlignment="1">
      <alignment horizontal="center" vertical="top"/>
    </xf>
    <xf numFmtId="0" fontId="56" fillId="19" borderId="0" xfId="0" applyFont="1" applyFill="1" applyBorder="1" applyAlignment="1">
      <alignment horizontal="center" vertical="top"/>
    </xf>
    <xf numFmtId="0" fontId="56" fillId="17" borderId="25" xfId="0" applyFont="1" applyFill="1" applyBorder="1" applyAlignment="1">
      <alignment horizontal="center" vertical="top"/>
    </xf>
    <xf numFmtId="0" fontId="56" fillId="17" borderId="0" xfId="0" applyFont="1" applyFill="1" applyBorder="1" applyAlignment="1">
      <alignment horizontal="center" vertical="top"/>
    </xf>
  </cellXfs>
  <cellStyles count="1092">
    <cellStyle name="=C:\WINNT\SYSTEM32\COMMAND.COM 2"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xfId="50" builtinId="3"/>
    <cellStyle name="Currency" xfId="29" builtinId="4"/>
    <cellStyle name="Explanatory Text" xfId="30" builtinId="53" customBuilti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eading 4 2" xfId="36"/>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2" xfId="37"/>
    <cellStyle name="Input" xfId="38" builtinId="20" customBuiltin="1"/>
    <cellStyle name="Linked Cell" xfId="39" builtinId="24" customBuiltin="1"/>
    <cellStyle name="Neutral" xfId="40" builtinId="28" customBuiltin="1"/>
    <cellStyle name="Normal" xfId="0" builtinId="0"/>
    <cellStyle name="Normal 2" xfId="41"/>
    <cellStyle name="Normal 3" xfId="42"/>
    <cellStyle name="Normal_Profile Data 15Feb2010" xfId="51"/>
    <cellStyle name="Note" xfId="43" builtinId="10" customBuiltin="1"/>
    <cellStyle name="Output" xfId="44" builtinId="21" customBuiltin="1"/>
    <cellStyle name="Percent" xfId="45" builtinId="5"/>
    <cellStyle name="Percent 2" xfId="46"/>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66CC"/>
      <rgbColor rgb="00FFFF00"/>
      <rgbColor rgb="00FF00FF"/>
      <rgbColor rgb="0000FFFF"/>
      <rgbColor rgb="00800000"/>
      <rgbColor rgb="00008000"/>
      <rgbColor rgb="00000080"/>
      <rgbColor rgb="00808000"/>
      <rgbColor rgb="00800080"/>
      <rgbColor rgb="00008080"/>
      <rgbColor rgb="00E9E9E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CCFF"/>
      <rgbColor rgb="00CC99FF"/>
      <rgbColor rgb="00FFCC99"/>
      <rgbColor rgb="003366FF"/>
      <rgbColor rgb="0033CCCC"/>
      <rgbColor rgb="0099CC00"/>
      <rgbColor rgb="00FFCC00"/>
      <rgbColor rgb="00FFCC99"/>
      <rgbColor rgb="00FF6633"/>
      <rgbColor rgb="00666699"/>
      <rgbColor rgb="00999999"/>
      <rgbColor rgb="00003366"/>
      <rgbColor rgb="00339966"/>
      <rgbColor rgb="00003300"/>
      <rgbColor rgb="00333300"/>
      <rgbColor rgb="00993300"/>
      <rgbColor rgb="00993366"/>
      <rgbColor rgb="00333399"/>
      <rgbColor rgb="00333333"/>
    </indexedColors>
    <mruColors>
      <color rgb="FF0432FF"/>
      <color rgb="FF0081C3"/>
      <color rgb="FFFFFF66"/>
      <color rgb="FF38FA87"/>
      <color rgb="FFC4D545"/>
      <color rgb="FF0BF3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274320</xdr:colOff>
      <xdr:row>66</xdr:row>
      <xdr:rowOff>48260</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7589520" cy="10735310"/>
        </a:xfrm>
        <a:prstGeom prst="rect">
          <a:avLst/>
        </a:prstGeom>
        <a:noFill/>
      </xdr:spPr>
    </xdr:pic>
    <xdr:clientData/>
  </xdr:twoCellAnchor>
  <xdr:twoCellAnchor>
    <xdr:from>
      <xdr:col>1</xdr:col>
      <xdr:colOff>219075</xdr:colOff>
      <xdr:row>0</xdr:row>
      <xdr:rowOff>114300</xdr:rowOff>
    </xdr:from>
    <xdr:to>
      <xdr:col>12</xdr:col>
      <xdr:colOff>180975</xdr:colOff>
      <xdr:row>15</xdr:row>
      <xdr:rowOff>9525</xdr:rowOff>
    </xdr:to>
    <xdr:sp macro="" textlink="">
      <xdr:nvSpPr>
        <xdr:cNvPr id="4" name="TextBox 3"/>
        <xdr:cNvSpPr txBox="1"/>
      </xdr:nvSpPr>
      <xdr:spPr>
        <a:xfrm>
          <a:off x="828675" y="114300"/>
          <a:ext cx="6667500" cy="23241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3000" b="0">
              <a:solidFill>
                <a:srgbClr val="023864"/>
              </a:solidFill>
              <a:latin typeface="Arial" panose="020B0604020202020204" pitchFamily="34" charset="0"/>
              <a:cs typeface="Arial" panose="020B0604020202020204" pitchFamily="34" charset="0"/>
            </a:rPr>
            <a:t>LRMC Model</a:t>
          </a:r>
          <a:endParaRPr lang="en-AU" sz="3000" b="0" baseline="0">
            <a:solidFill>
              <a:srgbClr val="023864"/>
            </a:solidFill>
            <a:latin typeface="Arial" panose="020B0604020202020204" pitchFamily="34" charset="0"/>
            <a:cs typeface="Arial" panose="020B0604020202020204" pitchFamily="34" charset="0"/>
          </a:endParaRPr>
        </a:p>
        <a:p>
          <a:pPr algn="r"/>
          <a:r>
            <a:rPr lang="en-AU" sz="3000" b="0" baseline="0">
              <a:solidFill>
                <a:srgbClr val="023864"/>
              </a:solidFill>
              <a:latin typeface="Arial" panose="020B0604020202020204" pitchFamily="34" charset="0"/>
              <a:cs typeface="Arial" panose="020B0604020202020204" pitchFamily="34" charset="0"/>
            </a:rPr>
            <a:t>2020-25</a:t>
          </a:r>
        </a:p>
        <a:p>
          <a:pPr algn="r"/>
          <a:r>
            <a:rPr lang="en-AU" sz="3000" b="0" baseline="0">
              <a:solidFill>
                <a:srgbClr val="023864"/>
              </a:solidFill>
              <a:latin typeface="Arial" panose="020B0604020202020204" pitchFamily="34" charset="0"/>
              <a:cs typeface="Arial" panose="020B0604020202020204" pitchFamily="34" charset="0"/>
            </a:rPr>
            <a:t>January 2019</a:t>
          </a:r>
          <a:endParaRPr lang="en-AU" sz="3000" b="0">
            <a:solidFill>
              <a:srgbClr val="023864"/>
            </a:solidFill>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sulting\Ergon\DCOS\2015-16\141010%20AER%20DCOS%2015-16_v1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Consulting\Ergon\DCOS\2015:16\141010%20AER%20DCOS%2015-16_v1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Revenue Cap Data Input"/>
      <sheetName val="ARR Adjustments"/>
      <sheetName val="Summary"/>
      <sheetName val="ARR Calculator"/>
      <sheetName val="Opex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td Connxn Assets - West"/>
      <sheetName val="Std Connxn Assets - Mt Isa"/>
      <sheetName val="SAC Price Calculations - East"/>
      <sheetName val="Data for Charts - East"/>
      <sheetName val="Chart7"/>
      <sheetName val="Chart8"/>
      <sheetName val="SAC Price Calculations - West"/>
      <sheetName val="SAC Price Calculations - Mt Isa"/>
      <sheetName val="Customer Data East - Sum"/>
      <sheetName val="Opex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Data for Charts - West"/>
      <sheetName val="Chart9"/>
      <sheetName val="Chart10"/>
      <sheetName val="Customer Data West - Sum"/>
      <sheetName val="Opex to Customers West"/>
      <sheetName val="ROA to Customers West"/>
      <sheetName val="Cap Cont West"/>
      <sheetName val="Dep to Customers West"/>
      <sheetName val="Admin to Customers West"/>
      <sheetName val="Other Assets West"/>
      <sheetName val="DCOS SUMMARY - West"/>
      <sheetName val="FlowChart - West"/>
      <sheetName val="Data for Charts - Mt Isa"/>
      <sheetName val="Chart11"/>
      <sheetName val="Chart12"/>
      <sheetName val="Customer Data Mt Isa - Sum"/>
      <sheetName val="Opex to Customers Mt Isa"/>
      <sheetName val="ROA to Customers Mt Isa"/>
      <sheetName val="Cap Cont Mt Isa"/>
      <sheetName val="Dep to Customers Mt Isa"/>
      <sheetName val="Admin to Customers Mt Isa"/>
      <sheetName val="Other Assets Mt Isa"/>
      <sheetName val="DCOS SUMMARY - Mt Isa"/>
      <sheetName val="FlowChart - Mt Isa"/>
      <sheetName val="Colour Code &amp; Notes"/>
      <sheetName val="FlowChart -Total ARR"/>
      <sheetName val="SAC Control Panel"/>
      <sheetName val="SAC Control Panel - Mt Isa"/>
      <sheetName val="Error Checks - East"/>
      <sheetName val="Error Checks - West"/>
      <sheetName val="Error Checks - Mt I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9">
          <cell r="C19">
            <v>218.3497536945813</v>
          </cell>
          <cell r="D19">
            <v>64190</v>
          </cell>
          <cell r="E19">
            <v>40830</v>
          </cell>
        </row>
        <row r="64">
          <cell r="C64">
            <v>2932.386988700227</v>
          </cell>
          <cell r="D64">
            <v>924270</v>
          </cell>
          <cell r="E64">
            <v>586080</v>
          </cell>
        </row>
        <row r="73">
          <cell r="C73">
            <v>191.4</v>
          </cell>
          <cell r="D73">
            <v>66840</v>
          </cell>
          <cell r="E73">
            <v>44420</v>
          </cell>
        </row>
        <row r="90">
          <cell r="C90">
            <v>282.94205066565166</v>
          </cell>
          <cell r="D90">
            <v>71630</v>
          </cell>
          <cell r="E90">
            <v>43580</v>
          </cell>
        </row>
      </sheetData>
      <sheetData sheetId="9" refreshError="1"/>
      <sheetData sheetId="10">
        <row r="11">
          <cell r="C11">
            <v>0</v>
          </cell>
          <cell r="D11">
            <v>0</v>
          </cell>
          <cell r="E11">
            <v>0</v>
          </cell>
        </row>
        <row r="51">
          <cell r="C51">
            <v>245.7</v>
          </cell>
          <cell r="D51">
            <v>121910</v>
          </cell>
          <cell r="E51">
            <v>90620</v>
          </cell>
        </row>
        <row r="73">
          <cell r="C73">
            <v>142.95119891987534</v>
          </cell>
          <cell r="D73">
            <v>45460</v>
          </cell>
          <cell r="E73">
            <v>31900</v>
          </cell>
        </row>
        <row r="105">
          <cell r="C105">
            <v>331.37930367504839</v>
          </cell>
          <cell r="D105">
            <v>98200</v>
          </cell>
          <cell r="E105">
            <v>62000</v>
          </cell>
        </row>
        <row r="201">
          <cell r="C201">
            <v>585.60955231157129</v>
          </cell>
          <cell r="D201">
            <v>189970</v>
          </cell>
          <cell r="E201">
            <v>133950</v>
          </cell>
        </row>
      </sheetData>
      <sheetData sheetId="11" refreshError="1"/>
      <sheetData sheetId="12" refreshError="1"/>
      <sheetData sheetId="13">
        <row r="3">
          <cell r="D3">
            <v>35.020000000000003</v>
          </cell>
          <cell r="G3">
            <v>13.325722983257229</v>
          </cell>
        </row>
        <row r="4">
          <cell r="D4">
            <v>61.17</v>
          </cell>
          <cell r="G4">
            <v>16.421947285480456</v>
          </cell>
        </row>
        <row r="5">
          <cell r="D5">
            <v>87.73</v>
          </cell>
          <cell r="G5">
            <v>23.552353038339064</v>
          </cell>
        </row>
        <row r="6">
          <cell r="D6">
            <v>331.26</v>
          </cell>
          <cell r="G6">
            <v>88.931408497437573</v>
          </cell>
        </row>
        <row r="10">
          <cell r="D10">
            <v>40.29</v>
          </cell>
          <cell r="G10">
            <v>22.996575342465754</v>
          </cell>
        </row>
        <row r="11">
          <cell r="D11">
            <v>0</v>
          </cell>
          <cell r="G11">
            <v>0</v>
          </cell>
        </row>
        <row r="12">
          <cell r="D12">
            <v>5.26</v>
          </cell>
          <cell r="G12">
            <v>2.0015220700152208</v>
          </cell>
        </row>
        <row r="13">
          <cell r="D13">
            <v>24.31</v>
          </cell>
          <cell r="G13">
            <v>9.250380517503805</v>
          </cell>
        </row>
        <row r="31">
          <cell r="D31">
            <v>7544.4590000000026</v>
          </cell>
          <cell r="G31">
            <v>2149.0124741073423</v>
          </cell>
        </row>
      </sheetData>
      <sheetData sheetId="14">
        <row r="3">
          <cell r="D3">
            <v>4.8899999999999997</v>
          </cell>
          <cell r="G3">
            <v>1.5949119373776908</v>
          </cell>
        </row>
        <row r="4">
          <cell r="D4">
            <v>3.76</v>
          </cell>
          <cell r="G4">
            <v>1.1922881785895485</v>
          </cell>
        </row>
        <row r="5">
          <cell r="D5">
            <v>0</v>
          </cell>
          <cell r="G5">
            <v>0</v>
          </cell>
        </row>
        <row r="6">
          <cell r="D6">
            <v>28.8</v>
          </cell>
          <cell r="G6">
            <v>9.1324200913242013</v>
          </cell>
        </row>
        <row r="10">
          <cell r="D10">
            <v>2.25</v>
          </cell>
          <cell r="G10">
            <v>0.80265410958904104</v>
          </cell>
        </row>
        <row r="11">
          <cell r="D11">
            <v>0</v>
          </cell>
          <cell r="G11">
            <v>0</v>
          </cell>
        </row>
        <row r="12">
          <cell r="D12">
            <v>0</v>
          </cell>
          <cell r="G12">
            <v>0</v>
          </cell>
        </row>
        <row r="13">
          <cell r="D13">
            <v>1.86</v>
          </cell>
          <cell r="G13">
            <v>0.63381721529339596</v>
          </cell>
        </row>
        <row r="31">
          <cell r="D31">
            <v>796.88600000000019</v>
          </cell>
          <cell r="G31">
            <v>232.06786437310956</v>
          </cell>
        </row>
      </sheetData>
      <sheetData sheetId="15">
        <row r="4">
          <cell r="D4">
            <v>0</v>
          </cell>
          <cell r="G4">
            <v>0</v>
          </cell>
        </row>
        <row r="5">
          <cell r="D5">
            <v>3.37</v>
          </cell>
          <cell r="G5">
            <v>0.89465859615588839</v>
          </cell>
        </row>
        <row r="6">
          <cell r="D6">
            <v>9.33</v>
          </cell>
          <cell r="G6">
            <v>2.4769034724434533</v>
          </cell>
        </row>
        <row r="11">
          <cell r="D11">
            <v>0</v>
          </cell>
          <cell r="G11">
            <v>0</v>
          </cell>
        </row>
        <row r="12">
          <cell r="D12">
            <v>0</v>
          </cell>
          <cell r="G12">
            <v>0</v>
          </cell>
        </row>
        <row r="13">
          <cell r="D13">
            <v>0</v>
          </cell>
          <cell r="G13">
            <v>0</v>
          </cell>
        </row>
        <row r="31">
          <cell r="D31">
            <v>180.18414851900397</v>
          </cell>
          <cell r="G31">
            <v>48.635082440057985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1">
          <cell r="C11">
            <v>73.8</v>
          </cell>
          <cell r="D11">
            <v>15000</v>
          </cell>
          <cell r="E11">
            <v>13760</v>
          </cell>
        </row>
        <row r="21">
          <cell r="C21">
            <v>176.5</v>
          </cell>
          <cell r="D21">
            <v>57800</v>
          </cell>
          <cell r="E21">
            <v>37970</v>
          </cell>
        </row>
        <row r="29">
          <cell r="C29">
            <v>34.691344383057093</v>
          </cell>
          <cell r="D29">
            <v>7780</v>
          </cell>
          <cell r="E29">
            <v>4060</v>
          </cell>
        </row>
        <row r="40">
          <cell r="C40">
            <v>94.907489885764448</v>
          </cell>
          <cell r="D40">
            <v>22030</v>
          </cell>
          <cell r="E40">
            <v>16560</v>
          </cell>
        </row>
      </sheetData>
      <sheetData sheetId="32" refreshError="1"/>
      <sheetData sheetId="33">
        <row r="11">
          <cell r="C11">
            <v>0.3</v>
          </cell>
          <cell r="D11">
            <v>1500</v>
          </cell>
          <cell r="E11">
            <v>50</v>
          </cell>
        </row>
        <row r="18">
          <cell r="C18">
            <v>0.2</v>
          </cell>
          <cell r="D18">
            <v>4000</v>
          </cell>
          <cell r="E18">
            <v>30</v>
          </cell>
        </row>
        <row r="28">
          <cell r="C28">
            <v>17.300000999999998</v>
          </cell>
          <cell r="D28">
            <v>7200</v>
          </cell>
          <cell r="E28">
            <v>3860</v>
          </cell>
        </row>
        <row r="46">
          <cell r="C46">
            <v>17.098537147697023</v>
          </cell>
          <cell r="D46">
            <v>12280</v>
          </cell>
          <cell r="E46">
            <v>4280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 Road Map"/>
      <sheetName val="Revenue Cap Data Input"/>
      <sheetName val="ARR Adjustments"/>
      <sheetName val="Summary"/>
      <sheetName val="ARR Calculator"/>
      <sheetName val="Opex Costs Input"/>
      <sheetName val="Assets Costs Input"/>
      <sheetName val="TUOS Input"/>
      <sheetName val="Indiv.Calc. Cust. - East"/>
      <sheetName val="ICC Rates - East"/>
      <sheetName val="Connxn Asset Cust - East"/>
      <sheetName val="CAC Rates - East"/>
      <sheetName val="Embedded Generators - East"/>
      <sheetName val="Std Connxn Assets - East"/>
      <sheetName val="Std Connxn Assets - West"/>
      <sheetName val="Std Connxn Assets - Mt Isa"/>
      <sheetName val="SAC Price Calculations - East"/>
      <sheetName val="Data for Charts - East"/>
      <sheetName val="Chart1"/>
      <sheetName val="Chart2"/>
      <sheetName val="SAC Price Calculations - West"/>
      <sheetName val="SAC Price Calculations - Mt Isa"/>
      <sheetName val="Customer Data East - Sum"/>
      <sheetName val="Opex to Customers East"/>
      <sheetName val="ROA to Customers East"/>
      <sheetName val="Cap Cont East"/>
      <sheetName val="Dep to Customers East"/>
      <sheetName val="Admin to Customers East"/>
      <sheetName val="Other Assets East"/>
      <sheetName val="DCOS SUMMARY - East"/>
      <sheetName val="FlowChart - East"/>
      <sheetName val="Indiv.Calc. Cust. - West"/>
      <sheetName val="ICC Rates - West"/>
      <sheetName val="Connxn Asset Cust - West"/>
      <sheetName val="CAC Rates - West"/>
      <sheetName val="Embedded Generators - West"/>
      <sheetName val="Data for Charts - West"/>
      <sheetName val="Chart3"/>
      <sheetName val="Chart4"/>
      <sheetName val="Customer Data West - Sum"/>
      <sheetName val="Opex to Customers West"/>
      <sheetName val="ROA to Customers West"/>
      <sheetName val="Cap Cont West"/>
      <sheetName val="Dep to Customers West"/>
      <sheetName val="Admin to Customers West"/>
      <sheetName val="Other Assets West"/>
      <sheetName val="DCOS SUMMARY - West"/>
      <sheetName val="FlowChart - West"/>
      <sheetName val="Data for Charts - Mt Isa"/>
      <sheetName val="Chart5"/>
      <sheetName val="Chart6"/>
      <sheetName val="Customer Data Mt Isa - Sum"/>
      <sheetName val="Opex to Customers Mt Isa"/>
      <sheetName val="ROA to Customers Mt Isa"/>
      <sheetName val="Cap Cont Mt Isa"/>
      <sheetName val="Dep to Customers Mt Isa"/>
      <sheetName val="Admin to Customers Mt Isa"/>
      <sheetName val="Other Assets Mt Isa"/>
      <sheetName val="DCOS SUMMARY - Mt Isa"/>
      <sheetName val="FlowChart - Mt Isa"/>
      <sheetName val="Colour Code &amp; Notes"/>
      <sheetName val="FlowChart -Total ARR"/>
      <sheetName val="SAC Control Panel"/>
      <sheetName val="SAC Control Panel - Mt Isa"/>
      <sheetName val="Error Checks - East"/>
      <sheetName val="Error Checks - West"/>
      <sheetName val="Error Checks - Mt Isa"/>
    </sheetNames>
    <sheetDataSet>
      <sheetData sheetId="0"/>
      <sheetData sheetId="1"/>
      <sheetData sheetId="2"/>
      <sheetData sheetId="3">
        <row r="3">
          <cell r="F3">
            <v>65782568.31828402</v>
          </cell>
        </row>
      </sheetData>
      <sheetData sheetId="4"/>
      <sheetData sheetId="5"/>
      <sheetData sheetId="6"/>
      <sheetData sheetId="7"/>
      <sheetData sheetId="8">
        <row r="19">
          <cell r="C19">
            <v>218.3497536945813</v>
          </cell>
        </row>
      </sheetData>
      <sheetData sheetId="9">
        <row r="5">
          <cell r="A5">
            <v>3050918851</v>
          </cell>
        </row>
      </sheetData>
      <sheetData sheetId="10">
        <row r="11">
          <cell r="C11">
            <v>0</v>
          </cell>
          <cell r="E11">
            <v>0</v>
          </cell>
        </row>
      </sheetData>
      <sheetData sheetId="11">
        <row r="5">
          <cell r="BC5" t="str">
            <v>Change Minimum Factor for Fixed Charge here</v>
          </cell>
        </row>
      </sheetData>
      <sheetData sheetId="12"/>
      <sheetData sheetId="13">
        <row r="3">
          <cell r="C3">
            <v>16</v>
          </cell>
        </row>
      </sheetData>
      <sheetData sheetId="14">
        <row r="3">
          <cell r="C3">
            <v>2</v>
          </cell>
        </row>
      </sheetData>
      <sheetData sheetId="15">
        <row r="3">
          <cell r="D3">
            <v>0</v>
          </cell>
          <cell r="G3">
            <v>0</v>
          </cell>
        </row>
        <row r="10">
          <cell r="D10">
            <v>0</v>
          </cell>
          <cell r="G10">
            <v>0</v>
          </cell>
        </row>
      </sheetData>
      <sheetData sheetId="16">
        <row r="5">
          <cell r="BI5">
            <v>9840548.0737711638</v>
          </cell>
        </row>
      </sheetData>
      <sheetData sheetId="17"/>
      <sheetData sheetId="18"/>
      <sheetData sheetId="19"/>
      <sheetData sheetId="20">
        <row r="5">
          <cell r="BI5">
            <v>1663813.6875495352</v>
          </cell>
        </row>
      </sheetData>
      <sheetData sheetId="21">
        <row r="7">
          <cell r="BI7">
            <v>795976.97990899975</v>
          </cell>
        </row>
      </sheetData>
      <sheetData sheetId="22"/>
      <sheetData sheetId="23"/>
      <sheetData sheetId="24"/>
      <sheetData sheetId="25"/>
      <sheetData sheetId="26"/>
      <sheetData sheetId="27"/>
      <sheetData sheetId="28"/>
      <sheetData sheetId="29"/>
      <sheetData sheetId="30"/>
      <sheetData sheetId="31">
        <row r="11">
          <cell r="C11">
            <v>73.8</v>
          </cell>
        </row>
      </sheetData>
      <sheetData sheetId="32">
        <row r="5">
          <cell r="A5" t="str">
            <v>QAAABW0041</v>
          </cell>
        </row>
      </sheetData>
      <sheetData sheetId="33">
        <row r="11">
          <cell r="C11">
            <v>0.3</v>
          </cell>
        </row>
      </sheetData>
      <sheetData sheetId="34">
        <row r="5">
          <cell r="BC5" t="str">
            <v>Change Minimum Factor for Fixed Charge here</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P15" sqref="P15"/>
    </sheetView>
  </sheetViews>
  <sheetFormatPr defaultRowHeight="12.75" x14ac:dyDescent="0.2"/>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2:AM67"/>
  <sheetViews>
    <sheetView showGridLines="0" zoomScale="125" zoomScaleNormal="125" workbookViewId="0">
      <pane xSplit="3" ySplit="7" topLeftCell="L38" activePane="bottomRight" state="frozen"/>
      <selection activeCell="B34" sqref="B34"/>
      <selection pane="topRight" activeCell="B34" sqref="B34"/>
      <selection pane="bottomLeft" activeCell="B34" sqref="B34"/>
      <selection pane="bottomRight" activeCell="I70" sqref="I70"/>
    </sheetView>
  </sheetViews>
  <sheetFormatPr defaultColWidth="8.85546875" defaultRowHeight="15" x14ac:dyDescent="0.2"/>
  <cols>
    <col min="1" max="1" width="4.42578125" style="3" customWidth="1"/>
    <col min="2" max="2" width="3.85546875" style="3" customWidth="1"/>
    <col min="3" max="3" width="19.7109375" style="3" customWidth="1"/>
    <col min="4" max="4" width="19.42578125" style="3" customWidth="1"/>
    <col min="5" max="5" width="19.28515625" style="3" customWidth="1"/>
    <col min="6" max="6" width="19.28515625" style="3" bestFit="1" customWidth="1"/>
    <col min="7" max="8" width="18.28515625" style="3" bestFit="1" customWidth="1"/>
    <col min="9" max="9" width="19.28515625" style="3" bestFit="1" customWidth="1"/>
    <col min="10" max="10" width="18.28515625" style="3" bestFit="1" customWidth="1"/>
    <col min="11" max="11" width="19.28515625" style="3" bestFit="1" customWidth="1"/>
    <col min="12" max="12" width="19.42578125" style="3" customWidth="1"/>
    <col min="13" max="15" width="0.7109375" style="3" customWidth="1"/>
    <col min="16" max="16" width="16.28515625" style="3" customWidth="1"/>
    <col min="17" max="17" width="17.28515625" style="25" bestFit="1" customWidth="1"/>
    <col min="18" max="18" width="19.28515625" style="3" bestFit="1" customWidth="1"/>
    <col min="19" max="19" width="18.28515625" style="3" bestFit="1" customWidth="1"/>
    <col min="20" max="20" width="17.28515625" style="3" bestFit="1" customWidth="1"/>
    <col min="21" max="23" width="18.28515625" style="3" bestFit="1" customWidth="1"/>
    <col min="24" max="24" width="16" style="3" bestFit="1" customWidth="1"/>
    <col min="25" max="27" width="0.7109375" style="3" customWidth="1"/>
    <col min="28" max="28" width="15.7109375" style="3" customWidth="1"/>
    <col min="29" max="36" width="14.85546875" style="3" customWidth="1"/>
    <col min="37" max="38" width="1.140625" style="3" customWidth="1"/>
    <col min="39" max="39" width="8.85546875" style="3" hidden="1" customWidth="1"/>
    <col min="40" max="16384" width="8.85546875" style="3"/>
  </cols>
  <sheetData>
    <row r="2" spans="2:39" ht="18.75" x14ac:dyDescent="0.2">
      <c r="B2" s="168" t="s">
        <v>129</v>
      </c>
      <c r="G2" s="4"/>
    </row>
    <row r="3" spans="2:39" x14ac:dyDescent="0.2">
      <c r="B3" s="2" t="str">
        <f ca="1">"Filename:  "&amp;MID(CELL("filename",C2),FIND("[",CELL("filename",C2))+1,FIND("]",CELL("filename",C2))-FIND("[",CELL("filename",C2))-1)</f>
        <v>Filename:  ERG 14.009 2020-25 LRMC Model JAN19 PUBLIC.xlsx</v>
      </c>
      <c r="G3" s="4"/>
    </row>
    <row r="4" spans="2:39" x14ac:dyDescent="0.2">
      <c r="B4" s="53"/>
    </row>
    <row r="5" spans="2:39" x14ac:dyDescent="0.2">
      <c r="B5" s="2" t="s">
        <v>54</v>
      </c>
    </row>
    <row r="6" spans="2:39" x14ac:dyDescent="0.2">
      <c r="B6" s="2"/>
    </row>
    <row r="7" spans="2:39" x14ac:dyDescent="0.2">
      <c r="D7" s="981" t="s">
        <v>71</v>
      </c>
      <c r="E7" s="981"/>
      <c r="F7" s="981"/>
      <c r="G7" s="981"/>
      <c r="H7" s="981"/>
      <c r="I7" s="981"/>
      <c r="J7" s="981"/>
      <c r="K7" s="981"/>
      <c r="L7" s="981"/>
      <c r="M7" s="465"/>
      <c r="N7" s="465"/>
      <c r="O7" s="465"/>
      <c r="P7" s="982" t="s">
        <v>72</v>
      </c>
      <c r="Q7" s="983"/>
      <c r="R7" s="983"/>
      <c r="S7" s="983"/>
      <c r="T7" s="983"/>
      <c r="U7" s="983"/>
      <c r="V7" s="983"/>
      <c r="W7" s="983"/>
      <c r="X7" s="983"/>
      <c r="Y7" s="983"/>
      <c r="Z7" s="983"/>
      <c r="AA7" s="983"/>
      <c r="AB7" s="968" t="s">
        <v>73</v>
      </c>
      <c r="AC7" s="969"/>
      <c r="AD7" s="969"/>
      <c r="AE7" s="969"/>
      <c r="AF7" s="969"/>
      <c r="AG7" s="969"/>
      <c r="AH7" s="969"/>
      <c r="AI7" s="969"/>
      <c r="AJ7" s="969"/>
      <c r="AK7" s="969"/>
      <c r="AL7" s="969"/>
      <c r="AM7" s="969"/>
    </row>
    <row r="8" spans="2:39" ht="45" x14ac:dyDescent="0.2">
      <c r="C8" s="62" t="s">
        <v>14</v>
      </c>
      <c r="D8" s="63" t="s">
        <v>177</v>
      </c>
      <c r="E8" s="68" t="s">
        <v>66</v>
      </c>
      <c r="F8" s="64" t="s">
        <v>53</v>
      </c>
      <c r="G8" s="128"/>
      <c r="H8" s="129"/>
      <c r="I8" s="129"/>
      <c r="J8" s="129"/>
      <c r="K8" s="129"/>
      <c r="L8" s="129"/>
      <c r="M8" s="129"/>
      <c r="N8" s="129"/>
      <c r="O8" s="129"/>
      <c r="P8" s="134" t="s">
        <v>178</v>
      </c>
      <c r="Q8" s="64" t="s">
        <v>66</v>
      </c>
      <c r="R8" s="64" t="s">
        <v>53</v>
      </c>
      <c r="S8" s="128"/>
      <c r="T8" s="129"/>
      <c r="U8" s="129"/>
      <c r="V8" s="129"/>
      <c r="W8" s="129"/>
      <c r="X8" s="129"/>
      <c r="Y8" s="129"/>
      <c r="Z8" s="129"/>
      <c r="AA8" s="130"/>
      <c r="AB8" s="134" t="s">
        <v>178</v>
      </c>
      <c r="AC8" s="64" t="s">
        <v>66</v>
      </c>
      <c r="AD8" s="64" t="s">
        <v>53</v>
      </c>
      <c r="AE8" s="128"/>
      <c r="AF8" s="129"/>
      <c r="AG8" s="129"/>
      <c r="AH8" s="129"/>
      <c r="AI8" s="129"/>
      <c r="AJ8" s="129"/>
      <c r="AK8" s="129"/>
      <c r="AL8" s="129"/>
      <c r="AM8" s="129"/>
    </row>
    <row r="9" spans="2:39" x14ac:dyDescent="0.2">
      <c r="C9" s="462" t="s">
        <v>355</v>
      </c>
      <c r="D9" s="54">
        <f>'Calcs - LRIC - $kW by voltage'!N13</f>
        <v>13.567624327582717</v>
      </c>
      <c r="E9" s="285">
        <f>'Inputs - tariff class'!D51</f>
        <v>2045.3068462088922</v>
      </c>
      <c r="F9" s="55">
        <f>D9*E9*1000</f>
        <v>27749954.923995249</v>
      </c>
      <c r="G9" s="121"/>
      <c r="H9" s="122"/>
      <c r="I9" s="122"/>
      <c r="J9" s="122"/>
      <c r="K9" s="122"/>
      <c r="L9" s="122"/>
      <c r="M9" s="122"/>
      <c r="N9" s="122"/>
      <c r="O9" s="122"/>
      <c r="P9" s="163">
        <f>'Calcs - LRIC - $kW by voltage'!AI13</f>
        <v>36.817362428633771</v>
      </c>
      <c r="Q9" s="285">
        <f>'Inputs - tariff class'!Y51</f>
        <v>187.60158814232571</v>
      </c>
      <c r="R9" s="55">
        <f>P9*Q9*1000</f>
        <v>6906995.6628232896</v>
      </c>
      <c r="S9" s="121"/>
      <c r="T9" s="122"/>
      <c r="U9" s="122"/>
      <c r="V9" s="122"/>
      <c r="W9" s="122"/>
      <c r="X9" s="122"/>
      <c r="Y9" s="122"/>
      <c r="Z9" s="122"/>
      <c r="AA9" s="42"/>
      <c r="AB9" s="270"/>
      <c r="AC9" s="271"/>
      <c r="AD9" s="241"/>
      <c r="AE9" s="121"/>
      <c r="AF9" s="122"/>
      <c r="AG9" s="122"/>
      <c r="AH9" s="122"/>
      <c r="AI9" s="122"/>
      <c r="AJ9" s="122"/>
      <c r="AK9" s="122"/>
      <c r="AL9" s="122"/>
      <c r="AM9" s="122"/>
    </row>
    <row r="10" spans="2:39" x14ac:dyDescent="0.2">
      <c r="C10" s="462" t="s">
        <v>360</v>
      </c>
      <c r="D10" s="56">
        <f>'Calcs - LRIC - $kW by voltage'!N14</f>
        <v>12.673895803446122</v>
      </c>
      <c r="E10" s="286">
        <f>'Inputs - tariff class'!D52</f>
        <v>1430.6881845936871</v>
      </c>
      <c r="F10" s="57">
        <f t="shared" ref="F10:F16" si="0">D10*E10*1000</f>
        <v>18132392.978761882</v>
      </c>
      <c r="G10" s="123"/>
      <c r="H10" s="83"/>
      <c r="I10" s="83"/>
      <c r="J10" s="83"/>
      <c r="K10" s="83"/>
      <c r="L10" s="83"/>
      <c r="M10" s="83"/>
      <c r="N10" s="83"/>
      <c r="O10" s="83"/>
      <c r="P10" s="164">
        <f>'Calcs - LRIC - $kW by voltage'!AI14</f>
        <v>15.075452538194099</v>
      </c>
      <c r="Q10" s="286">
        <f>'Inputs - tariff class'!Y52</f>
        <v>143.05209211386057</v>
      </c>
      <c r="R10" s="57">
        <f t="shared" ref="R10:R16" si="1">P10*Q10*1000</f>
        <v>2156575.0251518753</v>
      </c>
      <c r="S10" s="123"/>
      <c r="T10" s="83"/>
      <c r="U10" s="83"/>
      <c r="V10" s="83"/>
      <c r="W10" s="83"/>
      <c r="X10" s="83"/>
      <c r="Y10" s="83"/>
      <c r="Z10" s="83"/>
      <c r="AA10" s="43"/>
      <c r="AB10" s="272"/>
      <c r="AC10" s="273"/>
      <c r="AD10" s="248"/>
      <c r="AE10" s="123"/>
      <c r="AF10" s="83"/>
      <c r="AG10" s="83"/>
      <c r="AH10" s="83"/>
      <c r="AI10" s="83"/>
      <c r="AJ10" s="83"/>
      <c r="AK10" s="83"/>
      <c r="AL10" s="83"/>
      <c r="AM10" s="83"/>
    </row>
    <row r="11" spans="2:39" x14ac:dyDescent="0.2">
      <c r="C11" s="462" t="s">
        <v>361</v>
      </c>
      <c r="D11" s="56">
        <f>'Calcs - LRIC - $kW by voltage'!N15</f>
        <v>116.00931814760786</v>
      </c>
      <c r="E11" s="286">
        <f>'Inputs - tariff class'!D53</f>
        <v>1247.2369825936871</v>
      </c>
      <c r="F11" s="57">
        <f t="shared" si="0"/>
        <v>144691111.91917351</v>
      </c>
      <c r="G11" s="123"/>
      <c r="H11" s="83"/>
      <c r="I11" s="83"/>
      <c r="J11" s="83"/>
      <c r="K11" s="83"/>
      <c r="L11" s="83"/>
      <c r="M11" s="83"/>
      <c r="N11" s="83"/>
      <c r="O11" s="83"/>
      <c r="P11" s="164">
        <f>'Calcs - LRIC - $kW by voltage'!AI15</f>
        <v>243.13755291270877</v>
      </c>
      <c r="Q11" s="286">
        <f>'Inputs - tariff class'!Y53</f>
        <v>133.93033811386056</v>
      </c>
      <c r="R11" s="57">
        <f t="shared" si="1"/>
        <v>32563494.669775747</v>
      </c>
      <c r="S11" s="123"/>
      <c r="T11" s="83"/>
      <c r="U11" s="83"/>
      <c r="V11" s="83"/>
      <c r="W11" s="83"/>
      <c r="X11" s="83"/>
      <c r="Y11" s="83"/>
      <c r="Z11" s="83"/>
      <c r="AA11" s="43"/>
      <c r="AB11" s="272"/>
      <c r="AC11" s="273"/>
      <c r="AD11" s="248"/>
      <c r="AE11" s="123"/>
      <c r="AF11" s="83"/>
      <c r="AG11" s="83"/>
      <c r="AH11" s="83"/>
      <c r="AI11" s="83"/>
      <c r="AJ11" s="83"/>
      <c r="AK11" s="83"/>
      <c r="AL11" s="83"/>
      <c r="AM11" s="83"/>
    </row>
    <row r="12" spans="2:39" x14ac:dyDescent="0.2">
      <c r="C12" s="462" t="s">
        <v>362</v>
      </c>
      <c r="D12" s="56">
        <f>'Calcs - LRIC - $kW by voltage'!N16</f>
        <v>59.13941456699952</v>
      </c>
      <c r="E12" s="286">
        <f>'Inputs - tariff class'!D54</f>
        <v>1063.7857805936872</v>
      </c>
      <c r="F12" s="57">
        <f t="shared" si="0"/>
        <v>62911668.289009258</v>
      </c>
      <c r="G12" s="123"/>
      <c r="H12" s="83"/>
      <c r="I12" s="83"/>
      <c r="J12" s="83"/>
      <c r="K12" s="83"/>
      <c r="L12" s="83"/>
      <c r="M12" s="83"/>
      <c r="N12" s="83"/>
      <c r="O12" s="83"/>
      <c r="P12" s="164">
        <f>'Calcs - LRIC - $kW by voltage'!AI16</f>
        <v>111.183633797908</v>
      </c>
      <c r="Q12" s="286">
        <f>'Inputs - tariff class'!Y54</f>
        <v>123.95725078052725</v>
      </c>
      <c r="R12" s="57">
        <f t="shared" si="1"/>
        <v>13782017.577377586</v>
      </c>
      <c r="S12" s="123"/>
      <c r="T12" s="83"/>
      <c r="U12" s="83"/>
      <c r="V12" s="83"/>
      <c r="W12" s="83"/>
      <c r="X12" s="83"/>
      <c r="Y12" s="83"/>
      <c r="Z12" s="83"/>
      <c r="AA12" s="43"/>
      <c r="AB12" s="272"/>
      <c r="AC12" s="273"/>
      <c r="AD12" s="248"/>
      <c r="AE12" s="123"/>
      <c r="AF12" s="83"/>
      <c r="AG12" s="83"/>
      <c r="AH12" s="83"/>
      <c r="AI12" s="83"/>
      <c r="AJ12" s="83"/>
      <c r="AK12" s="83"/>
      <c r="AL12" s="83"/>
      <c r="AM12" s="83"/>
    </row>
    <row r="13" spans="2:39" x14ac:dyDescent="0.2">
      <c r="C13" s="462" t="s">
        <v>357</v>
      </c>
      <c r="D13" s="56">
        <f>'Calcs - LRIC - $kW by voltage'!N17</f>
        <v>19.68586251762564</v>
      </c>
      <c r="E13" s="286">
        <f>'Inputs - tariff class'!D55</f>
        <v>594.10783628187153</v>
      </c>
      <c r="F13" s="57">
        <f t="shared" si="0"/>
        <v>11695525.185688965</v>
      </c>
      <c r="G13" s="123"/>
      <c r="H13" s="83"/>
      <c r="I13" s="83"/>
      <c r="J13" s="83"/>
      <c r="K13" s="83"/>
      <c r="L13" s="83"/>
      <c r="M13" s="83"/>
      <c r="N13" s="83"/>
      <c r="O13" s="83"/>
      <c r="P13" s="164">
        <f>'Calcs - LRIC - $kW by voltage'!AI17</f>
        <v>33.638110753087474</v>
      </c>
      <c r="Q13" s="286">
        <f>'Inputs - tariff class'!Y55</f>
        <v>30.409162695131812</v>
      </c>
      <c r="R13" s="57">
        <f t="shared" si="1"/>
        <v>1022906.7826474999</v>
      </c>
      <c r="S13" s="123"/>
      <c r="T13" s="83"/>
      <c r="U13" s="83"/>
      <c r="V13" s="83"/>
      <c r="W13" s="83"/>
      <c r="X13" s="83"/>
      <c r="Y13" s="83"/>
      <c r="Z13" s="83"/>
      <c r="AA13" s="43"/>
      <c r="AB13" s="272"/>
      <c r="AC13" s="273"/>
      <c r="AD13" s="248"/>
      <c r="AE13" s="123"/>
      <c r="AF13" s="83"/>
      <c r="AG13" s="83"/>
      <c r="AH13" s="83"/>
      <c r="AI13" s="83"/>
      <c r="AJ13" s="83"/>
      <c r="AK13" s="83"/>
      <c r="AL13" s="83"/>
      <c r="AM13" s="83"/>
    </row>
    <row r="14" spans="2:39" x14ac:dyDescent="0.2">
      <c r="C14" s="462" t="s">
        <v>83</v>
      </c>
      <c r="D14" s="56">
        <f>'Calcs - LRIC - $kW by voltage'!N18</f>
        <v>26.461980964439654</v>
      </c>
      <c r="E14" s="286">
        <f>'Inputs - tariff class'!D56</f>
        <v>1590.327116208892</v>
      </c>
      <c r="F14" s="57">
        <f t="shared" si="0"/>
        <v>42083205.876351908</v>
      </c>
      <c r="G14" s="123"/>
      <c r="H14" s="83"/>
      <c r="I14" s="83"/>
      <c r="J14" s="83"/>
      <c r="K14" s="83"/>
      <c r="L14" s="83"/>
      <c r="M14" s="83"/>
      <c r="N14" s="83"/>
      <c r="O14" s="83"/>
      <c r="P14" s="164">
        <f>'Calcs - LRIC - $kW by voltage'!AI18</f>
        <v>275.04466584447573</v>
      </c>
      <c r="Q14" s="286">
        <f>'Inputs - tariff class'!Y56</f>
        <v>138.79390680899238</v>
      </c>
      <c r="R14" s="57">
        <f t="shared" si="1"/>
        <v>38174523.719528608</v>
      </c>
      <c r="S14" s="123"/>
      <c r="T14" s="83"/>
      <c r="U14" s="83"/>
      <c r="V14" s="83"/>
      <c r="W14" s="83"/>
      <c r="X14" s="83"/>
      <c r="Y14" s="83"/>
      <c r="Z14" s="83"/>
      <c r="AA14" s="43"/>
      <c r="AB14" s="272"/>
      <c r="AC14" s="273"/>
      <c r="AD14" s="248"/>
      <c r="AE14" s="123"/>
      <c r="AF14" s="83"/>
      <c r="AG14" s="83"/>
      <c r="AH14" s="83"/>
      <c r="AI14" s="83"/>
      <c r="AJ14" s="83"/>
      <c r="AK14" s="83"/>
      <c r="AL14" s="83"/>
      <c r="AM14" s="83"/>
    </row>
    <row r="15" spans="2:39" x14ac:dyDescent="0.2">
      <c r="C15" s="462" t="s">
        <v>84</v>
      </c>
      <c r="D15" s="56">
        <f>'Calcs - LRIC - $kW by voltage'!N19</f>
        <v>32.80224645624957</v>
      </c>
      <c r="E15" s="286">
        <f>'Inputs - tariff class'!D57</f>
        <v>1492.9054270982035</v>
      </c>
      <c r="F15" s="57">
        <f t="shared" si="0"/>
        <v>48970651.755547799</v>
      </c>
      <c r="G15" s="123"/>
      <c r="H15" s="83"/>
      <c r="I15" s="83"/>
      <c r="J15" s="83"/>
      <c r="K15" s="83"/>
      <c r="L15" s="83"/>
      <c r="M15" s="83"/>
      <c r="N15" s="83"/>
      <c r="O15" s="83"/>
      <c r="P15" s="164">
        <f>'Calcs - LRIC - $kW by voltage'!AI19</f>
        <v>60.867036034789216</v>
      </c>
      <c r="Q15" s="286">
        <f>'Inputs - tariff class'!Y57</f>
        <v>135.06335818208362</v>
      </c>
      <c r="R15" s="57">
        <f t="shared" si="1"/>
        <v>8220906.2894485267</v>
      </c>
      <c r="S15" s="123"/>
      <c r="T15" s="83"/>
      <c r="U15" s="83"/>
      <c r="V15" s="83"/>
      <c r="W15" s="83"/>
      <c r="X15" s="83"/>
      <c r="Y15" s="83"/>
      <c r="Z15" s="83"/>
      <c r="AA15" s="43"/>
      <c r="AB15" s="164">
        <f>'Calcs - LRIC - $kW by voltage'!BE19</f>
        <v>62.11985814329293</v>
      </c>
      <c r="AC15" s="286">
        <f>'Inputs - tariff class'!AT57</f>
        <v>32.546015994954672</v>
      </c>
      <c r="AD15" s="57">
        <f t="shared" ref="AD15:AD16" si="2">AB15*AC15*1000</f>
        <v>2021753.8967359269</v>
      </c>
      <c r="AE15" s="123"/>
      <c r="AF15" s="83"/>
      <c r="AG15" s="83"/>
      <c r="AH15" s="83"/>
      <c r="AI15" s="83"/>
      <c r="AJ15" s="83"/>
      <c r="AK15" s="83"/>
      <c r="AL15" s="83"/>
      <c r="AM15" s="83"/>
    </row>
    <row r="16" spans="2:39" x14ac:dyDescent="0.2">
      <c r="C16" s="463" t="s">
        <v>0</v>
      </c>
      <c r="D16" s="58">
        <f>'Calcs - LRIC - $kW by voltage'!N20</f>
        <v>54.480261144109683</v>
      </c>
      <c r="E16" s="287">
        <f>'Inputs - tariff class'!D58</f>
        <v>1393.8648478784555</v>
      </c>
      <c r="F16" s="59">
        <f t="shared" si="0"/>
        <v>75938120.912012979</v>
      </c>
      <c r="G16" s="124"/>
      <c r="H16" s="125"/>
      <c r="I16" s="125"/>
      <c r="J16" s="125"/>
      <c r="K16" s="125"/>
      <c r="L16" s="125"/>
      <c r="M16" s="125"/>
      <c r="N16" s="125"/>
      <c r="O16" s="125"/>
      <c r="P16" s="165">
        <f>'Calcs - LRIC - $kW by voltage'!AI20</f>
        <v>61.099471691296415</v>
      </c>
      <c r="Q16" s="287">
        <f>'Inputs - tariff class'!Y58</f>
        <v>128.61892342694512</v>
      </c>
      <c r="R16" s="59">
        <f t="shared" si="1"/>
        <v>7858548.2708896548</v>
      </c>
      <c r="S16" s="124"/>
      <c r="T16" s="125"/>
      <c r="U16" s="125"/>
      <c r="V16" s="125"/>
      <c r="W16" s="125"/>
      <c r="X16" s="125"/>
      <c r="Y16" s="125"/>
      <c r="Z16" s="125"/>
      <c r="AA16" s="126"/>
      <c r="AB16" s="165">
        <f>'Calcs - LRIC - $kW by voltage'!BE20</f>
        <v>56.289400081826734</v>
      </c>
      <c r="AC16" s="287">
        <f>'Inputs - tariff class'!AT58</f>
        <v>30.289806947753849</v>
      </c>
      <c r="AD16" s="59">
        <f t="shared" si="2"/>
        <v>1704995.0616834115</v>
      </c>
      <c r="AE16" s="124"/>
      <c r="AF16" s="125"/>
      <c r="AG16" s="125"/>
      <c r="AH16" s="125"/>
      <c r="AI16" s="125"/>
      <c r="AJ16" s="125"/>
      <c r="AK16" s="125"/>
      <c r="AL16" s="125"/>
      <c r="AM16" s="125"/>
    </row>
    <row r="17" spans="2:39" x14ac:dyDescent="0.2">
      <c r="D17" s="60"/>
      <c r="E17" s="16"/>
      <c r="F17" s="60">
        <f>SUM(F9:F16)</f>
        <v>432172631.8405416</v>
      </c>
      <c r="L17" s="25"/>
      <c r="M17" s="25"/>
      <c r="N17" s="25"/>
      <c r="O17" s="25"/>
      <c r="P17" s="166"/>
      <c r="Q17" s="16"/>
      <c r="R17" s="60">
        <f>SUM(R9:R16)</f>
        <v>110685967.99764279</v>
      </c>
      <c r="S17" s="16"/>
      <c r="T17" s="16"/>
      <c r="U17" s="16"/>
      <c r="V17" s="16"/>
      <c r="W17" s="16"/>
      <c r="X17" s="6"/>
      <c r="Y17" s="25"/>
      <c r="Z17" s="25"/>
      <c r="AA17" s="25"/>
      <c r="AB17" s="166"/>
      <c r="AC17" s="16"/>
      <c r="AD17" s="60">
        <f>SUM(AD9:AD16)</f>
        <v>3726748.9584193383</v>
      </c>
      <c r="AE17" s="16"/>
      <c r="AF17" s="16"/>
      <c r="AG17" s="16"/>
      <c r="AH17" s="16"/>
      <c r="AI17" s="16"/>
      <c r="AJ17" s="6"/>
    </row>
    <row r="18" spans="2:39" x14ac:dyDescent="0.2">
      <c r="D18" s="61"/>
      <c r="E18" s="16"/>
      <c r="F18" s="61"/>
      <c r="L18" s="25"/>
      <c r="M18" s="25"/>
      <c r="N18" s="25"/>
      <c r="O18" s="25"/>
      <c r="P18" s="167"/>
      <c r="Q18" s="16"/>
      <c r="R18" s="61"/>
      <c r="S18" s="16"/>
      <c r="T18" s="16"/>
      <c r="U18" s="16"/>
      <c r="V18" s="16"/>
      <c r="W18" s="16"/>
      <c r="X18" s="6"/>
      <c r="Y18" s="25"/>
      <c r="Z18" s="25"/>
      <c r="AA18" s="25"/>
      <c r="AB18" s="167"/>
      <c r="AC18" s="16"/>
      <c r="AD18" s="61"/>
      <c r="AE18" s="16"/>
      <c r="AF18" s="16"/>
      <c r="AG18" s="16"/>
      <c r="AH18" s="16"/>
      <c r="AI18" s="16"/>
      <c r="AJ18" s="6"/>
    </row>
    <row r="19" spans="2:39" x14ac:dyDescent="0.2">
      <c r="B19" s="2" t="s">
        <v>244</v>
      </c>
      <c r="E19" s="5"/>
      <c r="M19" s="25"/>
      <c r="N19" s="25"/>
      <c r="O19" s="25"/>
      <c r="P19" s="167"/>
      <c r="Q19" s="16"/>
      <c r="R19" s="61"/>
      <c r="S19" s="16"/>
      <c r="T19" s="16"/>
      <c r="U19" s="16"/>
      <c r="V19" s="16"/>
      <c r="W19" s="16"/>
      <c r="X19" s="6"/>
      <c r="Y19" s="25"/>
      <c r="Z19" s="25"/>
      <c r="AA19" s="25"/>
      <c r="AB19" s="167"/>
      <c r="AC19" s="16"/>
      <c r="AD19" s="61"/>
      <c r="AE19" s="16"/>
      <c r="AF19" s="16"/>
      <c r="AG19" s="16"/>
      <c r="AH19" s="16"/>
      <c r="AI19" s="16"/>
      <c r="AJ19" s="6"/>
      <c r="AK19" s="25"/>
      <c r="AL19" s="25"/>
    </row>
    <row r="20" spans="2:39" x14ac:dyDescent="0.2">
      <c r="M20" s="25"/>
      <c r="N20" s="25"/>
      <c r="O20" s="25"/>
      <c r="P20" s="167"/>
      <c r="Q20" s="16"/>
      <c r="R20" s="61"/>
      <c r="S20" s="16"/>
      <c r="T20" s="16"/>
      <c r="U20" s="16"/>
      <c r="V20" s="16"/>
      <c r="W20" s="16"/>
      <c r="X20" s="6"/>
      <c r="Y20" s="25"/>
      <c r="Z20" s="25"/>
      <c r="AA20" s="25"/>
      <c r="AB20" s="167"/>
      <c r="AC20" s="16"/>
      <c r="AD20" s="61"/>
      <c r="AE20" s="16"/>
      <c r="AF20" s="16"/>
      <c r="AG20" s="16"/>
      <c r="AH20" s="16"/>
      <c r="AI20" s="16"/>
      <c r="AJ20" s="6"/>
      <c r="AK20" s="25"/>
      <c r="AL20" s="25"/>
    </row>
    <row r="21" spans="2:39" ht="17.100000000000001" customHeight="1" x14ac:dyDescent="0.2">
      <c r="C21" s="443" t="s">
        <v>37</v>
      </c>
      <c r="D21" s="457" t="s">
        <v>355</v>
      </c>
      <c r="E21" s="450" t="s">
        <v>356</v>
      </c>
      <c r="F21" s="450" t="s">
        <v>82</v>
      </c>
      <c r="G21" s="450" t="s">
        <v>85</v>
      </c>
      <c r="H21" s="450" t="s">
        <v>357</v>
      </c>
      <c r="I21" s="450" t="s">
        <v>83</v>
      </c>
      <c r="J21" s="450" t="s">
        <v>84</v>
      </c>
      <c r="K21" s="450" t="s">
        <v>0</v>
      </c>
      <c r="L21" s="450" t="s">
        <v>4</v>
      </c>
      <c r="M21" s="499"/>
      <c r="N21" s="499"/>
      <c r="O21" s="499"/>
      <c r="P21" s="457" t="s">
        <v>355</v>
      </c>
      <c r="Q21" s="450" t="s">
        <v>356</v>
      </c>
      <c r="R21" s="450" t="s">
        <v>82</v>
      </c>
      <c r="S21" s="450" t="s">
        <v>85</v>
      </c>
      <c r="T21" s="450" t="s">
        <v>357</v>
      </c>
      <c r="U21" s="450" t="s">
        <v>83</v>
      </c>
      <c r="V21" s="450" t="s">
        <v>84</v>
      </c>
      <c r="W21" s="450" t="s">
        <v>0</v>
      </c>
      <c r="X21" s="450" t="s">
        <v>4</v>
      </c>
      <c r="Y21" s="499"/>
      <c r="Z21" s="499"/>
      <c r="AA21" s="499"/>
      <c r="AB21" s="457" t="s">
        <v>355</v>
      </c>
      <c r="AC21" s="450" t="s">
        <v>356</v>
      </c>
      <c r="AD21" s="450" t="s">
        <v>82</v>
      </c>
      <c r="AE21" s="450" t="s">
        <v>85</v>
      </c>
      <c r="AF21" s="450" t="s">
        <v>357</v>
      </c>
      <c r="AG21" s="450" t="s">
        <v>83</v>
      </c>
      <c r="AH21" s="450" t="s">
        <v>84</v>
      </c>
      <c r="AI21" s="450" t="s">
        <v>0</v>
      </c>
      <c r="AJ21" s="450" t="s">
        <v>4</v>
      </c>
      <c r="AK21" s="500"/>
      <c r="AL21" s="501"/>
      <c r="AM21" s="129"/>
    </row>
    <row r="22" spans="2:39" x14ac:dyDescent="0.2">
      <c r="C22" s="461"/>
      <c r="D22" s="467">
        <f>F9</f>
        <v>27749954.923995249</v>
      </c>
      <c r="E22" s="466">
        <f>F10</f>
        <v>18132392.978761882</v>
      </c>
      <c r="F22" s="466">
        <f>F11</f>
        <v>144691111.91917351</v>
      </c>
      <c r="G22" s="466">
        <f>F12</f>
        <v>62911668.289009258</v>
      </c>
      <c r="H22" s="466">
        <f>F13</f>
        <v>11695525.185688965</v>
      </c>
      <c r="I22" s="466">
        <f>F14</f>
        <v>42083205.876351908</v>
      </c>
      <c r="J22" s="466">
        <f>F15</f>
        <v>48970651.755547799</v>
      </c>
      <c r="K22" s="466">
        <f>F16</f>
        <v>75938120.912012979</v>
      </c>
      <c r="L22" s="66">
        <f>SUM(D22:K22)</f>
        <v>432172631.8405416</v>
      </c>
      <c r="M22" s="499"/>
      <c r="N22" s="499"/>
      <c r="O22" s="499"/>
      <c r="P22" s="467">
        <f>R9</f>
        <v>6906995.6628232896</v>
      </c>
      <c r="Q22" s="466">
        <f>R10</f>
        <v>2156575.0251518753</v>
      </c>
      <c r="R22" s="466">
        <f>R11</f>
        <v>32563494.669775747</v>
      </c>
      <c r="S22" s="466">
        <f>R12</f>
        <v>13782017.577377586</v>
      </c>
      <c r="T22" s="466">
        <f>R13</f>
        <v>1022906.7826474999</v>
      </c>
      <c r="U22" s="466">
        <f>R14</f>
        <v>38174523.719528608</v>
      </c>
      <c r="V22" s="466">
        <f>R15</f>
        <v>8220906.2894485267</v>
      </c>
      <c r="W22" s="466">
        <f>R16</f>
        <v>7858548.2708896548</v>
      </c>
      <c r="X22" s="66">
        <f>SUM(P22:W22)</f>
        <v>110685967.99764279</v>
      </c>
      <c r="Y22" s="499"/>
      <c r="Z22" s="499"/>
      <c r="AA22" s="499"/>
      <c r="AB22" s="467">
        <f>AD9</f>
        <v>0</v>
      </c>
      <c r="AC22" s="466">
        <f>AD10</f>
        <v>0</v>
      </c>
      <c r="AD22" s="466">
        <f>AD11</f>
        <v>0</v>
      </c>
      <c r="AE22" s="466">
        <f>AD12</f>
        <v>0</v>
      </c>
      <c r="AF22" s="466">
        <f>AD13</f>
        <v>0</v>
      </c>
      <c r="AG22" s="466">
        <f>AD14</f>
        <v>0</v>
      </c>
      <c r="AH22" s="466">
        <f>AD15</f>
        <v>2021753.8967359269</v>
      </c>
      <c r="AI22" s="466">
        <f>AD16</f>
        <v>1704995.0616834115</v>
      </c>
      <c r="AJ22" s="66">
        <f>SUM(AB22:AI22)</f>
        <v>3726748.9584193383</v>
      </c>
      <c r="AK22" s="500"/>
      <c r="AL22" s="501"/>
    </row>
    <row r="23" spans="2:39" x14ac:dyDescent="0.2">
      <c r="C23" s="468" t="s">
        <v>353</v>
      </c>
      <c r="D23" s="705">
        <f>D$22*'Inputs - tariff class'!D78</f>
        <v>278283.17277133325</v>
      </c>
      <c r="E23" s="470"/>
      <c r="F23" s="470"/>
      <c r="G23" s="470"/>
      <c r="H23" s="470"/>
      <c r="I23" s="470"/>
      <c r="J23" s="470"/>
      <c r="K23" s="470"/>
      <c r="L23" s="469">
        <f>SUM(D23:K23)</f>
        <v>278283.17277133325</v>
      </c>
      <c r="M23" s="258"/>
      <c r="N23" s="258"/>
      <c r="O23" s="258"/>
      <c r="P23" s="469">
        <f>P$22*'Inputs - tariff class'!Y78</f>
        <v>483792.41476639058</v>
      </c>
      <c r="Q23" s="470"/>
      <c r="R23" s="470"/>
      <c r="S23" s="470"/>
      <c r="T23" s="470"/>
      <c r="U23" s="470"/>
      <c r="V23" s="470"/>
      <c r="W23" s="470"/>
      <c r="X23" s="469">
        <f>SUM(P23:W23)</f>
        <v>483792.41476639058</v>
      </c>
      <c r="Y23" s="258"/>
      <c r="Z23" s="258"/>
      <c r="AA23" s="258"/>
      <c r="AB23" s="485"/>
      <c r="AC23" s="470"/>
      <c r="AD23" s="470"/>
      <c r="AE23" s="470"/>
      <c r="AF23" s="470"/>
      <c r="AG23" s="470"/>
      <c r="AH23" s="470"/>
      <c r="AI23" s="470"/>
      <c r="AJ23" s="473"/>
      <c r="AK23" s="258"/>
      <c r="AL23" s="258"/>
    </row>
    <row r="24" spans="2:39" x14ac:dyDescent="0.2">
      <c r="C24" s="471" t="s">
        <v>358</v>
      </c>
      <c r="D24" s="706">
        <f>D$22*'Inputs - tariff class'!D79</f>
        <v>4340144.9401583886</v>
      </c>
      <c r="E24" s="472">
        <f>E$22*'Inputs - tariff class'!E79</f>
        <v>4054250.2810601913</v>
      </c>
      <c r="F24" s="472">
        <f>F$22*'Inputs - tariff class'!F79</f>
        <v>18555100.1049596</v>
      </c>
      <c r="G24" s="473"/>
      <c r="H24" s="473"/>
      <c r="I24" s="473"/>
      <c r="J24" s="473"/>
      <c r="K24" s="473"/>
      <c r="L24" s="472">
        <f t="shared" ref="L24:L33" si="3">SUM(D24:K24)</f>
        <v>26949495.326178178</v>
      </c>
      <c r="M24" s="258"/>
      <c r="N24" s="258"/>
      <c r="O24" s="258"/>
      <c r="P24" s="472">
        <f>P$22*'Inputs - tariff class'!Y79</f>
        <v>671677.84600567957</v>
      </c>
      <c r="Q24" s="472">
        <f>Q$22*'Inputs - tariff class'!Z79</f>
        <v>275029.13898416428</v>
      </c>
      <c r="R24" s="472">
        <f>R$22*'Inputs - tariff class'!AA79</f>
        <v>2217840.9458317128</v>
      </c>
      <c r="S24" s="473"/>
      <c r="T24" s="473"/>
      <c r="U24" s="473"/>
      <c r="V24" s="473"/>
      <c r="W24" s="473"/>
      <c r="X24" s="472">
        <f t="shared" ref="X24:X33" si="4">SUM(P24:W24)</f>
        <v>3164547.9308215566</v>
      </c>
      <c r="Y24" s="258"/>
      <c r="Z24" s="258"/>
      <c r="AA24" s="258"/>
      <c r="AB24" s="484"/>
      <c r="AC24" s="473"/>
      <c r="AD24" s="473"/>
      <c r="AE24" s="473"/>
      <c r="AF24" s="473"/>
      <c r="AG24" s="473"/>
      <c r="AH24" s="473"/>
      <c r="AI24" s="473"/>
      <c r="AJ24" s="473"/>
      <c r="AK24" s="258"/>
      <c r="AL24" s="258"/>
    </row>
    <row r="25" spans="2:39" x14ac:dyDescent="0.2">
      <c r="C25" s="471" t="s">
        <v>234</v>
      </c>
      <c r="D25" s="706">
        <f>D$22*'Inputs - tariff class'!D80</f>
        <v>338764.36770369264</v>
      </c>
      <c r="E25" s="472">
        <f>E$22*'Inputs - tariff class'!E80</f>
        <v>203049.33309885324</v>
      </c>
      <c r="F25" s="472">
        <f>F$22*'Inputs - tariff class'!F80</f>
        <v>1858593.0520842324</v>
      </c>
      <c r="G25" s="472">
        <f>G$22*'Inputs - tariff class'!G80</f>
        <v>947476.51976282941</v>
      </c>
      <c r="H25" s="472">
        <f>H$22*'Inputs - tariff class'!H80</f>
        <v>176139.59065318582</v>
      </c>
      <c r="I25" s="473"/>
      <c r="J25" s="473"/>
      <c r="K25" s="473"/>
      <c r="L25" s="472">
        <f t="shared" si="3"/>
        <v>3524022.8633027934</v>
      </c>
      <c r="M25" s="258"/>
      <c r="N25" s="258"/>
      <c r="O25" s="258"/>
      <c r="P25" s="472">
        <f>P$22*'Inputs - tariff class'!Y80</f>
        <v>573338.62186898221</v>
      </c>
      <c r="Q25" s="472">
        <f>Q$22*'Inputs - tariff class'!Z80</f>
        <v>187810.0681232356</v>
      </c>
      <c r="R25" s="472">
        <f>R$22*'Inputs - tariff class'!AA80</f>
        <v>3029008.9309201408</v>
      </c>
      <c r="S25" s="472">
        <f>S$22*'Inputs - tariff class'!AB80</f>
        <v>1385126.302833718</v>
      </c>
      <c r="T25" s="472">
        <f>T$22*'Inputs - tariff class'!AC80</f>
        <v>104765.94079130527</v>
      </c>
      <c r="U25" s="473"/>
      <c r="V25" s="473"/>
      <c r="W25" s="473"/>
      <c r="X25" s="472">
        <f t="shared" si="4"/>
        <v>5280049.8645373816</v>
      </c>
      <c r="Y25" s="258"/>
      <c r="Z25" s="258"/>
      <c r="AA25" s="258"/>
      <c r="AB25" s="484"/>
      <c r="AC25" s="473"/>
      <c r="AD25" s="473"/>
      <c r="AE25" s="473"/>
      <c r="AF25" s="473"/>
      <c r="AG25" s="473"/>
      <c r="AH25" s="473"/>
      <c r="AI25" s="473"/>
      <c r="AJ25" s="473"/>
      <c r="AK25" s="258"/>
      <c r="AL25" s="258"/>
    </row>
    <row r="26" spans="2:39" x14ac:dyDescent="0.2">
      <c r="C26" s="471" t="s">
        <v>285</v>
      </c>
      <c r="D26" s="706">
        <f>D$22*'Inputs - tariff class'!D81</f>
        <v>9182.4776940791326</v>
      </c>
      <c r="E26" s="472">
        <f>E$22*'Inputs - tariff class'!E81</f>
        <v>5503.8137116259068</v>
      </c>
      <c r="F26" s="472">
        <f>F$22*'Inputs - tariff class'!F81</f>
        <v>50378.64329952636</v>
      </c>
      <c r="G26" s="472">
        <f>G$22*'Inputs - tariff class'!G81</f>
        <v>25682.104842843757</v>
      </c>
      <c r="H26" s="472">
        <f>H$22*'Inputs - tariff class'!H81</f>
        <v>4774.4037343142272</v>
      </c>
      <c r="I26" s="472">
        <f>I$22*'Inputs - tariff class'!I81</f>
        <v>17909.292303526327</v>
      </c>
      <c r="J26" s="473"/>
      <c r="K26" s="473"/>
      <c r="L26" s="472">
        <f t="shared" si="3"/>
        <v>113430.7355859157</v>
      </c>
      <c r="M26" s="258"/>
      <c r="N26" s="258"/>
      <c r="O26" s="258"/>
      <c r="P26" s="472">
        <f>P$22*'Inputs - tariff class'!Y81</f>
        <v>0</v>
      </c>
      <c r="Q26" s="472">
        <f>Q$22*'Inputs - tariff class'!Z81</f>
        <v>0</v>
      </c>
      <c r="R26" s="472">
        <f>R$22*'Inputs - tariff class'!AA81</f>
        <v>0</v>
      </c>
      <c r="S26" s="472">
        <f>S$22*'Inputs - tariff class'!AB81</f>
        <v>0</v>
      </c>
      <c r="T26" s="472">
        <f>T$22*'Inputs - tariff class'!AC81</f>
        <v>0</v>
      </c>
      <c r="U26" s="472">
        <f>U$22*'Inputs - tariff class'!AD81</f>
        <v>0</v>
      </c>
      <c r="V26" s="473"/>
      <c r="W26" s="473"/>
      <c r="X26" s="472">
        <f t="shared" si="4"/>
        <v>0</v>
      </c>
      <c r="Y26" s="258"/>
      <c r="Z26" s="258"/>
      <c r="AA26" s="258"/>
      <c r="AB26" s="484"/>
      <c r="AC26" s="473"/>
      <c r="AD26" s="473"/>
      <c r="AE26" s="473"/>
      <c r="AF26" s="473"/>
      <c r="AG26" s="473"/>
      <c r="AH26" s="473"/>
      <c r="AI26" s="473"/>
      <c r="AJ26" s="473"/>
      <c r="AK26" s="258"/>
      <c r="AL26" s="258"/>
    </row>
    <row r="27" spans="2:39" x14ac:dyDescent="0.2">
      <c r="C27" s="471" t="s">
        <v>354</v>
      </c>
      <c r="D27" s="706">
        <f>D$22*'Inputs - tariff class'!D82</f>
        <v>0</v>
      </c>
      <c r="E27" s="473"/>
      <c r="F27" s="473"/>
      <c r="G27" s="473"/>
      <c r="H27" s="473"/>
      <c r="I27" s="473"/>
      <c r="J27" s="473"/>
      <c r="K27" s="473"/>
      <c r="L27" s="472">
        <f t="shared" si="3"/>
        <v>0</v>
      </c>
      <c r="M27" s="258"/>
      <c r="N27" s="258"/>
      <c r="O27" s="258"/>
      <c r="P27" s="472">
        <f>P$22*'Inputs - tariff class'!Y82</f>
        <v>36817.362428633773</v>
      </c>
      <c r="Q27" s="473"/>
      <c r="R27" s="473"/>
      <c r="S27" s="473"/>
      <c r="T27" s="473"/>
      <c r="U27" s="473"/>
      <c r="V27" s="473"/>
      <c r="W27" s="473"/>
      <c r="X27" s="472">
        <f t="shared" si="4"/>
        <v>36817.362428633773</v>
      </c>
      <c r="Y27" s="258"/>
      <c r="Z27" s="258"/>
      <c r="AA27" s="258"/>
      <c r="AB27" s="484"/>
      <c r="AC27" s="473"/>
      <c r="AD27" s="473"/>
      <c r="AE27" s="473"/>
      <c r="AF27" s="473"/>
      <c r="AG27" s="473"/>
      <c r="AH27" s="473"/>
      <c r="AI27" s="473"/>
      <c r="AJ27" s="473"/>
      <c r="AK27" s="258"/>
      <c r="AL27" s="258"/>
    </row>
    <row r="28" spans="2:39" x14ac:dyDescent="0.2">
      <c r="C28" s="471" t="s">
        <v>359</v>
      </c>
      <c r="D28" s="706">
        <f>D$22*'Inputs - tariff class'!D83</f>
        <v>637849.04220059433</v>
      </c>
      <c r="E28" s="472">
        <f>E$22*'Inputs - tariff class'!E83</f>
        <v>595832.55726970278</v>
      </c>
      <c r="F28" s="472">
        <f>F$22*'Inputs - tariff class'!F83</f>
        <v>2726948.7524194783</v>
      </c>
      <c r="G28" s="473"/>
      <c r="H28" s="473"/>
      <c r="I28" s="473"/>
      <c r="J28" s="473"/>
      <c r="K28" s="473"/>
      <c r="L28" s="472">
        <f t="shared" si="3"/>
        <v>3960630.3518897751</v>
      </c>
      <c r="M28" s="258"/>
      <c r="N28" s="258"/>
      <c r="O28" s="258"/>
      <c r="P28" s="472">
        <f>P$22*'Inputs - tariff class'!Y83</f>
        <v>31343.847880910223</v>
      </c>
      <c r="Q28" s="472">
        <f>Q$22*'Inputs - tariff class'!Z83</f>
        <v>12834.235260849244</v>
      </c>
      <c r="R28" s="472">
        <f>R$22*'Inputs - tariff class'!AA83</f>
        <v>206991.10337968607</v>
      </c>
      <c r="S28" s="473"/>
      <c r="T28" s="473"/>
      <c r="U28" s="473"/>
      <c r="V28" s="473"/>
      <c r="W28" s="473"/>
      <c r="X28" s="472">
        <f t="shared" si="4"/>
        <v>251169.18652144555</v>
      </c>
      <c r="Y28" s="258"/>
      <c r="Z28" s="258"/>
      <c r="AA28" s="258"/>
      <c r="AB28" s="484"/>
      <c r="AC28" s="473"/>
      <c r="AD28" s="473"/>
      <c r="AE28" s="473"/>
      <c r="AF28" s="473"/>
      <c r="AG28" s="473"/>
      <c r="AH28" s="473"/>
      <c r="AI28" s="473"/>
      <c r="AJ28" s="473"/>
      <c r="AK28" s="258"/>
      <c r="AL28" s="258"/>
    </row>
    <row r="29" spans="2:39" x14ac:dyDescent="0.2">
      <c r="C29" s="471" t="s">
        <v>235</v>
      </c>
      <c r="D29" s="706">
        <f>D$22*'Inputs - tariff class'!D84</f>
        <v>577952.53047100792</v>
      </c>
      <c r="E29" s="472">
        <f>E$22*'Inputs - tariff class'!E84</f>
        <v>346414.46109107311</v>
      </c>
      <c r="F29" s="472">
        <f>F$22*'Inputs - tariff class'!F84</f>
        <v>3170872.3229931574</v>
      </c>
      <c r="G29" s="472">
        <f>G$22*'Inputs - tariff class'!G84</f>
        <v>1616452.3319576455</v>
      </c>
      <c r="H29" s="472">
        <f>H$22*'Inputs - tariff class'!H84</f>
        <v>300504.81053892308</v>
      </c>
      <c r="I29" s="473"/>
      <c r="J29" s="473"/>
      <c r="K29" s="473"/>
      <c r="L29" s="472">
        <f t="shared" si="3"/>
        <v>6012196.4570518071</v>
      </c>
      <c r="M29" s="258"/>
      <c r="N29" s="258"/>
      <c r="O29" s="258"/>
      <c r="P29" s="472">
        <f>P$22*'Inputs - tariff class'!Y84</f>
        <v>0</v>
      </c>
      <c r="Q29" s="472">
        <f>Q$22*'Inputs - tariff class'!Z84</f>
        <v>0</v>
      </c>
      <c r="R29" s="472">
        <f>R$22*'Inputs - tariff class'!AA84</f>
        <v>0</v>
      </c>
      <c r="S29" s="472">
        <f>S$22*'Inputs - tariff class'!AB84</f>
        <v>0</v>
      </c>
      <c r="T29" s="472">
        <f>T$22*'Inputs - tariff class'!AC84</f>
        <v>0</v>
      </c>
      <c r="U29" s="473"/>
      <c r="V29" s="473"/>
      <c r="W29" s="473"/>
      <c r="X29" s="472">
        <f t="shared" si="4"/>
        <v>0</v>
      </c>
      <c r="Y29" s="258"/>
      <c r="Z29" s="258"/>
      <c r="AA29" s="258"/>
      <c r="AB29" s="484"/>
      <c r="AC29" s="473"/>
      <c r="AD29" s="473"/>
      <c r="AE29" s="473"/>
      <c r="AF29" s="473"/>
      <c r="AG29" s="473"/>
      <c r="AH29" s="473"/>
      <c r="AI29" s="473"/>
      <c r="AJ29" s="473"/>
      <c r="AK29" s="258"/>
      <c r="AL29" s="258"/>
    </row>
    <row r="30" spans="2:39" x14ac:dyDescent="0.2">
      <c r="C30" s="471" t="s">
        <v>236</v>
      </c>
      <c r="D30" s="706">
        <f>D$22*'Inputs - tariff class'!D85</f>
        <v>964362.44211195048</v>
      </c>
      <c r="E30" s="472">
        <f>E$22*'Inputs - tariff class'!E85</f>
        <v>578021.6852903642</v>
      </c>
      <c r="F30" s="472">
        <f>F$22*'Inputs - tariff class'!F85</f>
        <v>5290867.3564156462</v>
      </c>
      <c r="G30" s="472">
        <f>G$22*'Inputs - tariff class'!G85</f>
        <v>2697186.769186452</v>
      </c>
      <c r="H30" s="472">
        <f>H$22*'Inputs - tariff class'!H85</f>
        <v>501417.56922758557</v>
      </c>
      <c r="I30" s="472">
        <f>I$22*'Inputs - tariff class'!I85</f>
        <v>1880870.2223651239</v>
      </c>
      <c r="J30" s="473"/>
      <c r="K30" s="473"/>
      <c r="L30" s="472">
        <f t="shared" si="3"/>
        <v>11912726.044597123</v>
      </c>
      <c r="M30" s="258"/>
      <c r="N30" s="258"/>
      <c r="O30" s="258"/>
      <c r="P30" s="472">
        <f>P$22*'Inputs - tariff class'!Y85</f>
        <v>85438.37125188754</v>
      </c>
      <c r="Q30" s="472">
        <f>Q$22*'Inputs - tariff class'!Z85</f>
        <v>34984.095160133227</v>
      </c>
      <c r="R30" s="472">
        <f>R$22*'Inputs - tariff class'!AA85</f>
        <v>564225.00528923201</v>
      </c>
      <c r="S30" s="472">
        <f>S$22*'Inputs - tariff class'!AB85</f>
        <v>258012.7405914253</v>
      </c>
      <c r="T30" s="472">
        <f>T$22*'Inputs - tariff class'!AC85</f>
        <v>0</v>
      </c>
      <c r="U30" s="472">
        <f>U$22*'Inputs - tariff class'!AD85</f>
        <v>638268.65155869036</v>
      </c>
      <c r="V30" s="473"/>
      <c r="W30" s="473"/>
      <c r="X30" s="472">
        <f t="shared" si="4"/>
        <v>1580928.8638513684</v>
      </c>
      <c r="Y30" s="258"/>
      <c r="Z30" s="258"/>
      <c r="AA30" s="258"/>
      <c r="AB30" s="484"/>
      <c r="AC30" s="473"/>
      <c r="AD30" s="473"/>
      <c r="AE30" s="473"/>
      <c r="AF30" s="473"/>
      <c r="AG30" s="473"/>
      <c r="AH30" s="473"/>
      <c r="AI30" s="473"/>
      <c r="AJ30" s="473"/>
      <c r="AK30" s="258"/>
      <c r="AL30" s="258"/>
    </row>
    <row r="31" spans="2:39" x14ac:dyDescent="0.2">
      <c r="C31" s="471" t="s">
        <v>237</v>
      </c>
      <c r="D31" s="706">
        <f>D$22*'Inputs - tariff class'!D86</f>
        <v>348235.95940634591</v>
      </c>
      <c r="E31" s="472">
        <f>E$22*'Inputs - tariff class'!E86</f>
        <v>208726.4366019305</v>
      </c>
      <c r="F31" s="472">
        <f>F$22*'Inputs - tariff class'!F86</f>
        <v>1910557.8872587737</v>
      </c>
      <c r="G31" s="472">
        <f>G$22*'Inputs - tariff class'!G86</f>
        <v>973967.23602049018</v>
      </c>
      <c r="H31" s="472">
        <f>H$22*'Inputs - tariff class'!H86</f>
        <v>181064.31841203524</v>
      </c>
      <c r="I31" s="472">
        <f>I$22*'Inputs - tariff class'!I86</f>
        <v>679191.36810194259</v>
      </c>
      <c r="J31" s="473"/>
      <c r="K31" s="473"/>
      <c r="L31" s="472">
        <f t="shared" si="3"/>
        <v>4301743.2058015177</v>
      </c>
      <c r="M31" s="258"/>
      <c r="N31" s="258"/>
      <c r="O31" s="258"/>
      <c r="P31" s="472">
        <f>P$22*'Inputs - tariff class'!Y86</f>
        <v>51910.589602654298</v>
      </c>
      <c r="Q31" s="472">
        <f>Q$22*'Inputs - tariff class'!Z86</f>
        <v>17004.490885003943</v>
      </c>
      <c r="R31" s="472">
        <f>R$22*'Inputs - tariff class'!AA86</f>
        <v>274249.16710338346</v>
      </c>
      <c r="S31" s="472">
        <f>S$22*'Inputs - tariff class'!AB86</f>
        <v>125410.56944646929</v>
      </c>
      <c r="T31" s="472">
        <f>T$22*'Inputs - tariff class'!AC86</f>
        <v>9485.6016136240869</v>
      </c>
      <c r="U31" s="472">
        <f>U$22*'Inputs - tariff class'!AD86</f>
        <v>387798.84894599678</v>
      </c>
      <c r="V31" s="473"/>
      <c r="W31" s="473"/>
      <c r="X31" s="472">
        <f t="shared" si="4"/>
        <v>865859.2675971319</v>
      </c>
      <c r="Y31" s="258"/>
      <c r="Z31" s="258"/>
      <c r="AA31" s="258"/>
      <c r="AB31" s="484"/>
      <c r="AC31" s="473"/>
      <c r="AD31" s="473"/>
      <c r="AE31" s="473"/>
      <c r="AF31" s="473"/>
      <c r="AG31" s="473"/>
      <c r="AH31" s="473"/>
      <c r="AI31" s="473"/>
      <c r="AJ31" s="473"/>
      <c r="AK31" s="258"/>
      <c r="AL31" s="258"/>
    </row>
    <row r="32" spans="2:39" x14ac:dyDescent="0.2">
      <c r="C32" s="471" t="s">
        <v>239</v>
      </c>
      <c r="D32" s="706">
        <f>D$22*'Inputs - tariff class'!D87</f>
        <v>1343745.3720397374</v>
      </c>
      <c r="E32" s="472">
        <f>E$22*'Inputs - tariff class'!E87</f>
        <v>805417.06170818466</v>
      </c>
      <c r="F32" s="472">
        <f>F$22*'Inputs - tariff class'!F87</f>
        <v>7372309.6356694382</v>
      </c>
      <c r="G32" s="472">
        <f>G$22*'Inputs - tariff class'!G87</f>
        <v>3758267.722127202</v>
      </c>
      <c r="H32" s="472">
        <f>H$22*'Inputs - tariff class'!H87</f>
        <v>698676.6683213131</v>
      </c>
      <c r="I32" s="472">
        <f>I$22*'Inputs - tariff class'!I87</f>
        <v>2620809.9220200512</v>
      </c>
      <c r="J32" s="472">
        <f>J$22*'Inputs - tariff class'!J87</f>
        <v>3248753.4887358863</v>
      </c>
      <c r="K32" s="473"/>
      <c r="L32" s="472">
        <f t="shared" si="3"/>
        <v>19847979.870621815</v>
      </c>
      <c r="M32" s="258"/>
      <c r="N32" s="258"/>
      <c r="O32" s="258"/>
      <c r="P32" s="472">
        <f>P$22*'Inputs - tariff class'!Y87</f>
        <v>237267.09002761819</v>
      </c>
      <c r="Q32" s="472">
        <f>Q$22*'Inputs - tariff class'!Z87</f>
        <v>77722.216229263271</v>
      </c>
      <c r="R32" s="472">
        <f>R$22*'Inputs - tariff class'!AA87</f>
        <v>1253507.2770159908</v>
      </c>
      <c r="S32" s="472">
        <f>S$22*'Inputs - tariff class'!AB87</f>
        <v>573212.53907986463</v>
      </c>
      <c r="T32" s="472">
        <f>T$22*'Inputs - tariff class'!AC87</f>
        <v>43355.722006879063</v>
      </c>
      <c r="U32" s="472">
        <f>U$22*'Inputs - tariff class'!AD87</f>
        <v>1772507.4037835966</v>
      </c>
      <c r="V32" s="472">
        <f>V$22*'Inputs - tariff class'!AE87</f>
        <v>392253.64246486366</v>
      </c>
      <c r="W32" s="473"/>
      <c r="X32" s="472">
        <f t="shared" si="4"/>
        <v>4349825.8906080769</v>
      </c>
      <c r="Y32" s="258"/>
      <c r="Z32" s="258"/>
      <c r="AA32" s="258"/>
      <c r="AB32" s="484"/>
      <c r="AC32" s="473"/>
      <c r="AD32" s="473"/>
      <c r="AE32" s="473"/>
      <c r="AF32" s="473"/>
      <c r="AG32" s="473"/>
      <c r="AH32" s="472">
        <f>AH$22*'Inputs - tariff class'!AZ87</f>
        <v>140155.38595372913</v>
      </c>
      <c r="AI32" s="473"/>
      <c r="AJ32" s="472">
        <f t="shared" ref="AJ32:AJ33" si="5">SUM(AB32:AI32)</f>
        <v>140155.38595372913</v>
      </c>
      <c r="AK32" s="258"/>
      <c r="AL32" s="258"/>
    </row>
    <row r="33" spans="2:38" x14ac:dyDescent="0.2">
      <c r="C33" s="474" t="s">
        <v>240</v>
      </c>
      <c r="D33" s="707">
        <f>D$22*'Inputs - tariff class'!D88</f>
        <v>18911434.619438116</v>
      </c>
      <c r="E33" s="475">
        <f>E$22*'Inputs - tariff class'!E88</f>
        <v>11335177.348929957</v>
      </c>
      <c r="F33" s="475">
        <f>F$22*'Inputs - tariff class'!F88</f>
        <v>103755484.16407366</v>
      </c>
      <c r="G33" s="475">
        <f>G$22*'Inputs - tariff class'!G88</f>
        <v>52892635.605111793</v>
      </c>
      <c r="H33" s="475">
        <f>H$22*'Inputs - tariff class'!H88</f>
        <v>9832947.8248016089</v>
      </c>
      <c r="I33" s="475">
        <f>I$22*'Inputs - tariff class'!I88</f>
        <v>36884425.071561262</v>
      </c>
      <c r="J33" s="475">
        <f>J$22*'Inputs - tariff class'!J88</f>
        <v>45721898.266811915</v>
      </c>
      <c r="K33" s="475">
        <f>K$22*'Inputs - tariff class'!K88</f>
        <v>75938120.912012979</v>
      </c>
      <c r="L33" s="475">
        <f t="shared" si="3"/>
        <v>355272123.81274134</v>
      </c>
      <c r="M33" s="258"/>
      <c r="N33" s="258"/>
      <c r="O33" s="258"/>
      <c r="P33" s="475">
        <f>P$22*'Inputs - tariff class'!Y88</f>
        <v>4735409.5189905334</v>
      </c>
      <c r="Q33" s="475">
        <f>Q$22*'Inputs - tariff class'!Z88</f>
        <v>1551190.7805092258</v>
      </c>
      <c r="R33" s="475">
        <f>R$22*'Inputs - tariff class'!AA88</f>
        <v>25017672.240235604</v>
      </c>
      <c r="S33" s="475">
        <f>S$22*'Inputs - tariff class'!AB88</f>
        <v>11440255.425426109</v>
      </c>
      <c r="T33" s="475">
        <f>T$22*'Inputs - tariff class'!AC88</f>
        <v>865299.51823569147</v>
      </c>
      <c r="U33" s="475">
        <f>U$22*'Inputs - tariff class'!AD88</f>
        <v>35375948.815240324</v>
      </c>
      <c r="V33" s="475">
        <f>V$22*'Inputs - tariff class'!AE88</f>
        <v>7828652.6469836636</v>
      </c>
      <c r="W33" s="475">
        <f>W$22*'Inputs - tariff class'!AF88</f>
        <v>7858548.2708896548</v>
      </c>
      <c r="X33" s="475">
        <f t="shared" si="4"/>
        <v>94672977.216510803</v>
      </c>
      <c r="Y33" s="258"/>
      <c r="Z33" s="258"/>
      <c r="AA33" s="258"/>
      <c r="AB33" s="486"/>
      <c r="AC33" s="487"/>
      <c r="AD33" s="487"/>
      <c r="AE33" s="487"/>
      <c r="AF33" s="487"/>
      <c r="AG33" s="487"/>
      <c r="AH33" s="475">
        <f>AH$22*'Inputs - tariff class'!AZ88</f>
        <v>1881598.5107821976</v>
      </c>
      <c r="AI33" s="475">
        <f>AI$22*'Inputs - tariff class'!BE88</f>
        <v>1704995.0616834115</v>
      </c>
      <c r="AJ33" s="475">
        <f t="shared" si="5"/>
        <v>3586593.5724656088</v>
      </c>
      <c r="AK33" s="258"/>
      <c r="AL33" s="258"/>
    </row>
    <row r="34" spans="2:38" x14ac:dyDescent="0.2">
      <c r="D34" s="477">
        <f>SUM(D23:D33)</f>
        <v>27749954.923995249</v>
      </c>
      <c r="E34" s="476">
        <f t="shared" ref="E34:L34" si="6">SUM(E23:E33)</f>
        <v>18132392.978761882</v>
      </c>
      <c r="F34" s="476">
        <f t="shared" si="6"/>
        <v>144691111.91917351</v>
      </c>
      <c r="G34" s="476">
        <f t="shared" si="6"/>
        <v>62911668.289009258</v>
      </c>
      <c r="H34" s="476">
        <f t="shared" si="6"/>
        <v>11695525.185688965</v>
      </c>
      <c r="I34" s="476">
        <f t="shared" si="6"/>
        <v>42083205.876351908</v>
      </c>
      <c r="J34" s="476">
        <f t="shared" si="6"/>
        <v>48970651.755547799</v>
      </c>
      <c r="K34" s="476">
        <f t="shared" si="6"/>
        <v>75938120.912012979</v>
      </c>
      <c r="L34" s="476">
        <f t="shared" si="6"/>
        <v>432172631.8405416</v>
      </c>
      <c r="M34" s="25"/>
      <c r="N34" s="25"/>
      <c r="O34" s="25"/>
      <c r="P34" s="476">
        <f>SUM(P23:P33)</f>
        <v>6906995.6628232896</v>
      </c>
      <c r="Q34" s="476">
        <f t="shared" ref="Q34:X34" si="7">SUM(Q23:Q33)</f>
        <v>2156575.0251518753</v>
      </c>
      <c r="R34" s="476">
        <f t="shared" si="7"/>
        <v>32563494.66977575</v>
      </c>
      <c r="S34" s="476">
        <f t="shared" si="7"/>
        <v>13782017.577377586</v>
      </c>
      <c r="T34" s="476">
        <f t="shared" si="7"/>
        <v>1022906.7826474998</v>
      </c>
      <c r="U34" s="476">
        <f t="shared" si="7"/>
        <v>38174523.719528608</v>
      </c>
      <c r="V34" s="476">
        <f t="shared" si="7"/>
        <v>8220906.2894485276</v>
      </c>
      <c r="W34" s="476">
        <f t="shared" si="7"/>
        <v>7858548.2708896548</v>
      </c>
      <c r="X34" s="476">
        <f t="shared" si="7"/>
        <v>110685967.99764279</v>
      </c>
      <c r="Y34" s="25"/>
      <c r="Z34" s="25"/>
      <c r="AA34" s="25"/>
      <c r="AB34" s="477"/>
      <c r="AC34" s="476"/>
      <c r="AD34" s="476"/>
      <c r="AE34" s="476"/>
      <c r="AF34" s="476"/>
      <c r="AG34" s="476"/>
      <c r="AH34" s="476">
        <f t="shared" ref="AH34" si="8">SUM(AH23:AH33)</f>
        <v>2021753.8967359266</v>
      </c>
      <c r="AI34" s="476">
        <f t="shared" ref="AI34" si="9">SUM(AI23:AI33)</f>
        <v>1704995.0616834115</v>
      </c>
      <c r="AJ34" s="476">
        <f t="shared" ref="AJ34" si="10">SUM(AJ23:AJ33)</f>
        <v>3726748.9584193379</v>
      </c>
      <c r="AK34" s="25"/>
      <c r="AL34" s="25"/>
    </row>
    <row r="35" spans="2:38" x14ac:dyDescent="0.2">
      <c r="D35" s="61"/>
      <c r="E35" s="16"/>
      <c r="F35" s="61"/>
      <c r="L35" s="25"/>
      <c r="M35" s="25"/>
      <c r="N35" s="25"/>
      <c r="O35" s="25"/>
      <c r="P35" s="167"/>
      <c r="Q35" s="16"/>
      <c r="R35" s="61"/>
      <c r="S35" s="16"/>
      <c r="T35" s="16"/>
      <c r="U35" s="16"/>
      <c r="V35" s="16"/>
      <c r="W35" s="16"/>
      <c r="X35" s="6"/>
      <c r="Y35" s="25"/>
      <c r="Z35" s="25"/>
      <c r="AA35" s="25"/>
      <c r="AB35" s="167"/>
      <c r="AC35" s="16"/>
      <c r="AD35" s="61"/>
      <c r="AE35" s="16"/>
      <c r="AF35" s="16"/>
      <c r="AG35" s="16"/>
      <c r="AH35" s="16"/>
      <c r="AI35" s="16"/>
      <c r="AJ35" s="6"/>
      <c r="AK35" s="25"/>
      <c r="AL35" s="25"/>
    </row>
    <row r="36" spans="2:38" x14ac:dyDescent="0.2">
      <c r="B36" s="2" t="s">
        <v>300</v>
      </c>
      <c r="P36" s="131"/>
      <c r="Q36" s="16"/>
      <c r="R36" s="16"/>
      <c r="S36" s="16"/>
      <c r="T36" s="16"/>
      <c r="U36" s="16"/>
      <c r="V36" s="16"/>
      <c r="W36" s="16"/>
      <c r="X36" s="16"/>
      <c r="AB36" s="131"/>
      <c r="AC36" s="16"/>
      <c r="AD36" s="16"/>
      <c r="AE36" s="16"/>
      <c r="AF36" s="16"/>
      <c r="AG36" s="16"/>
      <c r="AH36" s="16"/>
      <c r="AI36" s="16"/>
      <c r="AJ36" s="16"/>
    </row>
    <row r="37" spans="2:38" x14ac:dyDescent="0.2">
      <c r="P37" s="131"/>
      <c r="Q37" s="16"/>
      <c r="R37" s="16"/>
      <c r="T37" s="16"/>
      <c r="U37" s="16"/>
      <c r="V37" s="16"/>
      <c r="W37" s="16"/>
      <c r="X37" s="16"/>
      <c r="AB37" s="131"/>
      <c r="AC37" s="16"/>
      <c r="AD37" s="16"/>
      <c r="AF37" s="16"/>
      <c r="AG37" s="16"/>
      <c r="AH37" s="16"/>
      <c r="AI37" s="16"/>
      <c r="AJ37" s="16"/>
    </row>
    <row r="38" spans="2:38" ht="30" x14ac:dyDescent="0.2">
      <c r="C38" s="62" t="s">
        <v>14</v>
      </c>
      <c r="D38" s="399" t="s">
        <v>55</v>
      </c>
      <c r="E38" s="547" t="s">
        <v>296</v>
      </c>
      <c r="F38" s="63" t="s">
        <v>67</v>
      </c>
      <c r="G38" s="68" t="s">
        <v>38</v>
      </c>
      <c r="H38" s="65" t="s">
        <v>68</v>
      </c>
      <c r="I38" s="499"/>
      <c r="J38" s="499"/>
      <c r="K38" s="499"/>
      <c r="L38" s="499"/>
      <c r="M38" s="499"/>
      <c r="N38" s="499"/>
      <c r="O38" s="137"/>
      <c r="P38" s="392" t="s">
        <v>55</v>
      </c>
      <c r="Q38" s="547" t="s">
        <v>296</v>
      </c>
      <c r="R38" s="63" t="s">
        <v>67</v>
      </c>
      <c r="S38" s="63" t="s">
        <v>38</v>
      </c>
      <c r="T38" s="65" t="s">
        <v>68</v>
      </c>
      <c r="U38" s="499"/>
      <c r="V38" s="499"/>
      <c r="W38" s="499"/>
      <c r="X38" s="499"/>
      <c r="Y38" s="499"/>
      <c r="Z38" s="499"/>
      <c r="AA38" s="137"/>
      <c r="AB38" s="134" t="s">
        <v>55</v>
      </c>
      <c r="AC38" s="547" t="s">
        <v>296</v>
      </c>
      <c r="AD38" s="416" t="s">
        <v>67</v>
      </c>
      <c r="AE38" s="63" t="s">
        <v>38</v>
      </c>
      <c r="AF38" s="407" t="s">
        <v>68</v>
      </c>
      <c r="AG38" s="501"/>
      <c r="AH38" s="501"/>
      <c r="AI38" s="501"/>
      <c r="AJ38" s="501"/>
      <c r="AK38" s="499"/>
      <c r="AL38" s="499"/>
    </row>
    <row r="39" spans="2:38" x14ac:dyDescent="0.2">
      <c r="C39" s="464" t="s">
        <v>355</v>
      </c>
      <c r="D39" s="491">
        <f>L$23+L$27</f>
        <v>278283.17277133325</v>
      </c>
      <c r="E39" s="480">
        <f>'Inputs - tariff class'!L$8+'Inputs - tariff class'!L$12</f>
        <v>28.397716515549259</v>
      </c>
      <c r="F39" s="535">
        <f t="shared" ref="F39:F44" si="11">D39/E39/1000</f>
        <v>9.7994911886298475</v>
      </c>
      <c r="G39" s="488">
        <f>'Inputs - tariff class'!F$8</f>
        <v>0.95</v>
      </c>
      <c r="H39" s="481">
        <f t="shared" ref="H39:H44" si="12">F39*G39</f>
        <v>9.3095166291983542</v>
      </c>
      <c r="I39" s="258"/>
      <c r="J39" s="258"/>
      <c r="K39" s="258"/>
      <c r="L39" s="258"/>
      <c r="M39" s="258"/>
      <c r="N39" s="258"/>
      <c r="O39" s="83"/>
      <c r="P39" s="477">
        <f>X23+X27</f>
        <v>520609.77719502436</v>
      </c>
      <c r="Q39" s="480">
        <f>'Inputs - tariff class'!AG8+'Inputs - tariff class'!AG12</f>
        <v>19.577621617340981</v>
      </c>
      <c r="R39" s="512">
        <f t="shared" ref="R39" si="13">P39/Q39/1000</f>
        <v>26.592084951416748</v>
      </c>
      <c r="S39" s="488">
        <f t="shared" ref="S39:S44" si="14">G39</f>
        <v>0.95</v>
      </c>
      <c r="T39" s="481">
        <f t="shared" ref="T39:T44" si="15">R39*S39</f>
        <v>25.26248070384591</v>
      </c>
      <c r="U39" s="258"/>
      <c r="V39" s="258"/>
      <c r="W39" s="258"/>
      <c r="X39" s="258"/>
      <c r="Y39" s="258"/>
      <c r="Z39" s="258"/>
      <c r="AA39" s="83"/>
      <c r="AB39" s="274"/>
      <c r="AC39" s="276"/>
      <c r="AD39" s="505"/>
      <c r="AE39" s="279"/>
      <c r="AF39" s="504"/>
      <c r="AG39" s="83"/>
      <c r="AH39" s="83"/>
      <c r="AI39" s="83"/>
      <c r="AJ39" s="83"/>
      <c r="AK39" s="258"/>
      <c r="AL39" s="258"/>
    </row>
    <row r="40" spans="2:38" x14ac:dyDescent="0.2">
      <c r="C40" s="462" t="s">
        <v>361</v>
      </c>
      <c r="D40" s="478">
        <f>L$24+L$28</f>
        <v>30910125.678067952</v>
      </c>
      <c r="E40" s="286">
        <f>'Inputs - tariff class'!L$9+'Inputs - tariff class'!L$13</f>
        <v>507.98494396676944</v>
      </c>
      <c r="F40" s="536">
        <f t="shared" si="11"/>
        <v>60.848507510273734</v>
      </c>
      <c r="G40" s="489">
        <f>'Inputs - tariff class'!F$9</f>
        <v>0.9</v>
      </c>
      <c r="H40" s="482">
        <f t="shared" si="12"/>
        <v>54.763656759246359</v>
      </c>
      <c r="I40" s="258"/>
      <c r="J40" s="258"/>
      <c r="K40" s="258"/>
      <c r="L40" s="258"/>
      <c r="M40" s="258"/>
      <c r="N40" s="258"/>
      <c r="O40" s="83"/>
      <c r="P40" s="479">
        <f>X24+X28</f>
        <v>3415717.117343002</v>
      </c>
      <c r="Q40" s="286">
        <f>'Inputs - tariff class'!AG9+'Inputs - tariff class'!AG13</f>
        <v>26.437253610275295</v>
      </c>
      <c r="R40" s="513">
        <f t="shared" ref="R40:R44" si="16">P40/Q40/1000</f>
        <v>129.20090595247854</v>
      </c>
      <c r="S40" s="489">
        <f t="shared" si="14"/>
        <v>0.9</v>
      </c>
      <c r="T40" s="482">
        <f t="shared" si="15"/>
        <v>116.28081535723068</v>
      </c>
      <c r="U40" s="258"/>
      <c r="V40" s="258"/>
      <c r="W40" s="258"/>
      <c r="X40" s="258"/>
      <c r="Y40" s="258"/>
      <c r="Z40" s="258"/>
      <c r="AA40" s="83"/>
      <c r="AB40" s="275"/>
      <c r="AC40" s="277"/>
      <c r="AD40" s="506"/>
      <c r="AE40" s="280"/>
      <c r="AF40" s="278"/>
      <c r="AG40" s="83"/>
      <c r="AH40" s="83"/>
      <c r="AI40" s="83"/>
      <c r="AJ40" s="83"/>
      <c r="AK40" s="258"/>
      <c r="AL40" s="258"/>
    </row>
    <row r="41" spans="2:38" x14ac:dyDescent="0.2">
      <c r="C41" s="462" t="s">
        <v>138</v>
      </c>
      <c r="D41" s="478">
        <f>L$25+L$29</f>
        <v>9536219.3203545995</v>
      </c>
      <c r="E41" s="286">
        <f>'Inputs - tariff class'!L$10+'Inputs - tariff class'!L$14</f>
        <v>93.547397566758249</v>
      </c>
      <c r="F41" s="536">
        <f t="shared" si="11"/>
        <v>101.93997447710147</v>
      </c>
      <c r="G41" s="489">
        <f>'Inputs - tariff class'!F$14</f>
        <v>0.9</v>
      </c>
      <c r="H41" s="482">
        <f t="shared" si="12"/>
        <v>91.745977029391327</v>
      </c>
      <c r="I41" s="258"/>
      <c r="J41" s="258"/>
      <c r="K41" s="258"/>
      <c r="L41" s="258"/>
      <c r="M41" s="258"/>
      <c r="N41" s="258"/>
      <c r="O41" s="83"/>
      <c r="P41" s="479">
        <f>X25+X29</f>
        <v>5280049.8645373816</v>
      </c>
      <c r="Q41" s="286">
        <f>'Inputs - tariff class'!AG10+'Inputs - tariff class'!AG14</f>
        <v>21.560499032567822</v>
      </c>
      <c r="R41" s="513">
        <f t="shared" si="16"/>
        <v>244.8946036249763</v>
      </c>
      <c r="S41" s="489">
        <f t="shared" si="14"/>
        <v>0.9</v>
      </c>
      <c r="T41" s="482">
        <f t="shared" si="15"/>
        <v>220.40514326247867</v>
      </c>
      <c r="U41" s="258"/>
      <c r="V41" s="258"/>
      <c r="W41" s="258"/>
      <c r="X41" s="258"/>
      <c r="Y41" s="258"/>
      <c r="Z41" s="258"/>
      <c r="AA41" s="83"/>
      <c r="AB41" s="275"/>
      <c r="AC41" s="277"/>
      <c r="AD41" s="506"/>
      <c r="AE41" s="280"/>
      <c r="AF41" s="278"/>
      <c r="AG41" s="83"/>
      <c r="AH41" s="83"/>
      <c r="AI41" s="83"/>
      <c r="AJ41" s="83"/>
      <c r="AK41" s="258"/>
      <c r="AL41" s="258"/>
    </row>
    <row r="42" spans="2:38" x14ac:dyDescent="0.2">
      <c r="C42" s="462" t="s">
        <v>69</v>
      </c>
      <c r="D42" s="478">
        <f>L$26+L$30+L$31</f>
        <v>16327899.985984556</v>
      </c>
      <c r="E42" s="286">
        <f>'Inputs - tariff class'!L$11+'Inputs - tariff class'!L$15+'Inputs - tariff class'!L$16</f>
        <v>134.88260296065286</v>
      </c>
      <c r="F42" s="536">
        <f t="shared" si="11"/>
        <v>121.05267564229638</v>
      </c>
      <c r="G42" s="489">
        <f>'Inputs - tariff class'!F$16</f>
        <v>0.9</v>
      </c>
      <c r="H42" s="482">
        <f t="shared" si="12"/>
        <v>108.94740807806674</v>
      </c>
      <c r="I42" s="258"/>
      <c r="J42" s="258"/>
      <c r="K42" s="258"/>
      <c r="L42" s="258"/>
      <c r="M42" s="258"/>
      <c r="N42" s="258"/>
      <c r="O42" s="83"/>
      <c r="P42" s="479">
        <f>X30+X31</f>
        <v>2446788.1314485003</v>
      </c>
      <c r="Q42" s="286">
        <f>'Inputs - tariff class'!AG11+'Inputs - tariff class'!AG15+'Inputs - tariff class'!AG16</f>
        <v>5.1650316665833413</v>
      </c>
      <c r="R42" s="513">
        <f t="shared" si="16"/>
        <v>473.72180644674461</v>
      </c>
      <c r="S42" s="489">
        <f t="shared" si="14"/>
        <v>0.9</v>
      </c>
      <c r="T42" s="482">
        <f t="shared" si="15"/>
        <v>426.34962580207014</v>
      </c>
      <c r="U42" s="258"/>
      <c r="V42" s="258"/>
      <c r="W42" s="258"/>
      <c r="X42" s="258"/>
      <c r="Y42" s="258"/>
      <c r="Z42" s="258"/>
      <c r="AA42" s="83"/>
      <c r="AB42" s="275"/>
      <c r="AC42" s="277"/>
      <c r="AD42" s="506"/>
      <c r="AE42" s="280"/>
      <c r="AF42" s="278"/>
      <c r="AG42" s="83"/>
      <c r="AH42" s="83"/>
      <c r="AI42" s="83"/>
      <c r="AJ42" s="83"/>
      <c r="AK42" s="258"/>
      <c r="AL42" s="258"/>
    </row>
    <row r="43" spans="2:38" x14ac:dyDescent="0.2">
      <c r="C43" s="462" t="s">
        <v>139</v>
      </c>
      <c r="D43" s="478">
        <f>L$32</f>
        <v>19847979.870621815</v>
      </c>
      <c r="E43" s="286">
        <f>'Inputs - tariff class'!L$17</f>
        <v>137.12399411092468</v>
      </c>
      <c r="F43" s="536">
        <f t="shared" si="11"/>
        <v>144.74476184354756</v>
      </c>
      <c r="G43" s="489">
        <f>'Inputs - tariff class'!F$17</f>
        <v>0.9</v>
      </c>
      <c r="H43" s="482">
        <f t="shared" si="12"/>
        <v>130.27028565919281</v>
      </c>
      <c r="I43" s="258"/>
      <c r="J43" s="258"/>
      <c r="K43" s="258"/>
      <c r="L43" s="258"/>
      <c r="M43" s="258"/>
      <c r="N43" s="258"/>
      <c r="O43" s="83"/>
      <c r="P43" s="479">
        <f>X32</f>
        <v>4349825.8906080769</v>
      </c>
      <c r="Q43" s="286">
        <f>'Inputs - tariff class'!AG17</f>
        <v>8.9224703689500391</v>
      </c>
      <c r="R43" s="513">
        <f t="shared" si="16"/>
        <v>487.51362691495802</v>
      </c>
      <c r="S43" s="489">
        <f t="shared" si="14"/>
        <v>0.9</v>
      </c>
      <c r="T43" s="482">
        <f t="shared" si="15"/>
        <v>438.76226422346224</v>
      </c>
      <c r="U43" s="258"/>
      <c r="V43" s="258"/>
      <c r="W43" s="258"/>
      <c r="X43" s="258"/>
      <c r="Y43" s="258"/>
      <c r="Z43" s="258"/>
      <c r="AA43" s="83"/>
      <c r="AB43" s="479">
        <f>AJ32</f>
        <v>140155.38595372913</v>
      </c>
      <c r="AC43" s="286">
        <f>'Inputs - tariff class'!BB17</f>
        <v>3.1237740988462623</v>
      </c>
      <c r="AD43" s="513">
        <f t="shared" ref="AD43:AD44" si="17">AB43/AC43/1000</f>
        <v>44.867324434726008</v>
      </c>
      <c r="AE43" s="489">
        <f>S43</f>
        <v>0.9</v>
      </c>
      <c r="AF43" s="482">
        <f>AD43*AE43</f>
        <v>40.380591991253411</v>
      </c>
      <c r="AG43" s="83"/>
      <c r="AH43" s="83"/>
      <c r="AI43" s="83"/>
      <c r="AJ43" s="83"/>
      <c r="AK43" s="258"/>
      <c r="AL43" s="258"/>
    </row>
    <row r="44" spans="2:38" x14ac:dyDescent="0.2">
      <c r="C44" s="463" t="s">
        <v>27</v>
      </c>
      <c r="D44" s="492">
        <f>L$33</f>
        <v>355272123.81274134</v>
      </c>
      <c r="E44" s="287">
        <f>'Inputs - tariff class'!L$18</f>
        <v>1929.8384227724678</v>
      </c>
      <c r="F44" s="537">
        <f t="shared" si="11"/>
        <v>184.0942327712317</v>
      </c>
      <c r="G44" s="490">
        <f>'Inputs - tariff class'!F$18</f>
        <v>0.9</v>
      </c>
      <c r="H44" s="483">
        <f t="shared" si="12"/>
        <v>165.68480949410855</v>
      </c>
      <c r="I44" s="258"/>
      <c r="J44" s="258"/>
      <c r="K44" s="258"/>
      <c r="L44" s="258"/>
      <c r="M44" s="258"/>
      <c r="N44" s="258"/>
      <c r="O44" s="125"/>
      <c r="P44" s="497">
        <f>X33</f>
        <v>94672977.216510803</v>
      </c>
      <c r="Q44" s="287">
        <f>'Inputs - tariff class'!AG18</f>
        <v>178.07590219578643</v>
      </c>
      <c r="R44" s="514">
        <f t="shared" si="16"/>
        <v>531.64395658892761</v>
      </c>
      <c r="S44" s="490">
        <f t="shared" si="14"/>
        <v>0.9</v>
      </c>
      <c r="T44" s="483">
        <f t="shared" si="15"/>
        <v>478.47956093003484</v>
      </c>
      <c r="U44" s="258"/>
      <c r="V44" s="258"/>
      <c r="W44" s="258"/>
      <c r="X44" s="258"/>
      <c r="Y44" s="258"/>
      <c r="Z44" s="258"/>
      <c r="AA44" s="125"/>
      <c r="AB44" s="497">
        <f>AJ33</f>
        <v>3586593.5724656088</v>
      </c>
      <c r="AC44" s="287">
        <f>'Inputs - tariff class'!BB18</f>
        <v>41.93694485882682</v>
      </c>
      <c r="AD44" s="514">
        <f t="shared" si="17"/>
        <v>85.52348256505644</v>
      </c>
      <c r="AE44" s="490">
        <f>S44</f>
        <v>0.9</v>
      </c>
      <c r="AF44" s="483">
        <f>AD44*AE44</f>
        <v>76.971134308550802</v>
      </c>
      <c r="AG44" s="83"/>
      <c r="AH44" s="83"/>
      <c r="AI44" s="83"/>
      <c r="AJ44" s="83"/>
      <c r="AK44" s="258"/>
      <c r="AL44" s="258"/>
    </row>
    <row r="45" spans="2:38" x14ac:dyDescent="0.2">
      <c r="D45" s="493">
        <f>SUM(D39:D44)</f>
        <v>432172631.8405416</v>
      </c>
      <c r="E45" s="494">
        <f>SUM(E39:E44)</f>
        <v>2831.7750778931222</v>
      </c>
      <c r="F45" s="102"/>
      <c r="G45" s="102"/>
      <c r="H45" s="495"/>
      <c r="P45" s="498">
        <f>SUM(P39:P44)</f>
        <v>110685967.99764279</v>
      </c>
      <c r="Q45" s="494">
        <f>SUM(Q39:Q44)</f>
        <v>259.73877849150392</v>
      </c>
      <c r="R45" s="102"/>
      <c r="S45" s="102"/>
      <c r="T45" s="495"/>
      <c r="U45" s="16"/>
      <c r="V45" s="16"/>
      <c r="W45" s="16"/>
      <c r="X45" s="16"/>
      <c r="AB45" s="498">
        <f>SUM(AB39:AB44)</f>
        <v>3726748.9584193379</v>
      </c>
      <c r="AC45" s="494">
        <f>SUM(AC39:AC44)</f>
        <v>45.060718957673082</v>
      </c>
      <c r="AD45" s="102"/>
      <c r="AE45" s="102"/>
      <c r="AF45" s="495"/>
      <c r="AG45" s="16"/>
      <c r="AH45" s="16"/>
      <c r="AI45" s="16"/>
      <c r="AJ45" s="16"/>
    </row>
    <row r="46" spans="2:38" x14ac:dyDescent="0.2">
      <c r="D46" s="102"/>
      <c r="E46" s="496">
        <f>'Inputs - tariff class'!L$19</f>
        <v>2831.7750778931222</v>
      </c>
      <c r="F46" s="102"/>
      <c r="G46" s="102"/>
      <c r="H46" s="102"/>
      <c r="P46" s="102"/>
      <c r="Q46" s="496">
        <f>'Inputs - tariff class'!AG19</f>
        <v>259.73877849150392</v>
      </c>
      <c r="R46" s="102"/>
      <c r="S46" s="102"/>
      <c r="T46" s="102"/>
      <c r="U46" s="16"/>
      <c r="V46" s="16"/>
      <c r="W46" s="16"/>
      <c r="X46" s="16"/>
      <c r="AB46" s="102"/>
      <c r="AC46" s="496">
        <f>'Inputs - tariff class'!BB19</f>
        <v>45.060718957673082</v>
      </c>
      <c r="AD46" s="102"/>
      <c r="AE46" s="102"/>
      <c r="AF46" s="102"/>
      <c r="AG46" s="16"/>
      <c r="AH46" s="16"/>
      <c r="AI46" s="16"/>
      <c r="AJ46" s="16"/>
    </row>
    <row r="47" spans="2:38" x14ac:dyDescent="0.2">
      <c r="G47" s="102"/>
      <c r="Q47" s="3"/>
      <c r="U47" s="16"/>
      <c r="V47" s="16"/>
      <c r="W47" s="16"/>
      <c r="X47" s="16"/>
      <c r="AE47" s="16"/>
      <c r="AF47" s="16"/>
      <c r="AG47" s="16"/>
      <c r="AH47" s="16"/>
      <c r="AI47" s="16"/>
      <c r="AJ47" s="16"/>
    </row>
    <row r="48" spans="2:38" x14ac:dyDescent="0.2">
      <c r="B48" s="2" t="s">
        <v>301</v>
      </c>
      <c r="G48" s="102"/>
      <c r="Q48" s="3"/>
      <c r="U48" s="16"/>
      <c r="V48" s="16"/>
      <c r="W48" s="16"/>
      <c r="X48" s="16"/>
    </row>
    <row r="49" spans="2:39" x14ac:dyDescent="0.2">
      <c r="G49" s="102"/>
      <c r="Q49" s="3"/>
      <c r="U49" s="16"/>
      <c r="V49" s="16"/>
      <c r="W49" s="16"/>
      <c r="X49" s="16"/>
    </row>
    <row r="50" spans="2:39" ht="45" x14ac:dyDescent="0.2">
      <c r="C50" s="62" t="s">
        <v>14</v>
      </c>
      <c r="D50" s="399" t="s">
        <v>55</v>
      </c>
      <c r="E50" s="547" t="s">
        <v>287</v>
      </c>
      <c r="F50" s="63" t="s">
        <v>67</v>
      </c>
      <c r="G50" s="68" t="s">
        <v>38</v>
      </c>
      <c r="H50" s="65" t="s">
        <v>68</v>
      </c>
      <c r="I50" s="499"/>
      <c r="J50" s="499"/>
      <c r="K50" s="499"/>
      <c r="L50" s="499"/>
      <c r="M50" s="499"/>
      <c r="N50" s="499"/>
      <c r="O50" s="137"/>
      <c r="P50" s="392" t="s">
        <v>55</v>
      </c>
      <c r="Q50" s="547" t="s">
        <v>296</v>
      </c>
      <c r="R50" s="63" t="s">
        <v>67</v>
      </c>
      <c r="S50" s="63" t="s">
        <v>38</v>
      </c>
      <c r="T50" s="65" t="s">
        <v>68</v>
      </c>
      <c r="U50" s="499"/>
      <c r="V50" s="499"/>
      <c r="W50" s="499"/>
      <c r="X50" s="499"/>
      <c r="Y50" s="499"/>
      <c r="Z50" s="499"/>
      <c r="AA50" s="137"/>
      <c r="AB50" s="134" t="s">
        <v>55</v>
      </c>
      <c r="AC50" s="547" t="s">
        <v>296</v>
      </c>
      <c r="AD50" s="416" t="s">
        <v>67</v>
      </c>
      <c r="AE50" s="63" t="s">
        <v>38</v>
      </c>
      <c r="AF50" s="407" t="s">
        <v>68</v>
      </c>
      <c r="AG50" s="501"/>
      <c r="AH50" s="501"/>
      <c r="AI50" s="501"/>
      <c r="AJ50" s="501"/>
      <c r="AK50" s="499"/>
      <c r="AL50" s="499"/>
    </row>
    <row r="51" spans="2:39" x14ac:dyDescent="0.2">
      <c r="C51" s="464" t="s">
        <v>355</v>
      </c>
      <c r="D51" s="491">
        <f>L$23+L$27</f>
        <v>278283.17277133325</v>
      </c>
      <c r="E51" s="480">
        <f>'Inputs - tariff class'!K$8+'Inputs - tariff class'!K$12</f>
        <v>20.510825333333333</v>
      </c>
      <c r="F51" s="535">
        <f t="shared" ref="F51:F56" si="18">D51/E51/1000</f>
        <v>13.567624327582719</v>
      </c>
      <c r="G51" s="488">
        <f>'Inputs - tariff class'!F$8</f>
        <v>0.95</v>
      </c>
      <c r="H51" s="481">
        <f t="shared" ref="H51:H56" si="19">F51*G51</f>
        <v>12.889243111203582</v>
      </c>
      <c r="I51" s="258"/>
      <c r="J51" s="258"/>
      <c r="K51" s="258"/>
      <c r="L51" s="258"/>
      <c r="M51" s="258"/>
      <c r="N51" s="258"/>
      <c r="O51" s="83"/>
      <c r="P51" s="491">
        <f>X$23+X$27</f>
        <v>520609.77719502436</v>
      </c>
      <c r="Q51" s="480">
        <f>'Inputs - tariff class'!AF$8+'Inputs - tariff class'!AF$12</f>
        <v>14.140333333333333</v>
      </c>
      <c r="R51" s="535">
        <f t="shared" ref="R51:R56" si="20">P51/Q51/1000</f>
        <v>36.817362428633771</v>
      </c>
      <c r="S51" s="488">
        <f>'Inputs - tariff class'!AA$8</f>
        <v>0.95</v>
      </c>
      <c r="T51" s="481">
        <f t="shared" ref="T51:T56" si="21">R51*S51</f>
        <v>34.976494307202081</v>
      </c>
      <c r="U51" s="258"/>
      <c r="V51" s="258"/>
      <c r="W51" s="258"/>
      <c r="X51" s="258"/>
      <c r="Y51" s="258"/>
      <c r="Z51" s="258"/>
      <c r="AA51" s="83"/>
      <c r="AB51" s="274"/>
      <c r="AC51" s="276"/>
      <c r="AD51" s="505"/>
      <c r="AE51" s="279"/>
      <c r="AF51" s="504"/>
      <c r="AG51" s="83"/>
      <c r="AH51" s="83"/>
      <c r="AI51" s="83"/>
      <c r="AJ51" s="83"/>
      <c r="AK51" s="258"/>
      <c r="AL51" s="258"/>
    </row>
    <row r="52" spans="2:39" x14ac:dyDescent="0.2">
      <c r="C52" s="462" t="s">
        <v>361</v>
      </c>
      <c r="D52" s="478">
        <f>L$24+L$28</f>
        <v>30910125.678067952</v>
      </c>
      <c r="E52" s="286">
        <f>'Inputs - tariff class'!K$9+'Inputs - tariff class'!K$13</f>
        <v>366.90240400000005</v>
      </c>
      <c r="F52" s="536">
        <f t="shared" si="18"/>
        <v>84.246179204832757</v>
      </c>
      <c r="G52" s="489">
        <f>'Inputs - tariff class'!F$9</f>
        <v>0.9</v>
      </c>
      <c r="H52" s="482">
        <f t="shared" si="19"/>
        <v>75.821561284349485</v>
      </c>
      <c r="I52" s="258"/>
      <c r="J52" s="258"/>
      <c r="K52" s="258"/>
      <c r="L52" s="258"/>
      <c r="M52" s="258"/>
      <c r="N52" s="258"/>
      <c r="O52" s="83"/>
      <c r="P52" s="478">
        <f>X$24+X$28</f>
        <v>3415717.117343002</v>
      </c>
      <c r="Q52" s="286">
        <f>'Inputs - tariff class'!AF$9+'Inputs - tariff class'!AF$13</f>
        <v>19.094841333333331</v>
      </c>
      <c r="R52" s="536">
        <f t="shared" si="20"/>
        <v>178.8816705892329</v>
      </c>
      <c r="S52" s="489">
        <f>'Inputs - tariff class'!AA$9</f>
        <v>0.9</v>
      </c>
      <c r="T52" s="482">
        <f t="shared" si="21"/>
        <v>160.99350353030962</v>
      </c>
      <c r="U52" s="258"/>
      <c r="V52" s="258"/>
      <c r="W52" s="258"/>
      <c r="X52" s="258"/>
      <c r="Y52" s="258"/>
      <c r="Z52" s="258"/>
      <c r="AA52" s="83"/>
      <c r="AB52" s="275"/>
      <c r="AC52" s="277"/>
      <c r="AD52" s="506"/>
      <c r="AE52" s="280"/>
      <c r="AF52" s="278"/>
      <c r="AG52" s="83"/>
      <c r="AH52" s="83"/>
      <c r="AI52" s="83"/>
      <c r="AJ52" s="83"/>
      <c r="AK52" s="258"/>
      <c r="AL52" s="258"/>
    </row>
    <row r="53" spans="2:39" x14ac:dyDescent="0.2">
      <c r="C53" s="462" t="s">
        <v>138</v>
      </c>
      <c r="D53" s="478">
        <f>L$25+L$29</f>
        <v>9536219.3203545995</v>
      </c>
      <c r="E53" s="286">
        <f>'Inputs - tariff class'!K$10+'Inputs - tariff class'!K$14</f>
        <v>67.56650066666667</v>
      </c>
      <c r="F53" s="536">
        <f t="shared" si="18"/>
        <v>141.1382745334214</v>
      </c>
      <c r="G53" s="489">
        <f>'Inputs - tariff class'!F$14</f>
        <v>0.9</v>
      </c>
      <c r="H53" s="482">
        <f t="shared" si="19"/>
        <v>127.02444708007926</v>
      </c>
      <c r="I53" s="258"/>
      <c r="J53" s="258"/>
      <c r="K53" s="258"/>
      <c r="L53" s="258"/>
      <c r="M53" s="258"/>
      <c r="N53" s="258"/>
      <c r="O53" s="83"/>
      <c r="P53" s="478">
        <f>X$25+X$29</f>
        <v>5280049.8645373816</v>
      </c>
      <c r="Q53" s="286">
        <f>'Inputs - tariff class'!AF$10+'Inputs - tariff class'!AF$14</f>
        <v>15.572506666666664</v>
      </c>
      <c r="R53" s="536">
        <f t="shared" si="20"/>
        <v>339.06229597829991</v>
      </c>
      <c r="S53" s="489">
        <f>'Inputs - tariff class'!AA$10</f>
        <v>0.9</v>
      </c>
      <c r="T53" s="482">
        <f t="shared" si="21"/>
        <v>305.15606638046995</v>
      </c>
      <c r="U53" s="258"/>
      <c r="V53" s="258"/>
      <c r="W53" s="258"/>
      <c r="X53" s="258"/>
      <c r="Y53" s="258"/>
      <c r="Z53" s="258"/>
      <c r="AA53" s="83"/>
      <c r="AB53" s="275"/>
      <c r="AC53" s="277"/>
      <c r="AD53" s="506"/>
      <c r="AE53" s="280"/>
      <c r="AF53" s="278"/>
      <c r="AG53" s="83"/>
      <c r="AH53" s="83"/>
      <c r="AI53" s="83"/>
      <c r="AJ53" s="83"/>
      <c r="AK53" s="258"/>
      <c r="AL53" s="258"/>
    </row>
    <row r="54" spans="2:39" x14ac:dyDescent="0.2">
      <c r="C54" s="462" t="s">
        <v>69</v>
      </c>
      <c r="D54" s="478">
        <f>L$26+L$30+L$31</f>
        <v>16327899.985984556</v>
      </c>
      <c r="E54" s="286">
        <f>'Inputs - tariff class'!K$11+'Inputs - tariff class'!K$15+'Inputs - tariff class'!K$16</f>
        <v>97.421689110688348</v>
      </c>
      <c r="F54" s="536">
        <f t="shared" si="18"/>
        <v>167.60025549786107</v>
      </c>
      <c r="G54" s="489">
        <f>'Inputs - tariff class'!F$16</f>
        <v>0.9</v>
      </c>
      <c r="H54" s="482">
        <f t="shared" si="19"/>
        <v>150.84022994807498</v>
      </c>
      <c r="I54" s="258"/>
      <c r="J54" s="258"/>
      <c r="K54" s="258"/>
      <c r="L54" s="258"/>
      <c r="M54" s="258"/>
      <c r="N54" s="258"/>
      <c r="O54" s="83"/>
      <c r="P54" s="478">
        <f>X$26+X$30+X$31</f>
        <v>2446788.1314485003</v>
      </c>
      <c r="Q54" s="286">
        <f>'Inputs - tariff class'!AF$11+'Inputs - tariff class'!AF$15+'Inputs - tariff class'!AF$16</f>
        <v>3.7305486269087584</v>
      </c>
      <c r="R54" s="536">
        <f t="shared" si="20"/>
        <v>655.87890043829304</v>
      </c>
      <c r="S54" s="489">
        <f>'Inputs - tariff class'!AA$16</f>
        <v>0.9</v>
      </c>
      <c r="T54" s="482">
        <f t="shared" si="21"/>
        <v>590.2910103944638</v>
      </c>
      <c r="U54" s="258"/>
      <c r="V54" s="258"/>
      <c r="W54" s="258"/>
      <c r="X54" s="258"/>
      <c r="Y54" s="258"/>
      <c r="Z54" s="258"/>
      <c r="AA54" s="83"/>
      <c r="AB54" s="275"/>
      <c r="AC54" s="277"/>
      <c r="AD54" s="506"/>
      <c r="AE54" s="280"/>
      <c r="AF54" s="278"/>
      <c r="AG54" s="83"/>
      <c r="AH54" s="83"/>
      <c r="AI54" s="83"/>
      <c r="AJ54" s="83"/>
      <c r="AK54" s="258"/>
      <c r="AL54" s="258"/>
    </row>
    <row r="55" spans="2:39" x14ac:dyDescent="0.2">
      <c r="C55" s="462" t="s">
        <v>139</v>
      </c>
      <c r="D55" s="478">
        <f>L$32</f>
        <v>19847979.870621815</v>
      </c>
      <c r="E55" s="286">
        <f>'Inputs - tariff class'!K$17</f>
        <v>99.040579219748082</v>
      </c>
      <c r="F55" s="536">
        <f t="shared" si="18"/>
        <v>200.40250195411065</v>
      </c>
      <c r="G55" s="489">
        <f>'Inputs - tariff class'!F$17</f>
        <v>0.9</v>
      </c>
      <c r="H55" s="482">
        <f t="shared" si="19"/>
        <v>180.36225175869959</v>
      </c>
      <c r="I55" s="258"/>
      <c r="J55" s="258"/>
      <c r="K55" s="258"/>
      <c r="L55" s="258"/>
      <c r="M55" s="258"/>
      <c r="N55" s="258"/>
      <c r="O55" s="83"/>
      <c r="P55" s="478">
        <f>X$32</f>
        <v>4349825.8906080769</v>
      </c>
      <c r="Q55" s="286">
        <f>'Inputs - tariff class'!AF$17</f>
        <v>6.4444347551385084</v>
      </c>
      <c r="R55" s="536">
        <f t="shared" si="20"/>
        <v>674.973997857565</v>
      </c>
      <c r="S55" s="489">
        <f>'Inputs - tariff class'!AA$17</f>
        <v>0.9</v>
      </c>
      <c r="T55" s="482">
        <f t="shared" si="21"/>
        <v>607.47659807180855</v>
      </c>
      <c r="U55" s="258"/>
      <c r="V55" s="258"/>
      <c r="W55" s="258"/>
      <c r="X55" s="258"/>
      <c r="Y55" s="258"/>
      <c r="Z55" s="258"/>
      <c r="AA55" s="83"/>
      <c r="AB55" s="479">
        <f>AJ$32</f>
        <v>140155.38595372913</v>
      </c>
      <c r="AC55" s="286">
        <f>'Inputs - tariff class'!BA$17</f>
        <v>2.2562090472008212</v>
      </c>
      <c r="AD55" s="536">
        <f t="shared" ref="AD55:AD56" si="22">AB55/AC55/1000</f>
        <v>62.119858143292937</v>
      </c>
      <c r="AE55" s="489">
        <f>'Inputs - tariff class'!AV$17</f>
        <v>0.9</v>
      </c>
      <c r="AF55" s="482">
        <f>AD55*AE55</f>
        <v>55.907872328963641</v>
      </c>
      <c r="AG55" s="83"/>
      <c r="AH55" s="83"/>
      <c r="AI55" s="83"/>
      <c r="AJ55" s="83"/>
      <c r="AK55" s="258"/>
      <c r="AL55" s="258"/>
    </row>
    <row r="56" spans="2:39" x14ac:dyDescent="0.2">
      <c r="C56" s="463" t="s">
        <v>27</v>
      </c>
      <c r="D56" s="492">
        <f>L$33</f>
        <v>355272123.81274134</v>
      </c>
      <c r="E56" s="287">
        <f>'Inputs - tariff class'!K$18</f>
        <v>1393.8648478784555</v>
      </c>
      <c r="F56" s="537">
        <f t="shared" si="18"/>
        <v>254.88276309822038</v>
      </c>
      <c r="G56" s="490">
        <f>'Inputs - tariff class'!F$18</f>
        <v>0.9</v>
      </c>
      <c r="H56" s="483">
        <f t="shared" si="19"/>
        <v>229.39448678839835</v>
      </c>
      <c r="I56" s="258"/>
      <c r="J56" s="258"/>
      <c r="K56" s="258"/>
      <c r="L56" s="258"/>
      <c r="M56" s="258"/>
      <c r="N56" s="258"/>
      <c r="O56" s="125"/>
      <c r="P56" s="492">
        <f>X$33</f>
        <v>94672977.216510803</v>
      </c>
      <c r="Q56" s="287">
        <f>'Inputs - tariff class'!AF$18</f>
        <v>128.61892342694512</v>
      </c>
      <c r="R56" s="537">
        <f t="shared" si="20"/>
        <v>736.07346954886123</v>
      </c>
      <c r="S56" s="490">
        <f>'Inputs - tariff class'!AA$18</f>
        <v>0.9</v>
      </c>
      <c r="T56" s="483">
        <f t="shared" si="21"/>
        <v>662.46612259397511</v>
      </c>
      <c r="U56" s="258"/>
      <c r="V56" s="258"/>
      <c r="W56" s="258"/>
      <c r="X56" s="258"/>
      <c r="Y56" s="258"/>
      <c r="Z56" s="258"/>
      <c r="AA56" s="125"/>
      <c r="AB56" s="497">
        <f>AJ$33</f>
        <v>3586593.5724656088</v>
      </c>
      <c r="AC56" s="287">
        <f>'Inputs - tariff class'!BA$18</f>
        <v>30.289806947753849</v>
      </c>
      <c r="AD56" s="537">
        <f t="shared" si="22"/>
        <v>118.40925822511966</v>
      </c>
      <c r="AE56" s="490">
        <f>'Inputs - tariff class'!AV$18</f>
        <v>0.9</v>
      </c>
      <c r="AF56" s="483">
        <f>AD56*AE56</f>
        <v>106.56833240260769</v>
      </c>
      <c r="AG56" s="83"/>
      <c r="AH56" s="83"/>
      <c r="AI56" s="83"/>
      <c r="AJ56" s="83"/>
      <c r="AK56" s="258"/>
      <c r="AL56" s="258"/>
    </row>
    <row r="57" spans="2:39" x14ac:dyDescent="0.2">
      <c r="D57" s="493">
        <f>SUM(D51:D56)</f>
        <v>432172631.8405416</v>
      </c>
      <c r="E57" s="494">
        <f>SUM(E51:E56)</f>
        <v>2045.306846208892</v>
      </c>
      <c r="F57" s="102"/>
      <c r="G57" s="102"/>
      <c r="H57" s="495"/>
      <c r="P57" s="493">
        <f>SUM(P51:P56)</f>
        <v>110685967.99764279</v>
      </c>
      <c r="Q57" s="494">
        <f>SUM(Q51:Q56)</f>
        <v>187.60158814232571</v>
      </c>
      <c r="R57" s="102"/>
      <c r="S57" s="102"/>
      <c r="T57" s="495"/>
      <c r="U57" s="16"/>
      <c r="V57" s="16"/>
      <c r="W57" s="16"/>
      <c r="X57" s="16"/>
      <c r="AB57" s="498">
        <f>SUM(AB51:AB56)</f>
        <v>3726748.9584193379</v>
      </c>
      <c r="AC57" s="494">
        <f>SUM(AC51:AC56)</f>
        <v>32.546015994954672</v>
      </c>
      <c r="AD57" s="102"/>
      <c r="AE57" s="102"/>
      <c r="AF57" s="495"/>
      <c r="AG57" s="16"/>
      <c r="AH57" s="16"/>
      <c r="AI57" s="16"/>
      <c r="AJ57" s="16"/>
    </row>
    <row r="58" spans="2:39" x14ac:dyDescent="0.2">
      <c r="D58" s="102"/>
      <c r="E58" s="496">
        <f>'Inputs - tariff class'!K$19</f>
        <v>2045.3068462088922</v>
      </c>
      <c r="G58" s="102"/>
      <c r="H58" s="102"/>
      <c r="P58" s="102"/>
      <c r="Q58" s="496">
        <f>'Inputs - tariff class'!AF$19</f>
        <v>187.60158814232571</v>
      </c>
      <c r="R58" s="102"/>
      <c r="S58" s="102"/>
      <c r="T58" s="102"/>
      <c r="U58" s="16"/>
      <c r="V58" s="16"/>
      <c r="W58" s="16"/>
      <c r="X58" s="16"/>
      <c r="AB58" s="102"/>
      <c r="AC58" s="496">
        <f>'Inputs - tariff class'!BA$19</f>
        <v>32.546015994954672</v>
      </c>
      <c r="AD58" s="102"/>
      <c r="AE58" s="102"/>
      <c r="AF58" s="102"/>
      <c r="AG58" s="16"/>
      <c r="AH58" s="16"/>
      <c r="AI58" s="16"/>
      <c r="AJ58" s="16"/>
    </row>
    <row r="60" spans="2:39" x14ac:dyDescent="0.2">
      <c r="B60" s="2" t="s">
        <v>302</v>
      </c>
    </row>
    <row r="62" spans="2:39" ht="60" x14ac:dyDescent="0.2">
      <c r="C62" s="62" t="s">
        <v>14</v>
      </c>
      <c r="D62" s="399" t="s">
        <v>55</v>
      </c>
      <c r="E62" s="547" t="s">
        <v>287</v>
      </c>
      <c r="F62" s="63" t="s">
        <v>67</v>
      </c>
      <c r="G62" s="68" t="s">
        <v>38</v>
      </c>
      <c r="H62" s="65" t="s">
        <v>68</v>
      </c>
      <c r="I62" s="499"/>
      <c r="J62" s="499"/>
      <c r="K62" s="499"/>
      <c r="L62" s="499"/>
      <c r="M62" s="499"/>
      <c r="N62" s="499"/>
      <c r="O62" s="137"/>
      <c r="P62" s="399" t="s">
        <v>55</v>
      </c>
      <c r="Q62" s="547" t="s">
        <v>287</v>
      </c>
      <c r="R62" s="63" t="s">
        <v>67</v>
      </c>
      <c r="S62" s="68" t="s">
        <v>38</v>
      </c>
      <c r="T62" s="65" t="s">
        <v>68</v>
      </c>
      <c r="U62" s="499"/>
      <c r="V62" s="499"/>
      <c r="W62" s="499"/>
      <c r="X62" s="499"/>
      <c r="Y62" s="499"/>
      <c r="Z62" s="499"/>
      <c r="AA62" s="137"/>
      <c r="AB62" s="134" t="s">
        <v>55</v>
      </c>
      <c r="AC62" s="547" t="s">
        <v>287</v>
      </c>
      <c r="AD62" s="63" t="s">
        <v>67</v>
      </c>
      <c r="AE62" s="68" t="s">
        <v>38</v>
      </c>
      <c r="AF62" s="65" t="s">
        <v>68</v>
      </c>
      <c r="AG62" s="499"/>
      <c r="AH62" s="499"/>
      <c r="AI62" s="499"/>
      <c r="AJ62" s="499"/>
      <c r="AK62" s="499"/>
      <c r="AL62" s="499"/>
      <c r="AM62" s="137"/>
    </row>
    <row r="63" spans="2:39" x14ac:dyDescent="0.2">
      <c r="C63" s="464" t="s">
        <v>303</v>
      </c>
      <c r="D63" s="699">
        <f>D39+D40</f>
        <v>31188408.850839287</v>
      </c>
      <c r="E63" s="480">
        <f>E51+E52</f>
        <v>387.41322933333339</v>
      </c>
      <c r="F63" s="512">
        <f t="shared" ref="F63:F65" si="23">D63/E63/1000</f>
        <v>80.504243245665037</v>
      </c>
      <c r="G63" s="700">
        <f>G40</f>
        <v>0.9</v>
      </c>
      <c r="H63" s="481">
        <f>F63*G63</f>
        <v>72.453818921098531</v>
      </c>
      <c r="I63" s="258"/>
      <c r="J63" s="258"/>
      <c r="K63" s="258"/>
      <c r="L63" s="258"/>
      <c r="M63" s="258"/>
      <c r="N63" s="258"/>
      <c r="O63" s="83"/>
      <c r="P63" s="699">
        <f>P39+P40</f>
        <v>3936326.8945380263</v>
      </c>
      <c r="Q63" s="480">
        <f>Q51+Q52</f>
        <v>33.235174666666666</v>
      </c>
      <c r="R63" s="512">
        <f t="shared" ref="R63:R65" si="24">P63/Q63/1000</f>
        <v>118.4385800290672</v>
      </c>
      <c r="S63" s="700">
        <f>S40</f>
        <v>0.9</v>
      </c>
      <c r="T63" s="481">
        <f>R63*S63</f>
        <v>106.59472202616048</v>
      </c>
      <c r="U63" s="258"/>
      <c r="V63" s="258"/>
      <c r="W63" s="258"/>
      <c r="X63" s="258"/>
      <c r="Y63" s="258"/>
      <c r="Z63" s="258"/>
      <c r="AA63" s="83"/>
      <c r="AB63" s="274"/>
      <c r="AC63" s="708"/>
      <c r="AD63" s="709"/>
      <c r="AE63" s="710"/>
      <c r="AF63" s="711"/>
      <c r="AG63" s="258"/>
      <c r="AH63" s="258"/>
      <c r="AI63" s="258"/>
      <c r="AJ63" s="258"/>
      <c r="AK63" s="258"/>
      <c r="AL63" s="258"/>
      <c r="AM63" s="83"/>
    </row>
    <row r="64" spans="2:39" x14ac:dyDescent="0.2">
      <c r="C64" s="462" t="s">
        <v>304</v>
      </c>
      <c r="D64" s="57">
        <f>SUM(D41:D42)</f>
        <v>25864119.306339156</v>
      </c>
      <c r="E64" s="286">
        <f>SUM(E53:E54)</f>
        <v>164.98818977735502</v>
      </c>
      <c r="F64" s="513">
        <f t="shared" si="23"/>
        <v>156.76345889509884</v>
      </c>
      <c r="G64" s="700">
        <f>G41</f>
        <v>0.9</v>
      </c>
      <c r="H64" s="482">
        <f>F64*G64</f>
        <v>141.08711300558895</v>
      </c>
      <c r="I64" s="258"/>
      <c r="J64" s="258"/>
      <c r="K64" s="258"/>
      <c r="L64" s="258"/>
      <c r="M64" s="258"/>
      <c r="N64" s="258"/>
      <c r="O64" s="83"/>
      <c r="P64" s="57">
        <f>SUM(P41:P42)</f>
        <v>7726837.9959858824</v>
      </c>
      <c r="Q64" s="286">
        <f>SUM(Q53:Q54)</f>
        <v>19.303055293575422</v>
      </c>
      <c r="R64" s="513">
        <f t="shared" si="24"/>
        <v>400.29093210739455</v>
      </c>
      <c r="S64" s="700">
        <f>S41</f>
        <v>0.9</v>
      </c>
      <c r="T64" s="482">
        <f>R64*S64</f>
        <v>360.26183889665509</v>
      </c>
      <c r="U64" s="258"/>
      <c r="V64" s="258"/>
      <c r="W64" s="258"/>
      <c r="X64" s="258"/>
      <c r="Y64" s="258"/>
      <c r="Z64" s="258"/>
      <c r="AA64" s="83"/>
      <c r="AB64" s="712"/>
      <c r="AC64" s="713"/>
      <c r="AD64" s="714"/>
      <c r="AE64" s="710"/>
      <c r="AF64" s="715"/>
      <c r="AG64" s="258"/>
      <c r="AH64" s="258"/>
      <c r="AI64" s="258"/>
      <c r="AJ64" s="258"/>
      <c r="AK64" s="258"/>
      <c r="AL64" s="258"/>
      <c r="AM64" s="83"/>
    </row>
    <row r="65" spans="3:39" x14ac:dyDescent="0.2">
      <c r="C65" s="463" t="s">
        <v>305</v>
      </c>
      <c r="D65" s="59">
        <f>SUM(D43:D44)</f>
        <v>375120103.68336314</v>
      </c>
      <c r="E65" s="701">
        <f>SUM(E55:E56)</f>
        <v>1492.9054270982035</v>
      </c>
      <c r="F65" s="514">
        <f t="shared" si="23"/>
        <v>251.26849757153954</v>
      </c>
      <c r="G65" s="702">
        <f>G44</f>
        <v>0.9</v>
      </c>
      <c r="H65" s="483">
        <f>F65*G65</f>
        <v>226.14164781438558</v>
      </c>
      <c r="I65" s="258"/>
      <c r="J65" s="258"/>
      <c r="K65" s="258"/>
      <c r="L65" s="258"/>
      <c r="M65" s="258"/>
      <c r="N65" s="258"/>
      <c r="O65" s="83"/>
      <c r="P65" s="59">
        <f>SUM(P43:P44)</f>
        <v>99022803.107118875</v>
      </c>
      <c r="Q65" s="701">
        <f>SUM(Q55:Q56)</f>
        <v>135.06335818208362</v>
      </c>
      <c r="R65" s="514">
        <f t="shared" si="24"/>
        <v>733.15815954777895</v>
      </c>
      <c r="S65" s="702">
        <f>S44</f>
        <v>0.9</v>
      </c>
      <c r="T65" s="483">
        <f>R65*S65</f>
        <v>659.84234359300103</v>
      </c>
      <c r="U65" s="258"/>
      <c r="V65" s="258"/>
      <c r="W65" s="258"/>
      <c r="X65" s="258"/>
      <c r="Y65" s="258"/>
      <c r="Z65" s="258"/>
      <c r="AA65" s="83"/>
      <c r="AB65" s="497">
        <f>SUM(AB43:AB44)</f>
        <v>3726748.9584193379</v>
      </c>
      <c r="AC65" s="701">
        <f>SUM(AC55:AC56)</f>
        <v>32.546015994954672</v>
      </c>
      <c r="AD65" s="514">
        <f t="shared" ref="AD65" si="25">AB65/AC65/1000</f>
        <v>114.50707081926905</v>
      </c>
      <c r="AE65" s="702">
        <f>AE44</f>
        <v>0.9</v>
      </c>
      <c r="AF65" s="483">
        <f>AD65*AE65</f>
        <v>103.05636373734214</v>
      </c>
      <c r="AG65" s="258"/>
      <c r="AH65" s="258"/>
      <c r="AI65" s="258"/>
      <c r="AJ65" s="258"/>
      <c r="AK65" s="258"/>
      <c r="AL65" s="258"/>
      <c r="AM65" s="83"/>
    </row>
    <row r="66" spans="3:39" x14ac:dyDescent="0.2">
      <c r="D66" s="703">
        <f>SUM(D63:D65)</f>
        <v>432172631.8405416</v>
      </c>
      <c r="E66" s="704">
        <f>SUM(E63:E65)</f>
        <v>2045.3068462088918</v>
      </c>
      <c r="P66" s="703">
        <f>SUM(P63:P65)</f>
        <v>110685967.99764279</v>
      </c>
      <c r="Q66" s="704">
        <f>SUM(Q63:Q65)</f>
        <v>187.60158814232571</v>
      </c>
      <c r="AB66" s="498">
        <f>SUM(AB63:AB65)</f>
        <v>3726748.9584193379</v>
      </c>
      <c r="AC66" s="704">
        <f>SUM(AC63:AC65)</f>
        <v>32.546015994954672</v>
      </c>
    </row>
    <row r="67" spans="3:39" x14ac:dyDescent="0.2">
      <c r="E67" s="496">
        <f>'Inputs - tariff class'!K$19</f>
        <v>2045.3068462088922</v>
      </c>
      <c r="Q67" s="496">
        <f>'Inputs - tariff class'!AF$19</f>
        <v>187.60158814232571</v>
      </c>
      <c r="AC67" s="496">
        <f>'Inputs - tariff class'!BA$19</f>
        <v>32.546015994954672</v>
      </c>
    </row>
  </sheetData>
  <mergeCells count="3">
    <mergeCell ref="D7:L7"/>
    <mergeCell ref="P7:AA7"/>
    <mergeCell ref="AB7:AM7"/>
  </mergeCells>
  <pageMargins left="0.7" right="0.7" top="0.75" bottom="0.75" header="0.3" footer="0.3"/>
  <pageSetup paperSize="9" scale="26" orientation="landscape" horizontalDpi="300" verticalDpi="300" r:id="rId1"/>
  <headerFooter>
    <oddFooter>&amp;C&amp;"Arial,Bold"MODEL FOR DEMONSTRATION ONLY
The data contained in this model is for demonstration only.  Network and tariff data may not neccesarily represent the Energex network.</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1"/>
  <sheetViews>
    <sheetView showGridLines="0" zoomScale="125" zoomScaleNormal="125" workbookViewId="0">
      <selection activeCell="C16" sqref="C16"/>
    </sheetView>
  </sheetViews>
  <sheetFormatPr defaultColWidth="30.7109375" defaultRowHeight="15" x14ac:dyDescent="0.25"/>
  <cols>
    <col min="1" max="1" width="5.42578125" style="48" customWidth="1"/>
    <col min="2" max="2" width="34.85546875" style="48" customWidth="1"/>
    <col min="3" max="3" width="30.28515625" style="52" bestFit="1" customWidth="1"/>
    <col min="4" max="4" width="29.7109375" style="52" bestFit="1" customWidth="1"/>
    <col min="5" max="5" width="50" style="52" bestFit="1" customWidth="1"/>
    <col min="6" max="6" width="49" style="52" bestFit="1" customWidth="1"/>
    <col min="7" max="16384" width="30.7109375" style="48"/>
  </cols>
  <sheetData>
    <row r="2" spans="2:6" s="1" customFormat="1" x14ac:dyDescent="0.25">
      <c r="B2" s="916" t="s">
        <v>182</v>
      </c>
      <c r="C2" s="916" t="s">
        <v>183</v>
      </c>
      <c r="D2" s="916" t="s">
        <v>184</v>
      </c>
      <c r="E2" s="916" t="s">
        <v>164</v>
      </c>
      <c r="F2" s="916" t="s">
        <v>185</v>
      </c>
    </row>
    <row r="3" spans="2:6" ht="30" x14ac:dyDescent="0.25">
      <c r="B3" s="336" t="s">
        <v>440</v>
      </c>
      <c r="C3" s="337" t="s">
        <v>188</v>
      </c>
      <c r="D3" s="337" t="s">
        <v>28</v>
      </c>
      <c r="E3" s="337" t="s">
        <v>186</v>
      </c>
      <c r="F3" s="338" t="s">
        <v>187</v>
      </c>
    </row>
    <row r="4" spans="2:6" ht="30" x14ac:dyDescent="0.25">
      <c r="B4" s="336" t="s">
        <v>440</v>
      </c>
      <c r="C4" s="337" t="s">
        <v>189</v>
      </c>
      <c r="D4" s="337" t="s">
        <v>441</v>
      </c>
      <c r="E4" s="337"/>
      <c r="F4" s="338" t="s">
        <v>187</v>
      </c>
    </row>
    <row r="5" spans="2:6" ht="30" x14ac:dyDescent="0.25">
      <c r="B5" s="336" t="s">
        <v>440</v>
      </c>
      <c r="C5" s="337" t="s">
        <v>442</v>
      </c>
      <c r="D5" s="903" t="s">
        <v>408</v>
      </c>
      <c r="E5" s="903"/>
      <c r="F5" s="339" t="s">
        <v>443</v>
      </c>
    </row>
    <row r="6" spans="2:6" ht="30" x14ac:dyDescent="0.25">
      <c r="B6" s="336" t="s">
        <v>440</v>
      </c>
      <c r="C6" s="337" t="s">
        <v>444</v>
      </c>
      <c r="D6" s="903" t="s">
        <v>25</v>
      </c>
      <c r="E6" s="903" t="s">
        <v>190</v>
      </c>
      <c r="F6" s="339"/>
    </row>
    <row r="7" spans="2:6" ht="30" x14ac:dyDescent="0.25">
      <c r="B7" s="336" t="s">
        <v>440</v>
      </c>
      <c r="C7" s="337" t="s">
        <v>445</v>
      </c>
      <c r="D7" s="903" t="s">
        <v>21</v>
      </c>
      <c r="E7" s="903" t="s">
        <v>191</v>
      </c>
      <c r="F7" s="339" t="s">
        <v>439</v>
      </c>
    </row>
    <row r="8" spans="2:6" ht="30" x14ac:dyDescent="0.25">
      <c r="B8" s="336" t="s">
        <v>440</v>
      </c>
      <c r="C8" s="903" t="s">
        <v>457</v>
      </c>
      <c r="D8" s="903" t="s">
        <v>192</v>
      </c>
      <c r="E8" s="903" t="s">
        <v>193</v>
      </c>
      <c r="F8" s="339" t="s">
        <v>194</v>
      </c>
    </row>
    <row r="9" spans="2:6" ht="30" x14ac:dyDescent="0.25">
      <c r="B9" s="756" t="s">
        <v>440</v>
      </c>
      <c r="C9" s="903" t="s">
        <v>459</v>
      </c>
      <c r="D9" s="903" t="s">
        <v>195</v>
      </c>
      <c r="E9" s="903" t="s">
        <v>196</v>
      </c>
      <c r="F9" s="339" t="s">
        <v>458</v>
      </c>
    </row>
    <row r="10" spans="2:6" ht="30" x14ac:dyDescent="0.25">
      <c r="B10" s="336" t="s">
        <v>440</v>
      </c>
      <c r="C10" s="903" t="s">
        <v>460</v>
      </c>
      <c r="D10" s="903" t="s">
        <v>197</v>
      </c>
      <c r="E10" s="903" t="s">
        <v>198</v>
      </c>
      <c r="F10" s="339" t="s">
        <v>199</v>
      </c>
    </row>
    <row r="11" spans="2:6" ht="30" x14ac:dyDescent="0.25">
      <c r="B11" s="336" t="s">
        <v>440</v>
      </c>
      <c r="C11" s="903" t="s">
        <v>461</v>
      </c>
      <c r="D11" s="903" t="s">
        <v>446</v>
      </c>
      <c r="E11" s="903" t="s">
        <v>447</v>
      </c>
      <c r="F11" s="339" t="s">
        <v>448</v>
      </c>
    </row>
    <row r="12" spans="2:6" ht="30" x14ac:dyDescent="0.25">
      <c r="B12" s="336" t="s">
        <v>440</v>
      </c>
      <c r="C12" s="903" t="s">
        <v>462</v>
      </c>
      <c r="D12" s="903" t="s">
        <v>200</v>
      </c>
      <c r="E12" s="903"/>
      <c r="F12" s="339" t="s">
        <v>458</v>
      </c>
    </row>
    <row r="13" spans="2:6" ht="30" x14ac:dyDescent="0.25">
      <c r="B13" s="336" t="s">
        <v>440</v>
      </c>
      <c r="C13" s="903" t="s">
        <v>463</v>
      </c>
      <c r="D13" s="903" t="s">
        <v>201</v>
      </c>
      <c r="E13" s="903" t="s">
        <v>202</v>
      </c>
      <c r="F13" s="339" t="s">
        <v>449</v>
      </c>
    </row>
    <row r="14" spans="2:6" ht="32.1" customHeight="1" x14ac:dyDescent="0.25">
      <c r="B14" s="336" t="s">
        <v>440</v>
      </c>
      <c r="C14" s="903" t="s">
        <v>464</v>
      </c>
      <c r="D14" s="903" t="s">
        <v>465</v>
      </c>
      <c r="E14" s="903" t="s">
        <v>450</v>
      </c>
      <c r="F14" s="339" t="s">
        <v>458</v>
      </c>
    </row>
    <row r="15" spans="2:6" x14ac:dyDescent="0.25">
      <c r="B15" s="756" t="s">
        <v>451</v>
      </c>
      <c r="C15" s="903" t="s">
        <v>466</v>
      </c>
      <c r="D15" s="903" t="s">
        <v>206</v>
      </c>
      <c r="E15" s="904" t="s">
        <v>204</v>
      </c>
      <c r="F15" s="905" t="s">
        <v>205</v>
      </c>
    </row>
    <row r="16" spans="2:6" x14ac:dyDescent="0.25">
      <c r="B16" s="756" t="s">
        <v>451</v>
      </c>
      <c r="C16" s="903" t="s">
        <v>479</v>
      </c>
      <c r="D16" s="903" t="s">
        <v>203</v>
      </c>
      <c r="E16" s="904" t="s">
        <v>204</v>
      </c>
      <c r="F16" s="905" t="s">
        <v>205</v>
      </c>
    </row>
    <row r="17" spans="2:6" x14ac:dyDescent="0.25">
      <c r="B17" s="756" t="s">
        <v>451</v>
      </c>
      <c r="C17" s="903" t="s">
        <v>467</v>
      </c>
      <c r="D17" s="903" t="s">
        <v>452</v>
      </c>
      <c r="E17" s="903"/>
      <c r="F17" s="905" t="s">
        <v>205</v>
      </c>
    </row>
    <row r="18" spans="2:6" x14ac:dyDescent="0.25">
      <c r="B18" s="756" t="s">
        <v>451</v>
      </c>
      <c r="C18" s="903" t="s">
        <v>468</v>
      </c>
      <c r="D18" s="903" t="s">
        <v>207</v>
      </c>
      <c r="E18" s="903" t="s">
        <v>208</v>
      </c>
      <c r="F18" s="339" t="s">
        <v>205</v>
      </c>
    </row>
    <row r="19" spans="2:6" ht="30" x14ac:dyDescent="0.25">
      <c r="B19" s="756" t="s">
        <v>451</v>
      </c>
      <c r="C19" s="903" t="s">
        <v>471</v>
      </c>
      <c r="D19" s="903" t="s">
        <v>209</v>
      </c>
      <c r="E19" s="903" t="s">
        <v>204</v>
      </c>
      <c r="F19" s="339" t="s">
        <v>453</v>
      </c>
    </row>
    <row r="20" spans="2:6" x14ac:dyDescent="0.25">
      <c r="B20" s="756" t="s">
        <v>64</v>
      </c>
      <c r="C20" s="903" t="s">
        <v>469</v>
      </c>
      <c r="D20" s="903" t="s">
        <v>454</v>
      </c>
      <c r="E20" s="903"/>
      <c r="F20" s="339" t="s">
        <v>455</v>
      </c>
    </row>
    <row r="21" spans="2:6" x14ac:dyDescent="0.25">
      <c r="B21" s="756" t="s">
        <v>64</v>
      </c>
      <c r="C21" s="903" t="s">
        <v>470</v>
      </c>
      <c r="D21" s="903" t="s">
        <v>456</v>
      </c>
      <c r="E21" s="903"/>
      <c r="F21" s="339" t="s">
        <v>187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B2:E18"/>
  <sheetViews>
    <sheetView showGridLines="0" topLeftCell="A6" zoomScale="125" zoomScaleNormal="125" workbookViewId="0">
      <selection activeCell="D20" sqref="D20"/>
    </sheetView>
  </sheetViews>
  <sheetFormatPr defaultColWidth="8.85546875" defaultRowHeight="15" x14ac:dyDescent="0.2"/>
  <cols>
    <col min="1" max="1" width="5.140625" style="3" customWidth="1"/>
    <col min="2" max="2" width="3.140625" style="3" customWidth="1"/>
    <col min="3" max="3" width="46.7109375" style="3" customWidth="1"/>
    <col min="4" max="4" width="93.140625" style="3" customWidth="1"/>
    <col min="5" max="16384" width="8.85546875" style="3"/>
  </cols>
  <sheetData>
    <row r="2" spans="2:4" ht="18.75" x14ac:dyDescent="0.2">
      <c r="B2" s="340" t="s">
        <v>210</v>
      </c>
      <c r="D2" s="4"/>
    </row>
    <row r="3" spans="2:4" x14ac:dyDescent="0.2">
      <c r="B3" s="2" t="str">
        <f ca="1">"Filename:  "&amp;MID(CELL("filename",C2),FIND("[",CELL("filename",C2))+1,FIND("]",CELL("filename",C2))-FIND("[",CELL("filename",C2))-1)</f>
        <v>Filename:  ERG 14.009 2020-25 LRMC Model JAN19 PUBLIC.xlsx</v>
      </c>
      <c r="D3" s="4"/>
    </row>
    <row r="5" spans="2:4" x14ac:dyDescent="0.2">
      <c r="C5" s="931" t="s">
        <v>2</v>
      </c>
      <c r="D5" s="932"/>
    </row>
    <row r="6" spans="2:4" ht="200.1" customHeight="1" x14ac:dyDescent="0.2">
      <c r="C6" s="933" t="s">
        <v>211</v>
      </c>
      <c r="D6" s="934"/>
    </row>
    <row r="8" spans="2:4" x14ac:dyDescent="0.2">
      <c r="C8" s="931" t="s">
        <v>31</v>
      </c>
      <c r="D8" s="932"/>
    </row>
    <row r="9" spans="2:4" ht="209.1" customHeight="1" x14ac:dyDescent="0.2">
      <c r="C9" s="935" t="s">
        <v>132</v>
      </c>
      <c r="D9" s="936"/>
    </row>
    <row r="11" spans="2:4" x14ac:dyDescent="0.2">
      <c r="C11" s="931" t="s">
        <v>32</v>
      </c>
      <c r="D11" s="932"/>
    </row>
    <row r="12" spans="2:4" s="26" customFormat="1" ht="30" customHeight="1" x14ac:dyDescent="0.2">
      <c r="C12" s="342" t="s">
        <v>214</v>
      </c>
      <c r="D12" s="343" t="s">
        <v>215</v>
      </c>
    </row>
    <row r="13" spans="2:4" s="26" customFormat="1" ht="30" customHeight="1" x14ac:dyDescent="0.2">
      <c r="C13" s="344" t="s">
        <v>216</v>
      </c>
      <c r="D13" s="345" t="s">
        <v>217</v>
      </c>
    </row>
    <row r="14" spans="2:4" s="26" customFormat="1" ht="30" customHeight="1" x14ac:dyDescent="0.2">
      <c r="C14" s="344" t="s">
        <v>40</v>
      </c>
      <c r="D14" s="345" t="s">
        <v>218</v>
      </c>
    </row>
    <row r="15" spans="2:4" s="26" customFormat="1" ht="30" customHeight="1" x14ac:dyDescent="0.2">
      <c r="C15" s="346" t="s">
        <v>212</v>
      </c>
      <c r="D15" s="345" t="s">
        <v>219</v>
      </c>
    </row>
    <row r="16" spans="2:4" s="26" customFormat="1" ht="30" customHeight="1" x14ac:dyDescent="0.2">
      <c r="C16" s="346" t="s">
        <v>213</v>
      </c>
      <c r="D16" s="345" t="s">
        <v>39</v>
      </c>
    </row>
    <row r="17" spans="3:5" s="26" customFormat="1" ht="30" customHeight="1" x14ac:dyDescent="0.2">
      <c r="C17" s="927" t="s">
        <v>472</v>
      </c>
      <c r="D17" s="341" t="s">
        <v>41</v>
      </c>
    </row>
    <row r="18" spans="3:5" s="26" customFormat="1" ht="30" customHeight="1" x14ac:dyDescent="0.2">
      <c r="C18" s="3"/>
      <c r="D18" s="3"/>
      <c r="E18" s="3"/>
    </row>
  </sheetData>
  <mergeCells count="5">
    <mergeCell ref="C8:D8"/>
    <mergeCell ref="C5:D5"/>
    <mergeCell ref="C11:D11"/>
    <mergeCell ref="C6:D6"/>
    <mergeCell ref="C9:D9"/>
  </mergeCells>
  <pageMargins left="0.7" right="0.7" top="0.75" bottom="0.75" header="0.3" footer="0.3"/>
  <pageSetup paperSize="9" scale="69" orientation="landscape" r:id="rId1"/>
  <headerFooter>
    <oddFooter>&amp;C&amp;"Arial,Bold"MODEL FOR DEMONSTRATION ONLY
The data contained in this model is for demonstration only.  Network and tariff data may not neccesarily represent the Energex network.</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5"/>
  <sheetViews>
    <sheetView showGridLines="0" topLeftCell="A2" zoomScale="125" zoomScaleNormal="125" workbookViewId="0">
      <selection activeCell="C7" sqref="C7:E9"/>
    </sheetView>
  </sheetViews>
  <sheetFormatPr defaultColWidth="8.85546875" defaultRowHeight="12.75" x14ac:dyDescent="0.2"/>
  <cols>
    <col min="1" max="1" width="4" style="347" customWidth="1"/>
    <col min="2" max="2" width="2.7109375" style="347" customWidth="1"/>
    <col min="3" max="3" width="10.140625" style="347" customWidth="1"/>
    <col min="4" max="4" width="17" style="347" bestFit="1" customWidth="1"/>
    <col min="5" max="5" width="37.42578125" style="347" customWidth="1"/>
    <col min="6" max="16384" width="8.85546875" style="347"/>
  </cols>
  <sheetData>
    <row r="2" spans="2:5" ht="18.75" x14ac:dyDescent="0.2">
      <c r="B2" s="340" t="s">
        <v>220</v>
      </c>
    </row>
    <row r="3" spans="2:5" ht="15" x14ac:dyDescent="0.2">
      <c r="B3" s="2" t="str">
        <f ca="1">"Filename:  "&amp;MID(CELL("filename",C2),FIND("[",CELL("filename",C2))+1,FIND("]",CELL("filename",C2))-FIND("[",CELL("filename",C2))-1)</f>
        <v>Filename:  ERG 14.009 2020-25 LRMC Model JAN19 PUBLIC.xlsx</v>
      </c>
    </row>
    <row r="4" spans="2:5" ht="15" x14ac:dyDescent="0.2">
      <c r="B4" s="2"/>
    </row>
    <row r="5" spans="2:5" ht="15" x14ac:dyDescent="0.2">
      <c r="C5" s="355" t="s">
        <v>221</v>
      </c>
      <c r="D5" s="356" t="s">
        <v>222</v>
      </c>
      <c r="E5" s="357" t="s">
        <v>223</v>
      </c>
    </row>
    <row r="6" spans="2:5" x14ac:dyDescent="0.2">
      <c r="C6" s="348"/>
      <c r="D6" s="351"/>
      <c r="E6" s="350"/>
    </row>
    <row r="7" spans="2:5" x14ac:dyDescent="0.2">
      <c r="C7" s="348" t="s">
        <v>473</v>
      </c>
      <c r="D7" s="349">
        <v>43434</v>
      </c>
      <c r="E7" s="350" t="s">
        <v>224</v>
      </c>
    </row>
    <row r="8" spans="2:5" x14ac:dyDescent="0.2">
      <c r="C8" s="348"/>
      <c r="D8" s="349"/>
      <c r="E8" s="350" t="s">
        <v>474</v>
      </c>
    </row>
    <row r="9" spans="2:5" x14ac:dyDescent="0.2">
      <c r="C9" s="348"/>
      <c r="D9" s="349"/>
      <c r="E9" s="350" t="s">
        <v>475</v>
      </c>
    </row>
    <row r="10" spans="2:5" x14ac:dyDescent="0.2">
      <c r="C10" s="348"/>
      <c r="D10" s="349"/>
      <c r="E10" s="350"/>
    </row>
    <row r="11" spans="2:5" x14ac:dyDescent="0.2">
      <c r="C11" s="348"/>
      <c r="D11" s="349"/>
      <c r="E11" s="350"/>
    </row>
    <row r="12" spans="2:5" x14ac:dyDescent="0.2">
      <c r="C12" s="348"/>
      <c r="D12" s="349"/>
      <c r="E12" s="350"/>
    </row>
    <row r="13" spans="2:5" x14ac:dyDescent="0.2">
      <c r="C13" s="348"/>
      <c r="D13" s="349"/>
      <c r="E13" s="350"/>
    </row>
    <row r="14" spans="2:5" x14ac:dyDescent="0.2">
      <c r="C14" s="348"/>
      <c r="D14" s="351"/>
      <c r="E14" s="350"/>
    </row>
    <row r="15" spans="2:5" x14ac:dyDescent="0.2">
      <c r="C15" s="352"/>
      <c r="D15" s="353"/>
      <c r="E15" s="35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BU90"/>
  <sheetViews>
    <sheetView showGridLines="0" zoomScale="125" zoomScaleNormal="125" workbookViewId="0">
      <pane xSplit="3" ySplit="17" topLeftCell="D18" activePane="bottomRight" state="frozen"/>
      <selection pane="topRight" activeCell="D1" sqref="D1"/>
      <selection pane="bottomLeft" activeCell="A17" sqref="A17"/>
      <selection pane="bottomRight" activeCell="D7" sqref="D7:E7"/>
    </sheetView>
  </sheetViews>
  <sheetFormatPr defaultColWidth="8.85546875" defaultRowHeight="15" x14ac:dyDescent="0.2"/>
  <cols>
    <col min="1" max="1" width="4.42578125" style="194" customWidth="1"/>
    <col min="2" max="2" width="9" style="3" customWidth="1"/>
    <col min="3" max="3" width="31.85546875" style="3" customWidth="1"/>
    <col min="4" max="4" width="14.85546875" style="3" customWidth="1"/>
    <col min="5" max="8" width="14" style="3" customWidth="1"/>
    <col min="9" max="9" width="15.140625" style="3" bestFit="1" customWidth="1"/>
    <col min="10" max="10" width="6.28515625" style="3" hidden="1" customWidth="1"/>
    <col min="11" max="11" width="2.140625" style="3" hidden="1" customWidth="1"/>
    <col min="12" max="21" width="3.140625" style="3" hidden="1" customWidth="1"/>
    <col min="22" max="22" width="1.140625" style="3" hidden="1" customWidth="1"/>
    <col min="23" max="24" width="3.140625" style="3" hidden="1" customWidth="1"/>
    <col min="25" max="25" width="12.7109375" style="3" bestFit="1" customWidth="1"/>
    <col min="26" max="27" width="16" style="3" bestFit="1" customWidth="1"/>
    <col min="28" max="28" width="8.42578125" style="3" bestFit="1" customWidth="1"/>
    <col min="29" max="29" width="7.28515625" style="3" bestFit="1" customWidth="1"/>
    <col min="30" max="30" width="15.140625" style="3" bestFit="1" customWidth="1"/>
    <col min="31" max="45" width="0.140625" style="3" hidden="1" customWidth="1"/>
    <col min="46" max="46" width="12.7109375" style="3" bestFit="1" customWidth="1"/>
    <col min="47" max="51" width="13" style="3" customWidth="1"/>
    <col min="52" max="52" width="12.7109375" style="3" hidden="1" customWidth="1"/>
    <col min="53" max="53" width="11.42578125" style="3" hidden="1" customWidth="1"/>
    <col min="54" max="55" width="11.28515625" style="3" hidden="1" customWidth="1"/>
    <col min="56" max="56" width="13.28515625" style="3" hidden="1" customWidth="1"/>
    <col min="57" max="62" width="0" style="3" hidden="1" customWidth="1"/>
    <col min="63" max="63" width="6.140625" style="3" hidden="1" customWidth="1"/>
    <col min="64" max="64" width="8.85546875" style="3" hidden="1" customWidth="1"/>
    <col min="65" max="66" width="0" style="3" hidden="1" customWidth="1"/>
    <col min="67" max="67" width="12.28515625" style="3" customWidth="1"/>
    <col min="68" max="68" width="14.140625" style="3" customWidth="1"/>
    <col min="69" max="69" width="8.85546875" style="3"/>
    <col min="70" max="70" width="67.42578125" style="3" bestFit="1" customWidth="1"/>
    <col min="71" max="71" width="31.28515625" style="3" bestFit="1" customWidth="1"/>
    <col min="72" max="72" width="8.42578125" style="3" bestFit="1" customWidth="1"/>
    <col min="73" max="73" width="16" style="3" bestFit="1" customWidth="1"/>
    <col min="74" max="16384" width="8.85546875" style="3"/>
  </cols>
  <sheetData>
    <row r="1" spans="2:51" s="358" customFormat="1" x14ac:dyDescent="0.2">
      <c r="C1" s="3">
        <v>1</v>
      </c>
      <c r="D1" s="3">
        <f>C1+1</f>
        <v>2</v>
      </c>
      <c r="E1" s="3">
        <f t="shared" ref="E1:AY1" si="0">D1+1</f>
        <v>3</v>
      </c>
      <c r="F1" s="3">
        <f t="shared" si="0"/>
        <v>4</v>
      </c>
      <c r="G1" s="3">
        <f t="shared" si="0"/>
        <v>5</v>
      </c>
      <c r="H1" s="3">
        <f t="shared" si="0"/>
        <v>6</v>
      </c>
      <c r="I1" s="3">
        <f t="shared" si="0"/>
        <v>7</v>
      </c>
      <c r="J1" s="3">
        <f t="shared" si="0"/>
        <v>8</v>
      </c>
      <c r="K1" s="3">
        <f t="shared" si="0"/>
        <v>9</v>
      </c>
      <c r="L1" s="3">
        <f t="shared" si="0"/>
        <v>10</v>
      </c>
      <c r="M1" s="3">
        <f t="shared" si="0"/>
        <v>11</v>
      </c>
      <c r="N1" s="3">
        <f t="shared" si="0"/>
        <v>12</v>
      </c>
      <c r="O1" s="3">
        <f t="shared" si="0"/>
        <v>13</v>
      </c>
      <c r="P1" s="3">
        <f t="shared" si="0"/>
        <v>14</v>
      </c>
      <c r="Q1" s="3">
        <f t="shared" si="0"/>
        <v>15</v>
      </c>
      <c r="R1" s="3">
        <f t="shared" si="0"/>
        <v>16</v>
      </c>
      <c r="S1" s="3">
        <f t="shared" si="0"/>
        <v>17</v>
      </c>
      <c r="T1" s="3">
        <f t="shared" si="0"/>
        <v>18</v>
      </c>
      <c r="U1" s="3">
        <f t="shared" si="0"/>
        <v>19</v>
      </c>
      <c r="V1" s="3">
        <f t="shared" si="0"/>
        <v>20</v>
      </c>
      <c r="W1" s="3">
        <f t="shared" si="0"/>
        <v>21</v>
      </c>
      <c r="X1" s="3">
        <f t="shared" si="0"/>
        <v>22</v>
      </c>
      <c r="Y1" s="3">
        <f t="shared" si="0"/>
        <v>23</v>
      </c>
      <c r="Z1" s="3">
        <f t="shared" si="0"/>
        <v>24</v>
      </c>
      <c r="AA1" s="3">
        <f t="shared" si="0"/>
        <v>25</v>
      </c>
      <c r="AB1" s="3">
        <f t="shared" si="0"/>
        <v>26</v>
      </c>
      <c r="AC1" s="3">
        <f t="shared" si="0"/>
        <v>27</v>
      </c>
      <c r="AD1" s="3">
        <f t="shared" si="0"/>
        <v>28</v>
      </c>
      <c r="AE1" s="3">
        <f t="shared" si="0"/>
        <v>29</v>
      </c>
      <c r="AF1" s="3">
        <f t="shared" si="0"/>
        <v>30</v>
      </c>
      <c r="AG1" s="3">
        <f t="shared" si="0"/>
        <v>31</v>
      </c>
      <c r="AH1" s="3">
        <f t="shared" si="0"/>
        <v>32</v>
      </c>
      <c r="AI1" s="3">
        <f t="shared" si="0"/>
        <v>33</v>
      </c>
      <c r="AJ1" s="3">
        <f t="shared" si="0"/>
        <v>34</v>
      </c>
      <c r="AK1" s="3">
        <f t="shared" si="0"/>
        <v>35</v>
      </c>
      <c r="AL1" s="3">
        <f t="shared" si="0"/>
        <v>36</v>
      </c>
      <c r="AM1" s="3">
        <f t="shared" si="0"/>
        <v>37</v>
      </c>
      <c r="AN1" s="3">
        <f t="shared" si="0"/>
        <v>38</v>
      </c>
      <c r="AO1" s="3">
        <f t="shared" si="0"/>
        <v>39</v>
      </c>
      <c r="AP1" s="3">
        <f t="shared" si="0"/>
        <v>40</v>
      </c>
      <c r="AQ1" s="3">
        <f t="shared" si="0"/>
        <v>41</v>
      </c>
      <c r="AR1" s="3">
        <f t="shared" si="0"/>
        <v>42</v>
      </c>
      <c r="AS1" s="3">
        <f t="shared" si="0"/>
        <v>43</v>
      </c>
      <c r="AT1" s="3">
        <f t="shared" si="0"/>
        <v>44</v>
      </c>
      <c r="AU1" s="3">
        <f t="shared" si="0"/>
        <v>45</v>
      </c>
      <c r="AV1" s="3">
        <f t="shared" si="0"/>
        <v>46</v>
      </c>
      <c r="AW1" s="3">
        <f t="shared" si="0"/>
        <v>47</v>
      </c>
      <c r="AX1" s="3">
        <f t="shared" si="0"/>
        <v>48</v>
      </c>
      <c r="AY1" s="3">
        <f t="shared" si="0"/>
        <v>49</v>
      </c>
    </row>
    <row r="2" spans="2:51" ht="18.75" x14ac:dyDescent="0.2">
      <c r="B2" s="168" t="s">
        <v>174</v>
      </c>
    </row>
    <row r="3" spans="2:51" x14ac:dyDescent="0.25">
      <c r="B3" s="1" t="str">
        <f ca="1">"Filename:  "&amp;MID(CELL("filename",C2),FIND("[",CELL("filename",C2))+1,FIND("]",CELL("filename",C2))-FIND("[",CELL("filename",C2))-1)</f>
        <v>Filename:  ERG 14.009 2020-25 LRMC Model JAN19 PUBLIC.xlsx</v>
      </c>
    </row>
    <row r="5" spans="2:51" x14ac:dyDescent="0.2">
      <c r="B5" s="2" t="s">
        <v>78</v>
      </c>
    </row>
    <row r="6" spans="2:51" x14ac:dyDescent="0.2">
      <c r="B6" s="2"/>
    </row>
    <row r="7" spans="2:51" x14ac:dyDescent="0.2">
      <c r="C7" s="770" t="s">
        <v>28</v>
      </c>
      <c r="D7" s="771">
        <v>3.4299999999999997E-2</v>
      </c>
      <c r="E7" s="772" t="s">
        <v>165</v>
      </c>
      <c r="F7" s="25"/>
    </row>
    <row r="8" spans="2:51" x14ac:dyDescent="0.2">
      <c r="C8" s="9" t="s">
        <v>407</v>
      </c>
      <c r="D8" s="773">
        <v>2.5000000000000001E-2</v>
      </c>
      <c r="E8" s="772" t="s">
        <v>409</v>
      </c>
      <c r="F8" s="25"/>
    </row>
    <row r="9" spans="2:51" x14ac:dyDescent="0.2">
      <c r="C9" s="9" t="s">
        <v>408</v>
      </c>
      <c r="D9" s="774">
        <v>43647</v>
      </c>
      <c r="E9" s="772" t="s">
        <v>410</v>
      </c>
      <c r="F9" s="25"/>
    </row>
    <row r="10" spans="2:51" x14ac:dyDescent="0.2">
      <c r="C10" s="9" t="s">
        <v>25</v>
      </c>
      <c r="D10" s="775">
        <v>500</v>
      </c>
      <c r="E10" s="3" t="s">
        <v>225</v>
      </c>
      <c r="F10" s="25"/>
    </row>
    <row r="11" spans="2:51" x14ac:dyDescent="0.2">
      <c r="C11" s="12" t="s">
        <v>21</v>
      </c>
      <c r="D11" s="776"/>
      <c r="E11" s="25"/>
      <c r="F11" s="25"/>
      <c r="G11" s="8" t="s">
        <v>87</v>
      </c>
      <c r="H11" s="169"/>
    </row>
    <row r="12" spans="2:51" x14ac:dyDescent="0.2">
      <c r="C12" s="12">
        <v>110</v>
      </c>
      <c r="D12" s="777">
        <v>1.4999999999999999E-2</v>
      </c>
      <c r="E12" s="25"/>
      <c r="F12" s="25"/>
      <c r="G12" s="9" t="s">
        <v>86</v>
      </c>
      <c r="H12" s="170" t="s">
        <v>89</v>
      </c>
    </row>
    <row r="13" spans="2:51" x14ac:dyDescent="0.2">
      <c r="C13" s="12">
        <v>33</v>
      </c>
      <c r="D13" s="777">
        <v>0.02</v>
      </c>
      <c r="E13" s="25"/>
      <c r="F13" s="25"/>
      <c r="G13" s="9" t="s">
        <v>82</v>
      </c>
      <c r="H13" s="170" t="s">
        <v>90</v>
      </c>
      <c r="I13" s="25"/>
    </row>
    <row r="14" spans="2:51" x14ac:dyDescent="0.2">
      <c r="C14" s="12">
        <v>11</v>
      </c>
      <c r="D14" s="777">
        <v>0.02</v>
      </c>
      <c r="E14" s="25"/>
      <c r="F14" s="25"/>
      <c r="G14" s="9" t="s">
        <v>83</v>
      </c>
      <c r="H14" s="170" t="s">
        <v>91</v>
      </c>
      <c r="I14" s="25"/>
      <c r="Y14" s="135"/>
      <c r="Z14" s="23"/>
    </row>
    <row r="15" spans="2:51" x14ac:dyDescent="0.2">
      <c r="C15" s="778" t="s">
        <v>0</v>
      </c>
      <c r="D15" s="779">
        <v>2.5000000000000001E-2</v>
      </c>
      <c r="E15" s="25"/>
      <c r="F15" s="25"/>
      <c r="G15" s="10" t="s">
        <v>0</v>
      </c>
      <c r="H15" s="171" t="s">
        <v>88</v>
      </c>
      <c r="I15" s="25"/>
    </row>
    <row r="16" spans="2:51" x14ac:dyDescent="0.2">
      <c r="C16" s="102"/>
      <c r="D16" s="195"/>
      <c r="E16" s="25"/>
      <c r="F16" s="25"/>
      <c r="G16" s="25"/>
      <c r="H16" s="25"/>
      <c r="I16" s="25"/>
    </row>
    <row r="17" spans="2:73" ht="18.75" x14ac:dyDescent="0.2">
      <c r="B17" s="2" t="s">
        <v>79</v>
      </c>
      <c r="D17" s="937" t="s">
        <v>71</v>
      </c>
      <c r="E17" s="938"/>
      <c r="F17" s="938"/>
      <c r="G17" s="938"/>
      <c r="H17" s="938"/>
      <c r="I17" s="938"/>
      <c r="J17" s="178"/>
      <c r="K17" s="178"/>
      <c r="L17" s="178"/>
      <c r="M17" s="178"/>
      <c r="N17" s="178"/>
      <c r="O17" s="757"/>
      <c r="P17" s="757"/>
      <c r="Q17" s="757"/>
      <c r="R17" s="757"/>
      <c r="S17" s="757"/>
      <c r="T17" s="757"/>
      <c r="U17" s="757"/>
      <c r="V17" s="757"/>
      <c r="W17" s="757"/>
      <c r="X17" s="178"/>
      <c r="Y17" s="939" t="s">
        <v>72</v>
      </c>
      <c r="Z17" s="940"/>
      <c r="AA17" s="940"/>
      <c r="AB17" s="940"/>
      <c r="AC17" s="940"/>
      <c r="AD17" s="940"/>
      <c r="AE17" s="331"/>
      <c r="AF17" s="331"/>
      <c r="AG17" s="331"/>
      <c r="AH17" s="331"/>
      <c r="AI17" s="331"/>
      <c r="AJ17" s="331"/>
      <c r="AK17" s="758"/>
      <c r="AL17" s="758"/>
      <c r="AM17" s="758"/>
      <c r="AN17" s="758"/>
      <c r="AO17" s="758"/>
      <c r="AP17" s="758"/>
      <c r="AQ17" s="758"/>
      <c r="AR17" s="758"/>
      <c r="AS17" s="758"/>
      <c r="AT17" s="945" t="s">
        <v>73</v>
      </c>
      <c r="AU17" s="946"/>
      <c r="AV17" s="946"/>
      <c r="AW17" s="946"/>
      <c r="AX17" s="946"/>
      <c r="AY17" s="946"/>
      <c r="AZ17" s="946"/>
      <c r="BA17" s="946"/>
      <c r="BB17" s="946"/>
      <c r="BC17" s="946"/>
      <c r="BD17" s="946"/>
      <c r="BE17" s="946"/>
      <c r="BF17" s="946"/>
      <c r="BG17" s="946"/>
      <c r="BH17" s="946"/>
      <c r="BI17" s="946"/>
      <c r="BJ17" s="946"/>
      <c r="BK17" s="946"/>
      <c r="BL17" s="946"/>
      <c r="BM17" s="946"/>
      <c r="BN17" s="947"/>
      <c r="BO17" s="403" t="s">
        <v>229</v>
      </c>
    </row>
    <row r="18" spans="2:73" x14ac:dyDescent="0.2">
      <c r="B18" s="2"/>
      <c r="D18" s="145"/>
      <c r="E18" s="6"/>
      <c r="F18" s="6"/>
      <c r="G18" s="6"/>
      <c r="H18" s="6"/>
      <c r="I18" s="6"/>
      <c r="Y18" s="131"/>
      <c r="AT18" s="131"/>
      <c r="BR18" s="3" t="s">
        <v>199</v>
      </c>
    </row>
    <row r="19" spans="2:73" x14ac:dyDescent="0.2">
      <c r="C19" s="355" t="s">
        <v>14</v>
      </c>
      <c r="D19" s="371" t="s">
        <v>144</v>
      </c>
      <c r="E19" s="372"/>
      <c r="F19" s="373"/>
      <c r="G19" s="373"/>
      <c r="H19" s="373"/>
      <c r="I19" s="373"/>
      <c r="J19" s="137"/>
      <c r="K19" s="137"/>
      <c r="L19" s="137"/>
      <c r="M19" s="137"/>
      <c r="N19" s="137"/>
      <c r="O19" s="373"/>
      <c r="P19" s="373"/>
      <c r="Q19" s="373"/>
      <c r="R19" s="373"/>
      <c r="S19" s="373"/>
      <c r="T19" s="373"/>
      <c r="U19" s="373"/>
      <c r="V19" s="373"/>
      <c r="W19" s="373"/>
      <c r="X19" s="137"/>
      <c r="Y19" s="360" t="s">
        <v>144</v>
      </c>
      <c r="Z19" s="136"/>
      <c r="AA19" s="137"/>
      <c r="AB19" s="137"/>
      <c r="AC19" s="137"/>
      <c r="AD19" s="137"/>
      <c r="AE19" s="137"/>
      <c r="AF19" s="137"/>
      <c r="AG19" s="137"/>
      <c r="AH19" s="137"/>
      <c r="AI19" s="137"/>
      <c r="AJ19" s="137"/>
      <c r="AK19" s="373"/>
      <c r="AL19" s="373"/>
      <c r="AM19" s="373"/>
      <c r="AN19" s="373"/>
      <c r="AO19" s="373"/>
      <c r="AP19" s="373"/>
      <c r="AQ19" s="373"/>
      <c r="AR19" s="373"/>
      <c r="AS19" s="373"/>
      <c r="AT19" s="360" t="s">
        <v>144</v>
      </c>
      <c r="AU19" s="136"/>
      <c r="AV19" s="137"/>
      <c r="AW19" s="137"/>
      <c r="AX19" s="137"/>
      <c r="AY19" s="137"/>
      <c r="AZ19" s="137"/>
      <c r="BA19" s="137"/>
      <c r="BB19" s="137"/>
      <c r="BC19" s="137"/>
      <c r="BD19" s="137"/>
      <c r="BE19" s="137"/>
      <c r="BF19" s="373"/>
      <c r="BG19" s="373"/>
      <c r="BH19" s="373"/>
      <c r="BI19" s="373"/>
      <c r="BJ19" s="373"/>
      <c r="BK19" s="373"/>
      <c r="BL19" s="373"/>
      <c r="BM19" s="373"/>
      <c r="BN19" s="373"/>
      <c r="BP19" s="127" t="s">
        <v>24</v>
      </c>
      <c r="BR19" s="192" t="s">
        <v>150</v>
      </c>
      <c r="BS19" s="190"/>
      <c r="BT19" s="190"/>
      <c r="BU19" s="190"/>
    </row>
    <row r="20" spans="2:73" ht="14.1" customHeight="1" x14ac:dyDescent="0.25">
      <c r="C20" s="366" t="s">
        <v>373</v>
      </c>
      <c r="D20" s="361">
        <v>1.0069999999999999</v>
      </c>
      <c r="E20" s="123"/>
      <c r="F20" s="83"/>
      <c r="G20" s="83"/>
      <c r="H20" s="83"/>
      <c r="I20" s="83"/>
      <c r="J20" s="83"/>
      <c r="K20" s="83"/>
      <c r="L20" s="83"/>
      <c r="M20" s="83"/>
      <c r="N20" s="83"/>
      <c r="O20" s="83"/>
      <c r="P20" s="83"/>
      <c r="Q20" s="83"/>
      <c r="R20" s="83"/>
      <c r="S20" s="83"/>
      <c r="T20" s="83"/>
      <c r="U20" s="83"/>
      <c r="V20" s="83"/>
      <c r="W20" s="83"/>
      <c r="X20" s="83"/>
      <c r="Y20" s="361">
        <v>1.026</v>
      </c>
      <c r="Z20" s="123"/>
      <c r="AA20" s="83"/>
      <c r="AB20" s="83"/>
      <c r="AC20" s="83"/>
      <c r="AD20" s="83"/>
      <c r="AE20" s="83"/>
      <c r="AF20" s="83"/>
      <c r="AG20" s="83"/>
      <c r="AH20" s="83"/>
      <c r="AI20" s="83"/>
      <c r="AJ20" s="83"/>
      <c r="AK20" s="83"/>
      <c r="AL20" s="83"/>
      <c r="AM20" s="83"/>
      <c r="AN20" s="83"/>
      <c r="AO20" s="83"/>
      <c r="AP20" s="83"/>
      <c r="AQ20" s="83"/>
      <c r="AR20" s="83"/>
      <c r="AS20" s="83"/>
      <c r="AT20" s="361">
        <v>1</v>
      </c>
      <c r="AU20" s="123"/>
      <c r="AV20" s="83"/>
      <c r="AW20" s="83"/>
      <c r="AX20" s="83"/>
      <c r="AY20" s="83"/>
      <c r="AZ20" s="83"/>
      <c r="BA20" s="83"/>
      <c r="BB20" s="83"/>
      <c r="BC20" s="83"/>
      <c r="BD20" s="83"/>
      <c r="BE20" s="83"/>
      <c r="BF20" s="83"/>
      <c r="BG20" s="83"/>
      <c r="BH20" s="83"/>
      <c r="BI20" s="83"/>
      <c r="BJ20" s="83"/>
      <c r="BK20" s="83"/>
      <c r="BL20" s="83"/>
      <c r="BM20" s="83"/>
      <c r="BN20" s="83"/>
      <c r="BP20" s="948" t="s">
        <v>145</v>
      </c>
      <c r="BR20" s="190" t="s">
        <v>151</v>
      </c>
      <c r="BS20" s="190"/>
      <c r="BT20" s="190">
        <v>1.7</v>
      </c>
      <c r="BU20" s="190" t="s">
        <v>155</v>
      </c>
    </row>
    <row r="21" spans="2:73" ht="14.1" customHeight="1" x14ac:dyDescent="0.25">
      <c r="C21" s="367" t="s">
        <v>374</v>
      </c>
      <c r="D21" s="362">
        <v>1.012</v>
      </c>
      <c r="E21" s="123"/>
      <c r="F21" s="83"/>
      <c r="G21" s="83"/>
      <c r="H21" s="83"/>
      <c r="I21" s="83"/>
      <c r="J21" s="83"/>
      <c r="K21" s="83"/>
      <c r="L21" s="83"/>
      <c r="M21" s="83"/>
      <c r="N21" s="83"/>
      <c r="O21" s="83"/>
      <c r="P21" s="83"/>
      <c r="Q21" s="83"/>
      <c r="R21" s="83"/>
      <c r="S21" s="83"/>
      <c r="T21" s="83"/>
      <c r="U21" s="83"/>
      <c r="V21" s="83"/>
      <c r="W21" s="83"/>
      <c r="X21" s="83"/>
      <c r="Y21" s="362">
        <v>1.0640000000000001</v>
      </c>
      <c r="Z21" s="123"/>
      <c r="AA21" s="83"/>
      <c r="AB21" s="83"/>
      <c r="AC21" s="83"/>
      <c r="AD21" s="83"/>
      <c r="AE21" s="83"/>
      <c r="AF21" s="83"/>
      <c r="AG21" s="83"/>
      <c r="AH21" s="83"/>
      <c r="AI21" s="83"/>
      <c r="AJ21" s="83"/>
      <c r="AK21" s="83"/>
      <c r="AL21" s="83"/>
      <c r="AM21" s="83"/>
      <c r="AN21" s="83"/>
      <c r="AO21" s="83"/>
      <c r="AP21" s="83"/>
      <c r="AQ21" s="83"/>
      <c r="AR21" s="83"/>
      <c r="AS21" s="83"/>
      <c r="AT21" s="362">
        <v>1.0049999999999999</v>
      </c>
      <c r="AU21" s="123"/>
      <c r="AV21" s="83"/>
      <c r="AW21" s="83"/>
      <c r="AX21" s="83"/>
      <c r="AY21" s="83"/>
      <c r="AZ21" s="83"/>
      <c r="BA21" s="83"/>
      <c r="BB21" s="83"/>
      <c r="BC21" s="83"/>
      <c r="BD21" s="83"/>
      <c r="BE21" s="83"/>
      <c r="BF21" s="83"/>
      <c r="BG21" s="83"/>
      <c r="BH21" s="83"/>
      <c r="BI21" s="83"/>
      <c r="BJ21" s="83"/>
      <c r="BK21" s="83"/>
      <c r="BL21" s="83"/>
      <c r="BM21" s="83"/>
      <c r="BN21" s="83"/>
      <c r="BP21" s="949"/>
      <c r="BR21" s="190" t="s">
        <v>152</v>
      </c>
      <c r="BS21" s="190"/>
      <c r="BT21" s="190">
        <v>33</v>
      </c>
      <c r="BU21" s="190"/>
    </row>
    <row r="22" spans="2:73" x14ac:dyDescent="0.25">
      <c r="C22" s="9" t="s">
        <v>70</v>
      </c>
      <c r="D22" s="362">
        <v>1.016</v>
      </c>
      <c r="E22" s="123"/>
      <c r="F22" s="83"/>
      <c r="G22" s="83"/>
      <c r="H22" s="83"/>
      <c r="I22" s="83"/>
      <c r="J22" s="83"/>
      <c r="K22" s="83"/>
      <c r="L22" s="83"/>
      <c r="M22" s="83"/>
      <c r="N22" s="83"/>
      <c r="O22" s="83"/>
      <c r="P22" s="83"/>
      <c r="Q22" s="83"/>
      <c r="R22" s="83"/>
      <c r="S22" s="83"/>
      <c r="T22" s="83"/>
      <c r="U22" s="83"/>
      <c r="V22" s="83"/>
      <c r="W22" s="83"/>
      <c r="X22" s="83"/>
      <c r="Y22" s="362">
        <v>1.07</v>
      </c>
      <c r="Z22" s="123"/>
      <c r="AA22" s="83"/>
      <c r="AB22" s="83"/>
      <c r="AC22" s="83"/>
      <c r="AD22" s="83"/>
      <c r="AE22" s="83"/>
      <c r="AF22" s="83"/>
      <c r="AG22" s="83"/>
      <c r="AH22" s="83"/>
      <c r="AI22" s="83"/>
      <c r="AJ22" s="83"/>
      <c r="AK22" s="83"/>
      <c r="AL22" s="83"/>
      <c r="AM22" s="83"/>
      <c r="AN22" s="83"/>
      <c r="AO22" s="83"/>
      <c r="AP22" s="83"/>
      <c r="AQ22" s="83"/>
      <c r="AR22" s="83"/>
      <c r="AS22" s="83"/>
      <c r="AT22" s="362">
        <v>1.0069999999999999</v>
      </c>
      <c r="AU22" s="123"/>
      <c r="AV22" s="83"/>
      <c r="AW22" s="83"/>
      <c r="AX22" s="83"/>
      <c r="AY22" s="83"/>
      <c r="AZ22" s="83"/>
      <c r="BA22" s="83"/>
      <c r="BB22" s="83"/>
      <c r="BC22" s="83"/>
      <c r="BD22" s="83"/>
      <c r="BE22" s="83"/>
      <c r="BF22" s="83"/>
      <c r="BG22" s="83"/>
      <c r="BH22" s="83"/>
      <c r="BI22" s="83"/>
      <c r="BJ22" s="83"/>
      <c r="BK22" s="83"/>
      <c r="BL22" s="83"/>
      <c r="BM22" s="83"/>
      <c r="BN22" s="83"/>
      <c r="BP22" s="949"/>
      <c r="BR22" s="190" t="s">
        <v>153</v>
      </c>
      <c r="BS22" s="190"/>
      <c r="BT22" s="190">
        <v>30</v>
      </c>
      <c r="BU22" s="190"/>
    </row>
    <row r="23" spans="2:73" x14ac:dyDescent="0.25">
      <c r="C23" s="9" t="s">
        <v>69</v>
      </c>
      <c r="D23" s="362">
        <v>1.036</v>
      </c>
      <c r="E23" s="123"/>
      <c r="F23" s="83"/>
      <c r="G23" s="83"/>
      <c r="H23" s="83"/>
      <c r="I23" s="83"/>
      <c r="J23" s="83"/>
      <c r="K23" s="83"/>
      <c r="L23" s="83"/>
      <c r="M23" s="83"/>
      <c r="N23" s="83"/>
      <c r="O23" s="83"/>
      <c r="P23" s="83"/>
      <c r="Q23" s="83"/>
      <c r="R23" s="83"/>
      <c r="S23" s="83"/>
      <c r="T23" s="83"/>
      <c r="U23" s="83"/>
      <c r="V23" s="83"/>
      <c r="W23" s="83"/>
      <c r="X23" s="83"/>
      <c r="Y23" s="362">
        <v>1.103</v>
      </c>
      <c r="Z23" s="123"/>
      <c r="AA23" s="83"/>
      <c r="AB23" s="83"/>
      <c r="AC23" s="83"/>
      <c r="AD23" s="83"/>
      <c r="AE23" s="83"/>
      <c r="AF23" s="83"/>
      <c r="AG23" s="83"/>
      <c r="AH23" s="83"/>
      <c r="AI23" s="83"/>
      <c r="AJ23" s="83"/>
      <c r="AK23" s="83"/>
      <c r="AL23" s="83"/>
      <c r="AM23" s="83"/>
      <c r="AN23" s="83"/>
      <c r="AO23" s="83"/>
      <c r="AP23" s="83"/>
      <c r="AQ23" s="83"/>
      <c r="AR23" s="83"/>
      <c r="AS23" s="83"/>
      <c r="AT23" s="362">
        <v>1.0349999999999999</v>
      </c>
      <c r="AU23" s="123"/>
      <c r="AV23" s="83"/>
      <c r="AW23" s="83"/>
      <c r="AX23" s="83"/>
      <c r="AY23" s="83"/>
      <c r="AZ23" s="83"/>
      <c r="BA23" s="83"/>
      <c r="BB23" s="83"/>
      <c r="BC23" s="83"/>
      <c r="BD23" s="83"/>
      <c r="BE23" s="83"/>
      <c r="BF23" s="83"/>
      <c r="BG23" s="83"/>
      <c r="BH23" s="83"/>
      <c r="BI23" s="83"/>
      <c r="BJ23" s="83"/>
      <c r="BK23" s="83"/>
      <c r="BL23" s="83"/>
      <c r="BM23" s="83"/>
      <c r="BN23" s="83"/>
      <c r="BP23" s="949"/>
      <c r="BR23" s="190" t="s">
        <v>154</v>
      </c>
      <c r="BS23" s="190"/>
      <c r="BT23" s="190">
        <v>323</v>
      </c>
      <c r="BU23" s="190"/>
    </row>
    <row r="24" spans="2:73" x14ac:dyDescent="0.25">
      <c r="C24" s="9" t="s">
        <v>26</v>
      </c>
      <c r="D24" s="362">
        <v>1.075</v>
      </c>
      <c r="E24" s="123"/>
      <c r="F24" s="83"/>
      <c r="G24" s="83"/>
      <c r="H24" s="83"/>
      <c r="I24" s="83"/>
      <c r="J24" s="83"/>
      <c r="K24" s="83"/>
      <c r="L24" s="83"/>
      <c r="M24" s="83"/>
      <c r="N24" s="83"/>
      <c r="O24" s="83"/>
      <c r="P24" s="83"/>
      <c r="Q24" s="83"/>
      <c r="R24" s="83"/>
      <c r="S24" s="83"/>
      <c r="T24" s="83"/>
      <c r="U24" s="83"/>
      <c r="V24" s="83"/>
      <c r="W24" s="83"/>
      <c r="X24" s="83"/>
      <c r="Y24" s="362">
        <v>1.149</v>
      </c>
      <c r="Z24" s="123"/>
      <c r="AA24" s="83"/>
      <c r="AB24" s="83"/>
      <c r="AC24" s="83"/>
      <c r="AD24" s="83"/>
      <c r="AE24" s="83"/>
      <c r="AF24" s="83"/>
      <c r="AG24" s="83"/>
      <c r="AH24" s="83"/>
      <c r="AI24" s="83"/>
      <c r="AJ24" s="83"/>
      <c r="AK24" s="83"/>
      <c r="AL24" s="83"/>
      <c r="AM24" s="83"/>
      <c r="AN24" s="83"/>
      <c r="AO24" s="83"/>
      <c r="AP24" s="83"/>
      <c r="AQ24" s="83"/>
      <c r="AR24" s="83"/>
      <c r="AS24" s="83"/>
      <c r="AT24" s="362">
        <v>1.0660000000000001</v>
      </c>
      <c r="AU24" s="123"/>
      <c r="AV24" s="83"/>
      <c r="AW24" s="83"/>
      <c r="AX24" s="83"/>
      <c r="AY24" s="83"/>
      <c r="AZ24" s="83"/>
      <c r="BA24" s="83"/>
      <c r="BB24" s="83"/>
      <c r="BC24" s="83"/>
      <c r="BD24" s="83"/>
      <c r="BE24" s="83"/>
      <c r="BF24" s="83"/>
      <c r="BG24" s="83"/>
      <c r="BH24" s="83"/>
      <c r="BI24" s="83"/>
      <c r="BJ24" s="83"/>
      <c r="BK24" s="83"/>
      <c r="BL24" s="83"/>
      <c r="BM24" s="83"/>
      <c r="BN24" s="83"/>
      <c r="BP24" s="949"/>
      <c r="BR24" s="192" t="s">
        <v>156</v>
      </c>
      <c r="BS24" s="190"/>
      <c r="BT24" s="190">
        <v>610</v>
      </c>
      <c r="BU24" s="190"/>
    </row>
    <row r="25" spans="2:73" x14ac:dyDescent="0.25">
      <c r="C25" s="10" t="s">
        <v>27</v>
      </c>
      <c r="D25" s="363">
        <v>1.087</v>
      </c>
      <c r="E25" s="124"/>
      <c r="F25" s="125"/>
      <c r="G25" s="125"/>
      <c r="H25" s="125"/>
      <c r="I25" s="125"/>
      <c r="J25" s="125"/>
      <c r="K25" s="125"/>
      <c r="L25" s="125"/>
      <c r="M25" s="125"/>
      <c r="N25" s="125"/>
      <c r="O25" s="125"/>
      <c r="P25" s="125"/>
      <c r="Q25" s="125"/>
      <c r="R25" s="125"/>
      <c r="S25" s="125"/>
      <c r="T25" s="125"/>
      <c r="U25" s="125"/>
      <c r="V25" s="125"/>
      <c r="W25" s="125"/>
      <c r="X25" s="125"/>
      <c r="Y25" s="363">
        <v>1.171</v>
      </c>
      <c r="Z25" s="124"/>
      <c r="AA25" s="125"/>
      <c r="AB25" s="125"/>
      <c r="AC25" s="125"/>
      <c r="AD25" s="125"/>
      <c r="AE25" s="125"/>
      <c r="AF25" s="125"/>
      <c r="AG25" s="125"/>
      <c r="AH25" s="125"/>
      <c r="AI25" s="125"/>
      <c r="AJ25" s="125"/>
      <c r="AK25" s="125"/>
      <c r="AL25" s="125"/>
      <c r="AM25" s="125"/>
      <c r="AN25" s="125"/>
      <c r="AO25" s="125"/>
      <c r="AP25" s="125"/>
      <c r="AQ25" s="125"/>
      <c r="AR25" s="125"/>
      <c r="AS25" s="125"/>
      <c r="AT25" s="363">
        <v>1.073</v>
      </c>
      <c r="AU25" s="124"/>
      <c r="AV25" s="125"/>
      <c r="AW25" s="125"/>
      <c r="AX25" s="125"/>
      <c r="AY25" s="125"/>
      <c r="AZ25" s="125"/>
      <c r="BA25" s="125"/>
      <c r="BB25" s="125"/>
      <c r="BC25" s="125"/>
      <c r="BD25" s="125"/>
      <c r="BE25" s="125"/>
      <c r="BF25" s="125"/>
      <c r="BG25" s="125"/>
      <c r="BH25" s="125"/>
      <c r="BI25" s="125"/>
      <c r="BJ25" s="125"/>
      <c r="BK25" s="125"/>
      <c r="BL25" s="125"/>
      <c r="BM25" s="125"/>
      <c r="BN25" s="125"/>
      <c r="BP25" s="950"/>
      <c r="BR25" s="190" t="s">
        <v>157</v>
      </c>
      <c r="BS25" s="190" t="s">
        <v>148</v>
      </c>
      <c r="BT25" s="191">
        <v>101000</v>
      </c>
      <c r="BU25" s="190"/>
    </row>
    <row r="26" spans="2:73" x14ac:dyDescent="0.2">
      <c r="D26" s="131"/>
      <c r="E26" s="16"/>
      <c r="F26" s="16"/>
      <c r="G26" s="16"/>
      <c r="H26" s="16"/>
      <c r="I26" s="16"/>
      <c r="Y26" s="131"/>
      <c r="Z26" s="16"/>
      <c r="AA26" s="16"/>
      <c r="AB26" s="16"/>
      <c r="AC26" s="16"/>
      <c r="AD26" s="16"/>
      <c r="AE26" s="16"/>
      <c r="AF26" s="16"/>
      <c r="AG26" s="16"/>
      <c r="AH26" s="16"/>
      <c r="AI26" s="16"/>
      <c r="AJ26" s="16"/>
      <c r="AK26" s="16"/>
      <c r="AL26" s="16"/>
      <c r="AM26" s="16"/>
      <c r="AN26" s="16"/>
      <c r="AO26" s="16"/>
      <c r="AP26" s="16"/>
      <c r="AQ26" s="16"/>
      <c r="AR26" s="16"/>
      <c r="AS26" s="16"/>
      <c r="AT26" s="131"/>
      <c r="AU26" s="16"/>
      <c r="AV26" s="16"/>
      <c r="AW26" s="16"/>
      <c r="AX26" s="16"/>
      <c r="AY26" s="16"/>
      <c r="BR26" s="192" t="s">
        <v>158</v>
      </c>
      <c r="BS26" s="190" t="s">
        <v>149</v>
      </c>
      <c r="BT26" s="190">
        <v>1</v>
      </c>
      <c r="BU26" s="190" t="s">
        <v>147</v>
      </c>
    </row>
    <row r="27" spans="2:73" x14ac:dyDescent="0.2">
      <c r="B27" s="2" t="s">
        <v>80</v>
      </c>
      <c r="D27" s="131"/>
      <c r="E27" s="16"/>
      <c r="F27" s="16"/>
      <c r="G27" s="16"/>
      <c r="H27" s="16"/>
      <c r="I27" s="16"/>
      <c r="Y27" s="131"/>
      <c r="Z27" s="16"/>
      <c r="AA27" s="16"/>
      <c r="AB27" s="16"/>
      <c r="AC27" s="16"/>
      <c r="AD27" s="16"/>
      <c r="AE27" s="16"/>
      <c r="AF27" s="16"/>
      <c r="AG27" s="16"/>
      <c r="AH27" s="16"/>
      <c r="AI27" s="16"/>
      <c r="AJ27" s="16"/>
      <c r="AK27" s="16"/>
      <c r="AL27" s="16"/>
      <c r="AM27" s="16"/>
      <c r="AN27" s="16"/>
      <c r="AO27" s="16"/>
      <c r="AP27" s="16"/>
      <c r="AQ27" s="16"/>
      <c r="AR27" s="16"/>
      <c r="AS27" s="16"/>
      <c r="AT27" s="131"/>
      <c r="AU27" s="16"/>
      <c r="AV27" s="16"/>
      <c r="AW27" s="16"/>
      <c r="AX27" s="16"/>
      <c r="AY27" s="16"/>
      <c r="BR27" s="192" t="s">
        <v>159</v>
      </c>
      <c r="BS27" s="190"/>
      <c r="BT27" s="191">
        <v>15600</v>
      </c>
      <c r="BU27" s="190" t="s">
        <v>1</v>
      </c>
    </row>
    <row r="28" spans="2:73" x14ac:dyDescent="0.2">
      <c r="B28" s="2"/>
      <c r="D28" s="131"/>
      <c r="E28" s="16"/>
      <c r="F28" s="16"/>
      <c r="G28" s="16"/>
      <c r="H28" s="16"/>
      <c r="I28" s="16"/>
      <c r="Y28" s="131"/>
      <c r="Z28" s="16"/>
      <c r="AA28" s="16"/>
      <c r="AB28" s="16"/>
      <c r="AC28" s="16"/>
      <c r="AD28" s="16"/>
      <c r="AE28" s="16"/>
      <c r="AF28" s="16"/>
      <c r="AG28" s="16"/>
      <c r="AH28" s="16"/>
      <c r="AI28" s="16"/>
      <c r="AJ28" s="16"/>
      <c r="AK28" s="16"/>
      <c r="AL28" s="16"/>
      <c r="AM28" s="16"/>
      <c r="AN28" s="16"/>
      <c r="AO28" s="16"/>
      <c r="AP28" s="16"/>
      <c r="AQ28" s="16"/>
      <c r="AR28" s="16"/>
      <c r="AS28" s="16"/>
      <c r="AT28" s="131"/>
      <c r="AU28" s="16"/>
      <c r="AV28" s="16"/>
      <c r="AW28" s="16"/>
      <c r="AX28" s="16"/>
      <c r="AY28" s="16"/>
      <c r="BR28" s="190"/>
      <c r="BS28" s="192" t="s">
        <v>160</v>
      </c>
      <c r="BT28" s="191">
        <v>117500</v>
      </c>
      <c r="BU28" s="190" t="s">
        <v>1</v>
      </c>
    </row>
    <row r="29" spans="2:73" x14ac:dyDescent="0.2">
      <c r="C29" s="368" t="s">
        <v>14</v>
      </c>
      <c r="D29" s="941" t="s">
        <v>476</v>
      </c>
      <c r="E29" s="942"/>
      <c r="F29" s="951" t="s">
        <v>18</v>
      </c>
      <c r="G29" s="952"/>
      <c r="H29" s="138"/>
      <c r="I29" s="138"/>
      <c r="J29" s="138"/>
      <c r="K29" s="138"/>
      <c r="L29" s="138"/>
      <c r="M29" s="138"/>
      <c r="N29" s="138"/>
      <c r="O29" s="898"/>
      <c r="P29" s="898"/>
      <c r="Q29" s="898"/>
      <c r="R29" s="898"/>
      <c r="S29" s="898"/>
      <c r="T29" s="898"/>
      <c r="U29" s="898"/>
      <c r="V29" s="898"/>
      <c r="W29" s="898"/>
      <c r="X29" s="138"/>
      <c r="Y29" s="941" t="s">
        <v>476</v>
      </c>
      <c r="Z29" s="942"/>
      <c r="AA29" s="943" t="s">
        <v>18</v>
      </c>
      <c r="AB29" s="944"/>
      <c r="AC29" s="138"/>
      <c r="AD29" s="138"/>
      <c r="AE29" s="138"/>
      <c r="AF29" s="138"/>
      <c r="AG29" s="138"/>
      <c r="AH29" s="138"/>
      <c r="AI29" s="138"/>
      <c r="AJ29" s="138"/>
      <c r="AK29" s="898"/>
      <c r="AL29" s="898"/>
      <c r="AM29" s="898"/>
      <c r="AN29" s="898"/>
      <c r="AO29" s="898"/>
      <c r="AP29" s="898"/>
      <c r="AQ29" s="898"/>
      <c r="AR29" s="898"/>
      <c r="AS29" s="898"/>
      <c r="AT29" s="941" t="s">
        <v>476</v>
      </c>
      <c r="AU29" s="942"/>
      <c r="AV29" s="943" t="s">
        <v>18</v>
      </c>
      <c r="AW29" s="944"/>
      <c r="AX29" s="138"/>
      <c r="AY29" s="138"/>
      <c r="AZ29" s="138"/>
      <c r="BA29" s="138"/>
      <c r="BB29" s="138"/>
      <c r="BC29" s="138"/>
      <c r="BD29" s="138"/>
      <c r="BE29" s="138"/>
      <c r="BF29" s="898"/>
      <c r="BG29" s="898"/>
      <c r="BH29" s="898"/>
      <c r="BI29" s="898"/>
      <c r="BJ29" s="898"/>
      <c r="BK29" s="898"/>
      <c r="BL29" s="898"/>
      <c r="BM29" s="898"/>
      <c r="BN29" s="898"/>
      <c r="BR29" s="192" t="s">
        <v>163</v>
      </c>
      <c r="BS29" s="190"/>
      <c r="BT29" s="191">
        <v>9200</v>
      </c>
      <c r="BU29" s="190" t="s">
        <v>1</v>
      </c>
    </row>
    <row r="30" spans="2:73" x14ac:dyDescent="0.2">
      <c r="C30" s="369"/>
      <c r="D30" s="132" t="s">
        <v>15</v>
      </c>
      <c r="E30" s="332" t="s">
        <v>16</v>
      </c>
      <c r="F30" s="332" t="s">
        <v>15</v>
      </c>
      <c r="G30" s="332" t="s">
        <v>16</v>
      </c>
      <c r="H30" s="129"/>
      <c r="I30" s="129"/>
      <c r="J30" s="129"/>
      <c r="K30" s="129"/>
      <c r="L30" s="129"/>
      <c r="M30" s="129"/>
      <c r="N30" s="129"/>
      <c r="O30" s="129"/>
      <c r="P30" s="129"/>
      <c r="Q30" s="129"/>
      <c r="R30" s="129"/>
      <c r="S30" s="129"/>
      <c r="T30" s="129"/>
      <c r="U30" s="129"/>
      <c r="V30" s="129"/>
      <c r="W30" s="129"/>
      <c r="X30" s="129"/>
      <c r="Y30" s="132" t="s">
        <v>15</v>
      </c>
      <c r="Z30" s="109" t="s">
        <v>16</v>
      </c>
      <c r="AA30" s="109" t="s">
        <v>15</v>
      </c>
      <c r="AB30" s="109" t="s">
        <v>16</v>
      </c>
      <c r="AC30" s="129"/>
      <c r="AD30" s="129"/>
      <c r="AE30" s="129"/>
      <c r="AF30" s="129"/>
      <c r="AG30" s="129"/>
      <c r="AH30" s="129"/>
      <c r="AI30" s="129"/>
      <c r="AJ30" s="129"/>
      <c r="AK30" s="129"/>
      <c r="AL30" s="129"/>
      <c r="AM30" s="129"/>
      <c r="AN30" s="129"/>
      <c r="AO30" s="129"/>
      <c r="AP30" s="129"/>
      <c r="AQ30" s="129"/>
      <c r="AR30" s="129"/>
      <c r="AS30" s="129"/>
      <c r="AT30" s="132" t="s">
        <v>15</v>
      </c>
      <c r="AU30" s="109" t="s">
        <v>16</v>
      </c>
      <c r="AV30" s="109" t="s">
        <v>15</v>
      </c>
      <c r="AW30" s="109" t="s">
        <v>16</v>
      </c>
      <c r="AX30" s="129"/>
      <c r="AY30" s="129"/>
      <c r="AZ30" s="129"/>
      <c r="BA30" s="129"/>
      <c r="BB30" s="129"/>
      <c r="BC30" s="129"/>
      <c r="BD30" s="129"/>
      <c r="BE30" s="129"/>
      <c r="BF30" s="129"/>
      <c r="BG30" s="129"/>
      <c r="BH30" s="129"/>
      <c r="BI30" s="129"/>
      <c r="BJ30" s="129"/>
      <c r="BK30" s="129"/>
      <c r="BL30" s="129"/>
      <c r="BM30" s="129"/>
      <c r="BN30" s="129"/>
      <c r="BR30" s="192" t="s">
        <v>161</v>
      </c>
      <c r="BS30" s="190"/>
      <c r="BT30" s="190">
        <v>298</v>
      </c>
      <c r="BU30" s="190"/>
    </row>
    <row r="31" spans="2:73" x14ac:dyDescent="0.2">
      <c r="C31" s="370" t="s">
        <v>368</v>
      </c>
      <c r="D31" s="891">
        <f>D33</f>
        <v>16.146999999999998</v>
      </c>
      <c r="E31" s="892">
        <v>0</v>
      </c>
      <c r="F31" s="177">
        <f t="shared" ref="F31:F32" si="1">D54/SUM(D54:E54)</f>
        <v>1</v>
      </c>
      <c r="G31" s="177">
        <f t="shared" ref="G31:G32" si="2">E54/SUM(D54:E54)</f>
        <v>0</v>
      </c>
      <c r="H31" s="374"/>
      <c r="I31" s="122"/>
      <c r="J31" s="83"/>
      <c r="K31" s="83"/>
      <c r="L31" s="83"/>
      <c r="M31" s="83"/>
      <c r="N31" s="83"/>
      <c r="O31" s="83"/>
      <c r="P31" s="83"/>
      <c r="Q31" s="83"/>
      <c r="R31" s="83"/>
      <c r="S31" s="83"/>
      <c r="T31" s="83"/>
      <c r="U31" s="83"/>
      <c r="V31" s="83"/>
      <c r="W31" s="83"/>
      <c r="X31" s="83"/>
      <c r="Y31" s="891">
        <v>0</v>
      </c>
      <c r="Z31" s="740">
        <f>0.5*E31</f>
        <v>0</v>
      </c>
      <c r="AA31" s="177"/>
      <c r="AB31" s="177"/>
      <c r="AC31" s="83"/>
      <c r="AD31" s="83"/>
      <c r="AE31" s="83"/>
      <c r="AF31" s="83"/>
      <c r="AG31" s="83"/>
      <c r="AH31" s="83"/>
      <c r="AI31" s="83"/>
      <c r="AJ31" s="83"/>
      <c r="AK31" s="83"/>
      <c r="AL31" s="83"/>
      <c r="AM31" s="83"/>
      <c r="AN31" s="83"/>
      <c r="AO31" s="83"/>
      <c r="AP31" s="83"/>
      <c r="AQ31" s="83"/>
      <c r="AR31" s="83"/>
      <c r="AS31" s="83"/>
      <c r="AT31" s="133"/>
      <c r="AU31" s="11"/>
      <c r="AV31" s="11"/>
      <c r="AW31" s="11"/>
      <c r="AX31" s="83"/>
      <c r="AY31" s="83"/>
      <c r="AZ31" s="83"/>
      <c r="BA31" s="83"/>
      <c r="BB31" s="83"/>
      <c r="BC31" s="83"/>
      <c r="BD31" s="83"/>
      <c r="BE31" s="83"/>
      <c r="BF31" s="83"/>
      <c r="BG31" s="83"/>
      <c r="BH31" s="83"/>
      <c r="BI31" s="83"/>
      <c r="BJ31" s="83"/>
      <c r="BK31" s="83"/>
      <c r="BL31" s="83"/>
      <c r="BM31" s="83"/>
      <c r="BN31" s="83"/>
      <c r="BR31" s="190"/>
      <c r="BS31" s="193" t="s">
        <v>162</v>
      </c>
      <c r="BT31" s="191">
        <v>1185</v>
      </c>
      <c r="BU31" s="190"/>
    </row>
    <row r="32" spans="2:73" x14ac:dyDescent="0.2">
      <c r="C32" s="12" t="s">
        <v>369</v>
      </c>
      <c r="D32" s="891">
        <v>50.500999999999998</v>
      </c>
      <c r="E32" s="892">
        <v>0</v>
      </c>
      <c r="F32" s="177">
        <f t="shared" si="1"/>
        <v>0.95333333333333325</v>
      </c>
      <c r="G32" s="177">
        <f t="shared" si="2"/>
        <v>4.6666666666666669E-2</v>
      </c>
      <c r="H32" s="123"/>
      <c r="I32" s="83"/>
      <c r="J32" s="83"/>
      <c r="K32" s="83"/>
      <c r="L32" s="83"/>
      <c r="M32" s="83"/>
      <c r="N32" s="83"/>
      <c r="O32" s="83"/>
      <c r="P32" s="83"/>
      <c r="Q32" s="83"/>
      <c r="R32" s="83"/>
      <c r="S32" s="83"/>
      <c r="T32" s="83"/>
      <c r="U32" s="83"/>
      <c r="V32" s="83"/>
      <c r="W32" s="83"/>
      <c r="X32" s="83"/>
      <c r="Y32" s="891">
        <v>96.497</v>
      </c>
      <c r="Z32" s="740">
        <v>0</v>
      </c>
      <c r="AA32" s="177">
        <f t="shared" ref="AA32" si="3">Y55/SUM(Y55:Z55)</f>
        <v>0.95333333333333325</v>
      </c>
      <c r="AB32" s="177">
        <f t="shared" ref="AB32" si="4">Z55/SUM(Y55:Z55)</f>
        <v>4.6666666666666669E-2</v>
      </c>
      <c r="AC32" s="83"/>
      <c r="AD32" s="83"/>
      <c r="AE32" s="83"/>
      <c r="AF32" s="83"/>
      <c r="AG32" s="83"/>
      <c r="AH32" s="83"/>
      <c r="AI32" s="83"/>
      <c r="AJ32" s="83"/>
      <c r="AK32" s="83"/>
      <c r="AL32" s="83"/>
      <c r="AM32" s="83"/>
      <c r="AN32" s="83"/>
      <c r="AO32" s="83"/>
      <c r="AP32" s="83"/>
      <c r="AQ32" s="83"/>
      <c r="AR32" s="83"/>
      <c r="AS32" s="83"/>
      <c r="AT32" s="133"/>
      <c r="AU32" s="11"/>
      <c r="AV32" s="11"/>
      <c r="AW32" s="11"/>
      <c r="AX32" s="83"/>
      <c r="AY32" s="83"/>
      <c r="AZ32" s="83"/>
      <c r="BA32" s="83"/>
      <c r="BB32" s="83"/>
      <c r="BC32" s="83"/>
      <c r="BD32" s="83"/>
      <c r="BE32" s="83"/>
      <c r="BF32" s="83"/>
      <c r="BG32" s="83"/>
      <c r="BH32" s="83"/>
      <c r="BI32" s="83"/>
      <c r="BJ32" s="83"/>
      <c r="BK32" s="83"/>
      <c r="BL32" s="83"/>
      <c r="BM32" s="83"/>
      <c r="BN32" s="83"/>
    </row>
    <row r="33" spans="2:67" x14ac:dyDescent="0.2">
      <c r="C33" s="12" t="s">
        <v>375</v>
      </c>
      <c r="D33" s="891">
        <v>16.146999999999998</v>
      </c>
      <c r="E33" s="892">
        <v>1.758</v>
      </c>
      <c r="F33" s="177">
        <f t="shared" ref="F33:F34" si="5">D56/SUM(D56:E56)</f>
        <v>1</v>
      </c>
      <c r="G33" s="177">
        <f t="shared" ref="G33:G34" si="6">E56/SUM(D56:E56)</f>
        <v>0</v>
      </c>
      <c r="H33" s="123"/>
      <c r="I33" s="83"/>
      <c r="J33" s="83"/>
      <c r="K33" s="83"/>
      <c r="L33" s="83"/>
      <c r="M33" s="83"/>
      <c r="N33" s="83"/>
      <c r="O33" s="83"/>
      <c r="P33" s="83"/>
      <c r="Q33" s="83"/>
      <c r="R33" s="83"/>
      <c r="S33" s="83"/>
      <c r="T33" s="83"/>
      <c r="U33" s="83"/>
      <c r="V33" s="83"/>
      <c r="W33" s="83"/>
      <c r="X33" s="83"/>
      <c r="Y33" s="891">
        <v>101.45399999999999</v>
      </c>
      <c r="Z33" s="740">
        <v>6.2E-2</v>
      </c>
      <c r="AA33" s="177">
        <f t="shared" ref="AA33:AA34" si="7">Y56/SUM(Y56:Z56)</f>
        <v>1</v>
      </c>
      <c r="AB33" s="177">
        <f t="shared" ref="AB33:AB34" si="8">Z56/SUM(Y56:Z56)</f>
        <v>0</v>
      </c>
      <c r="AC33" s="83"/>
      <c r="AD33" s="83"/>
      <c r="AE33" s="83"/>
      <c r="AF33" s="83"/>
      <c r="AG33" s="83"/>
      <c r="AH33" s="83"/>
      <c r="AI33" s="83"/>
      <c r="AJ33" s="83"/>
      <c r="AK33" s="83"/>
      <c r="AL33" s="83"/>
      <c r="AM33" s="83"/>
      <c r="AN33" s="83"/>
      <c r="AO33" s="83"/>
      <c r="AP33" s="83"/>
      <c r="AQ33" s="83"/>
      <c r="AR33" s="83"/>
      <c r="AS33" s="83"/>
      <c r="AT33" s="133"/>
      <c r="AU33" s="11"/>
      <c r="AV33" s="11"/>
      <c r="AW33" s="11"/>
      <c r="AX33" s="83"/>
      <c r="AY33" s="83"/>
      <c r="AZ33" s="83"/>
      <c r="BA33" s="83"/>
      <c r="BB33" s="83"/>
      <c r="BC33" s="83"/>
      <c r="BD33" s="83"/>
      <c r="BE33" s="83"/>
      <c r="BF33" s="83"/>
      <c r="BG33" s="83"/>
      <c r="BH33" s="83"/>
      <c r="BI33" s="83"/>
      <c r="BJ33" s="83"/>
      <c r="BK33" s="83"/>
      <c r="BL33" s="83"/>
      <c r="BM33" s="83"/>
      <c r="BN33" s="83"/>
    </row>
    <row r="34" spans="2:67" x14ac:dyDescent="0.2">
      <c r="C34" s="12" t="s">
        <v>376</v>
      </c>
      <c r="D34" s="891">
        <v>44.85</v>
      </c>
      <c r="E34" s="892">
        <v>0.13800000000000001</v>
      </c>
      <c r="F34" s="177">
        <f t="shared" si="5"/>
        <v>0.95333333333333325</v>
      </c>
      <c r="G34" s="177">
        <f t="shared" si="6"/>
        <v>4.6666666666666669E-2</v>
      </c>
      <c r="H34" s="123"/>
      <c r="I34" s="83"/>
      <c r="J34" s="83"/>
      <c r="K34" s="83"/>
      <c r="L34" s="83"/>
      <c r="M34" s="83"/>
      <c r="N34" s="83"/>
      <c r="O34" s="83"/>
      <c r="P34" s="83"/>
      <c r="Q34" s="83"/>
      <c r="R34" s="83"/>
      <c r="S34" s="83"/>
      <c r="T34" s="83"/>
      <c r="U34" s="83"/>
      <c r="V34" s="83"/>
      <c r="W34" s="83"/>
      <c r="X34" s="83"/>
      <c r="Y34" s="891">
        <v>98.301000000000002</v>
      </c>
      <c r="Z34" s="740">
        <v>0.128</v>
      </c>
      <c r="AA34" s="177">
        <f t="shared" si="7"/>
        <v>0.93457943925233644</v>
      </c>
      <c r="AB34" s="177">
        <f t="shared" si="8"/>
        <v>6.5420560747663559E-2</v>
      </c>
      <c r="AC34" s="83"/>
      <c r="AD34" s="83"/>
      <c r="AE34" s="83"/>
      <c r="AF34" s="83"/>
      <c r="AG34" s="83"/>
      <c r="AH34" s="83"/>
      <c r="AI34" s="83"/>
      <c r="AJ34" s="83"/>
      <c r="AK34" s="83"/>
      <c r="AL34" s="83"/>
      <c r="AM34" s="83"/>
      <c r="AN34" s="83"/>
      <c r="AO34" s="83"/>
      <c r="AP34" s="83"/>
      <c r="AQ34" s="83"/>
      <c r="AR34" s="83"/>
      <c r="AS34" s="83"/>
      <c r="AT34" s="894">
        <v>109.953</v>
      </c>
      <c r="AU34" s="375">
        <v>0</v>
      </c>
      <c r="AV34" s="177">
        <v>1</v>
      </c>
      <c r="AW34" s="177">
        <v>0</v>
      </c>
      <c r="AX34" s="83"/>
      <c r="AY34" s="83"/>
      <c r="AZ34" s="83"/>
      <c r="BA34" s="83"/>
      <c r="BB34" s="83"/>
      <c r="BC34" s="83"/>
      <c r="BD34" s="83"/>
      <c r="BE34" s="83"/>
      <c r="BF34" s="83"/>
      <c r="BG34" s="83"/>
      <c r="BH34" s="83"/>
      <c r="BI34" s="83"/>
      <c r="BJ34" s="83"/>
      <c r="BK34" s="83"/>
      <c r="BL34" s="83"/>
      <c r="BM34" s="83"/>
      <c r="BN34" s="83"/>
    </row>
    <row r="35" spans="2:67" x14ac:dyDescent="0.2">
      <c r="B35" s="5"/>
      <c r="C35" s="12" t="s">
        <v>75</v>
      </c>
      <c r="D35" s="891">
        <v>4.7030000000000003</v>
      </c>
      <c r="E35" s="892">
        <v>2.23</v>
      </c>
      <c r="F35" s="177">
        <f>D58/SUM(D58:E58)</f>
        <v>0.38659793814432986</v>
      </c>
      <c r="G35" s="177">
        <f>E58/SUM(D58:E58)</f>
        <v>0.61340206185567003</v>
      </c>
      <c r="H35" s="123"/>
      <c r="I35" s="83"/>
      <c r="J35" s="83"/>
      <c r="K35" s="83"/>
      <c r="L35" s="83"/>
      <c r="M35" s="83"/>
      <c r="N35" s="83"/>
      <c r="O35" s="83"/>
      <c r="P35" s="83"/>
      <c r="Q35" s="83"/>
      <c r="R35" s="83"/>
      <c r="S35" s="83"/>
      <c r="T35" s="83"/>
      <c r="U35" s="83"/>
      <c r="V35" s="83"/>
      <c r="W35" s="83"/>
      <c r="X35" s="83"/>
      <c r="Y35" s="891">
        <v>7.6669999999999998</v>
      </c>
      <c r="Z35" s="740">
        <v>0.7</v>
      </c>
      <c r="AA35" s="177">
        <f>Y58/SUM(Y58:Z58)</f>
        <v>0.21881838074398249</v>
      </c>
      <c r="AB35" s="177">
        <f>Z58/SUM(Y58:Z58)</f>
        <v>0.78118161925601737</v>
      </c>
      <c r="AC35" s="83"/>
      <c r="AD35" s="83"/>
      <c r="AE35" s="83"/>
      <c r="AF35" s="83"/>
      <c r="AG35" s="83"/>
      <c r="AH35" s="83"/>
      <c r="AI35" s="83"/>
      <c r="AJ35" s="83"/>
      <c r="AK35" s="83"/>
      <c r="AL35" s="83"/>
      <c r="AM35" s="83"/>
      <c r="AN35" s="83"/>
      <c r="AO35" s="83"/>
      <c r="AP35" s="83"/>
      <c r="AQ35" s="83"/>
      <c r="AR35" s="83"/>
      <c r="AS35" s="83"/>
      <c r="AT35" s="894">
        <v>6.14</v>
      </c>
      <c r="AU35" s="375">
        <v>0.71599999999999997</v>
      </c>
      <c r="AV35" s="177">
        <f t="shared" ref="AV35:AV36" si="9">F35</f>
        <v>0.38659793814432986</v>
      </c>
      <c r="AW35" s="177">
        <f t="shared" ref="AW35:AW36" si="10">G35</f>
        <v>0.61340206185567003</v>
      </c>
      <c r="AX35" s="83"/>
      <c r="AY35" s="83"/>
      <c r="AZ35" s="83"/>
      <c r="BA35" s="83"/>
      <c r="BB35" s="83"/>
      <c r="BC35" s="83"/>
      <c r="BD35" s="83"/>
      <c r="BE35" s="83"/>
      <c r="BF35" s="83"/>
      <c r="BG35" s="83"/>
      <c r="BH35" s="83"/>
      <c r="BI35" s="83"/>
      <c r="BJ35" s="83"/>
      <c r="BK35" s="83"/>
      <c r="BL35" s="83"/>
      <c r="BM35" s="83"/>
      <c r="BN35" s="83"/>
    </row>
    <row r="36" spans="2:67" x14ac:dyDescent="0.2">
      <c r="C36" s="12" t="s">
        <v>74</v>
      </c>
      <c r="D36" s="891">
        <v>89.46</v>
      </c>
      <c r="E36" s="892">
        <v>2.46</v>
      </c>
      <c r="F36" s="177">
        <f>D59/SUM(D59:E59)</f>
        <v>0.620253164556962</v>
      </c>
      <c r="G36" s="177">
        <f>E59/SUM(D59:E59)</f>
        <v>0.37974683544303794</v>
      </c>
      <c r="H36" s="123"/>
      <c r="I36" s="83"/>
      <c r="J36" s="83"/>
      <c r="K36" s="83"/>
      <c r="L36" s="83"/>
      <c r="M36" s="83"/>
      <c r="N36" s="83"/>
      <c r="O36" s="83"/>
      <c r="P36" s="83"/>
      <c r="Q36" s="83"/>
      <c r="R36" s="83"/>
      <c r="S36" s="83"/>
      <c r="T36" s="83"/>
      <c r="U36" s="83"/>
      <c r="V36" s="83"/>
      <c r="W36" s="83"/>
      <c r="X36" s="83"/>
      <c r="Y36" s="891">
        <v>34.003999999999998</v>
      </c>
      <c r="Z36" s="740">
        <v>0.71699999999999997</v>
      </c>
      <c r="AA36" s="177">
        <f>Y59/SUM(Y59:Z59)</f>
        <v>0.56521739130434789</v>
      </c>
      <c r="AB36" s="177">
        <f>Z59/SUM(Y59:Z59)</f>
        <v>0.43478260869565222</v>
      </c>
      <c r="AC36" s="83"/>
      <c r="AD36" s="83"/>
      <c r="AE36" s="83"/>
      <c r="AF36" s="83"/>
      <c r="AG36" s="83"/>
      <c r="AH36" s="83"/>
      <c r="AI36" s="83"/>
      <c r="AJ36" s="83"/>
      <c r="AK36" s="83"/>
      <c r="AL36" s="83"/>
      <c r="AM36" s="83"/>
      <c r="AN36" s="83"/>
      <c r="AO36" s="83"/>
      <c r="AP36" s="83"/>
      <c r="AQ36" s="83"/>
      <c r="AR36" s="83"/>
      <c r="AS36" s="83"/>
      <c r="AT36" s="894">
        <v>165.54</v>
      </c>
      <c r="AU36" s="375">
        <v>0.60199999999999998</v>
      </c>
      <c r="AV36" s="177">
        <f t="shared" si="9"/>
        <v>0.620253164556962</v>
      </c>
      <c r="AW36" s="177">
        <f t="shared" si="10"/>
        <v>0.37974683544303794</v>
      </c>
      <c r="AX36" s="83"/>
      <c r="AY36" s="83"/>
      <c r="AZ36" s="83"/>
      <c r="BA36" s="83"/>
      <c r="BB36" s="83"/>
      <c r="BC36" s="83"/>
      <c r="BD36" s="83"/>
      <c r="BE36" s="83"/>
      <c r="BF36" s="83"/>
      <c r="BG36" s="83"/>
      <c r="BH36" s="83"/>
      <c r="BI36" s="83"/>
      <c r="BJ36" s="83"/>
      <c r="BK36" s="83"/>
      <c r="BL36" s="83"/>
      <c r="BM36" s="83"/>
      <c r="BN36" s="83"/>
    </row>
    <row r="37" spans="2:67" x14ac:dyDescent="0.2">
      <c r="C37" s="12" t="s">
        <v>76</v>
      </c>
      <c r="D37" s="133"/>
      <c r="E37" s="11"/>
      <c r="F37" s="11"/>
      <c r="G37" s="11"/>
      <c r="H37" s="123"/>
      <c r="I37" s="83"/>
      <c r="J37" s="83"/>
      <c r="K37" s="83"/>
      <c r="L37" s="83"/>
      <c r="M37" s="83"/>
      <c r="N37" s="83"/>
      <c r="O37" s="83"/>
      <c r="P37" s="83"/>
      <c r="Q37" s="83"/>
      <c r="R37" s="83"/>
      <c r="S37" s="83"/>
      <c r="T37" s="83"/>
      <c r="U37" s="83"/>
      <c r="V37" s="83"/>
      <c r="W37" s="83"/>
      <c r="X37" s="83"/>
      <c r="Y37" s="891">
        <v>852.00199999999995</v>
      </c>
      <c r="Z37" s="893"/>
      <c r="AA37" s="177">
        <v>1</v>
      </c>
      <c r="AB37" s="177">
        <f t="shared" ref="AB37" si="11">1-AA37</f>
        <v>0</v>
      </c>
      <c r="AC37" s="83"/>
      <c r="AD37" s="83"/>
      <c r="AE37" s="83"/>
      <c r="AF37" s="83"/>
      <c r="AG37" s="83"/>
      <c r="AH37" s="83"/>
      <c r="AI37" s="83"/>
      <c r="AJ37" s="83"/>
      <c r="AK37" s="83"/>
      <c r="AL37" s="83"/>
      <c r="AM37" s="83"/>
      <c r="AN37" s="83"/>
      <c r="AO37" s="83"/>
      <c r="AP37" s="83"/>
      <c r="AQ37" s="83"/>
      <c r="AR37" s="83"/>
      <c r="AS37" s="83"/>
      <c r="AT37" s="133"/>
      <c r="AU37" s="11"/>
      <c r="AV37" s="11"/>
      <c r="AW37" s="11"/>
      <c r="AX37" s="83"/>
      <c r="AY37" s="83"/>
      <c r="AZ37" s="83"/>
      <c r="BA37" s="83"/>
      <c r="BB37" s="83"/>
      <c r="BC37" s="83"/>
      <c r="BD37" s="83"/>
      <c r="BE37" s="83"/>
      <c r="BF37" s="83"/>
      <c r="BG37" s="83"/>
      <c r="BH37" s="83"/>
      <c r="BI37" s="83"/>
      <c r="BJ37" s="83"/>
      <c r="BK37" s="83"/>
      <c r="BL37" s="83"/>
      <c r="BM37" s="83"/>
      <c r="BN37" s="83"/>
    </row>
    <row r="38" spans="2:67" x14ac:dyDescent="0.25">
      <c r="B38" s="17"/>
      <c r="C38" s="13" t="str">
        <f>"LV for "&amp;FIXED(D10,0)&amp;" MW"</f>
        <v>LV for 500 MW</v>
      </c>
      <c r="D38" s="738">
        <f>$D$40/$BO41*D42</f>
        <v>3347.5501267545551</v>
      </c>
      <c r="E38" s="739">
        <f>$E$40/$BO41*D42</f>
        <v>1434.6643400376665</v>
      </c>
      <c r="F38" s="364">
        <f>D38/(D38+E38)</f>
        <v>0.7</v>
      </c>
      <c r="G38" s="365">
        <f>E38/(D38+E38)</f>
        <v>0.3</v>
      </c>
      <c r="H38" s="124"/>
      <c r="I38" s="125"/>
      <c r="J38" s="125"/>
      <c r="K38" s="125"/>
      <c r="L38" s="125"/>
      <c r="M38" s="125"/>
      <c r="N38" s="125"/>
      <c r="O38" s="125"/>
      <c r="P38" s="125"/>
      <c r="Q38" s="125"/>
      <c r="R38" s="125"/>
      <c r="S38" s="125"/>
      <c r="T38" s="125"/>
      <c r="U38" s="125"/>
      <c r="V38" s="125"/>
      <c r="W38" s="125"/>
      <c r="X38" s="125"/>
      <c r="Y38" s="738">
        <f>$D$40/$BO41*Y42</f>
        <v>307.04719017063252</v>
      </c>
      <c r="Z38" s="739">
        <f>$E$40/$BO41*Y42</f>
        <v>131.59165293027107</v>
      </c>
      <c r="AA38" s="364">
        <f>Y38/(Y38+Z38)</f>
        <v>0.7</v>
      </c>
      <c r="AB38" s="365">
        <f>Z38/(Y38+Z38)</f>
        <v>0.29999999999999993</v>
      </c>
      <c r="AC38" s="125"/>
      <c r="AD38" s="125"/>
      <c r="AE38" s="125"/>
      <c r="AF38" s="125"/>
      <c r="AG38" s="125"/>
      <c r="AH38" s="125"/>
      <c r="AI38" s="125"/>
      <c r="AJ38" s="125"/>
      <c r="AK38" s="125"/>
      <c r="AL38" s="125"/>
      <c r="AM38" s="125"/>
      <c r="AN38" s="125"/>
      <c r="AO38" s="125"/>
      <c r="AP38" s="125"/>
      <c r="AQ38" s="125"/>
      <c r="AR38" s="125"/>
      <c r="AS38" s="125"/>
      <c r="AT38" s="738">
        <f>$D$40/$BO41*AT42</f>
        <v>53.268007277837576</v>
      </c>
      <c r="AU38" s="739">
        <f>$E$40/$BO41*AT42</f>
        <v>22.8291459762161</v>
      </c>
      <c r="AV38" s="364">
        <f>AT38/(AT38+AU38)</f>
        <v>0.7</v>
      </c>
      <c r="AW38" s="365">
        <f>AU38/(AT38+AU38)</f>
        <v>0.29999999999999993</v>
      </c>
      <c r="AX38" s="125"/>
      <c r="AY38" s="125"/>
      <c r="AZ38" s="125"/>
      <c r="BA38" s="125"/>
      <c r="BB38" s="125"/>
      <c r="BC38" s="125"/>
      <c r="BD38" s="125"/>
      <c r="BE38" s="125"/>
      <c r="BF38" s="125"/>
      <c r="BG38" s="125"/>
      <c r="BH38" s="125"/>
      <c r="BI38" s="125"/>
      <c r="BJ38" s="125"/>
      <c r="BK38" s="125"/>
      <c r="BL38" s="125"/>
      <c r="BM38" s="125"/>
      <c r="BN38" s="125"/>
    </row>
    <row r="39" spans="2:67" x14ac:dyDescent="0.2">
      <c r="D39" s="131"/>
      <c r="E39" s="16"/>
      <c r="F39" s="16"/>
      <c r="G39" s="16"/>
      <c r="H39" s="16"/>
      <c r="I39" s="16"/>
      <c r="Y39" s="147"/>
      <c r="AT39" s="147"/>
    </row>
    <row r="40" spans="2:67" x14ac:dyDescent="0.25">
      <c r="C40" s="48" t="s">
        <v>77</v>
      </c>
      <c r="D40" s="396">
        <f>F40*0.7</f>
        <v>16800</v>
      </c>
      <c r="E40" s="397">
        <f>F40*0.3</f>
        <v>7200</v>
      </c>
      <c r="F40" s="405">
        <v>24000</v>
      </c>
      <c r="G40" s="395" t="s">
        <v>146</v>
      </c>
      <c r="H40" s="197"/>
      <c r="I40" s="16"/>
      <c r="Y40" s="131"/>
      <c r="Z40" s="16"/>
      <c r="AA40" s="16"/>
      <c r="AB40" s="16"/>
      <c r="AC40" s="16"/>
      <c r="AD40" s="16"/>
      <c r="AE40" s="16"/>
      <c r="AF40" s="16"/>
      <c r="AG40" s="16"/>
      <c r="AH40" s="16"/>
      <c r="AI40" s="16"/>
      <c r="AJ40" s="16"/>
      <c r="AK40" s="16"/>
      <c r="AL40" s="16"/>
      <c r="AM40" s="16"/>
      <c r="AN40" s="16"/>
      <c r="AO40" s="16"/>
      <c r="AP40" s="16"/>
      <c r="AQ40" s="16"/>
      <c r="AR40" s="16"/>
      <c r="AS40" s="16"/>
      <c r="AT40" s="131"/>
      <c r="AU40" s="16"/>
      <c r="AV40" s="16"/>
      <c r="AW40" s="16"/>
      <c r="AX40" s="16"/>
      <c r="AY40" s="16"/>
    </row>
    <row r="41" spans="2:67" x14ac:dyDescent="0.25">
      <c r="C41" s="48" t="s">
        <v>388</v>
      </c>
      <c r="D41" s="676">
        <f>'Inputs - tariff class'!D72</f>
        <v>2045.3068462088922</v>
      </c>
      <c r="E41" s="16"/>
      <c r="F41" s="16"/>
      <c r="G41" s="16"/>
      <c r="H41" s="197"/>
      <c r="I41" s="16"/>
      <c r="Y41" s="676">
        <f>'Inputs - tariff class'!Y72</f>
        <v>187.60158814232571</v>
      </c>
      <c r="Z41" s="16"/>
      <c r="AA41" s="16"/>
      <c r="AB41" s="16"/>
      <c r="AC41" s="16"/>
      <c r="AD41" s="16"/>
      <c r="AE41" s="16"/>
      <c r="AF41" s="16"/>
      <c r="AG41" s="16"/>
      <c r="AH41" s="16"/>
      <c r="AI41" s="16"/>
      <c r="AJ41" s="16"/>
      <c r="AK41" s="16"/>
      <c r="AL41" s="16"/>
      <c r="AM41" s="16"/>
      <c r="AN41" s="16"/>
      <c r="AO41" s="16"/>
      <c r="AP41" s="16"/>
      <c r="AQ41" s="16"/>
      <c r="AR41" s="16"/>
      <c r="AS41" s="16"/>
      <c r="AT41" s="676">
        <f>'Inputs - tariff class'!AT72</f>
        <v>32.546015994954672</v>
      </c>
      <c r="AU41" s="16"/>
      <c r="AV41" s="16"/>
      <c r="AW41" s="16"/>
      <c r="AX41" s="16"/>
      <c r="AY41" s="16"/>
      <c r="BO41" s="404">
        <f>SUM(D41,Y41,AT41)</f>
        <v>2265.454450346173</v>
      </c>
    </row>
    <row r="42" spans="2:67" x14ac:dyDescent="0.25">
      <c r="C42" s="48" t="s">
        <v>230</v>
      </c>
      <c r="D42" s="676">
        <f>D10*D41/SUM(D41,Y41,AT41)</f>
        <v>451.41204359601204</v>
      </c>
      <c r="E42" s="16"/>
      <c r="F42" s="16"/>
      <c r="G42" s="16"/>
      <c r="H42" s="197"/>
      <c r="I42" s="16"/>
      <c r="Y42" s="676">
        <f>D10*Y41/SUM(D41,Y41,AT41)</f>
        <v>41.404846633234946</v>
      </c>
      <c r="Z42" s="16"/>
      <c r="AA42" s="16"/>
      <c r="AB42" s="16"/>
      <c r="AC42" s="16"/>
      <c r="AD42" s="16"/>
      <c r="AE42" s="16"/>
      <c r="AF42" s="16"/>
      <c r="AG42" s="16"/>
      <c r="AH42" s="16"/>
      <c r="AI42" s="16"/>
      <c r="AJ42" s="16"/>
      <c r="AK42" s="16"/>
      <c r="AL42" s="16"/>
      <c r="AM42" s="16"/>
      <c r="AN42" s="16"/>
      <c r="AO42" s="16"/>
      <c r="AP42" s="16"/>
      <c r="AQ42" s="16"/>
      <c r="AR42" s="16"/>
      <c r="AS42" s="16"/>
      <c r="AT42" s="676">
        <f>D10*AT41/SUM(D41,Y41,AT41)</f>
        <v>7.1831097707529441</v>
      </c>
      <c r="AU42" s="16"/>
      <c r="AV42" s="16"/>
      <c r="AW42" s="16"/>
      <c r="AX42" s="16"/>
      <c r="AY42" s="16"/>
      <c r="BO42" s="404">
        <f>SUM(D42,Y42,AT42)</f>
        <v>499.99999999999994</v>
      </c>
    </row>
    <row r="43" spans="2:67" x14ac:dyDescent="0.25">
      <c r="C43" s="16"/>
      <c r="D43" s="378"/>
      <c r="E43" s="16"/>
      <c r="F43" s="16"/>
      <c r="G43" s="16"/>
      <c r="H43" s="197"/>
      <c r="I43" s="16"/>
      <c r="Y43" s="131"/>
      <c r="Z43" s="16"/>
      <c r="AA43" s="16"/>
      <c r="AB43" s="16"/>
      <c r="AC43" s="16"/>
      <c r="AD43" s="16"/>
      <c r="AE43" s="16"/>
      <c r="AF43" s="16"/>
      <c r="AG43" s="16"/>
      <c r="AH43" s="16"/>
      <c r="AI43" s="16"/>
      <c r="AJ43" s="16"/>
      <c r="AK43" s="16"/>
      <c r="AL43" s="16"/>
      <c r="AM43" s="16"/>
      <c r="AN43" s="16"/>
      <c r="AO43" s="16"/>
      <c r="AP43" s="16"/>
      <c r="AQ43" s="16"/>
      <c r="AR43" s="16"/>
      <c r="AS43" s="16"/>
      <c r="AT43" s="131"/>
      <c r="AU43" s="16"/>
      <c r="AV43" s="16"/>
      <c r="AW43" s="16"/>
      <c r="AX43" s="16"/>
      <c r="AY43" s="16"/>
    </row>
    <row r="44" spans="2:67" x14ac:dyDescent="0.25">
      <c r="B44" s="1" t="s">
        <v>226</v>
      </c>
      <c r="C44" s="48"/>
      <c r="D44" s="378"/>
      <c r="E44" s="16"/>
      <c r="F44" s="16"/>
      <c r="G44" s="16"/>
      <c r="H44" s="18"/>
      <c r="I44" s="16"/>
      <c r="Y44" s="131"/>
      <c r="Z44" s="16"/>
      <c r="AA44" s="16"/>
      <c r="AB44" s="16"/>
      <c r="AC44" s="16"/>
      <c r="AD44" s="16"/>
      <c r="AE44" s="16"/>
      <c r="AF44" s="16"/>
      <c r="AG44" s="16"/>
      <c r="AH44" s="16"/>
      <c r="AI44" s="16"/>
      <c r="AJ44" s="16"/>
      <c r="AK44" s="16"/>
      <c r="AL44" s="16"/>
      <c r="AM44" s="16"/>
      <c r="AN44" s="16"/>
      <c r="AO44" s="16"/>
      <c r="AP44" s="16"/>
      <c r="AQ44" s="16"/>
      <c r="AR44" s="16"/>
      <c r="AS44" s="16"/>
      <c r="AT44" s="131"/>
      <c r="AU44" s="16"/>
      <c r="AV44" s="16"/>
      <c r="AW44" s="16"/>
      <c r="AX44" s="16"/>
      <c r="AY44" s="16"/>
    </row>
    <row r="45" spans="2:67" x14ac:dyDescent="0.25">
      <c r="B45" s="1"/>
      <c r="C45" s="48"/>
      <c r="D45" s="378"/>
      <c r="E45" s="16"/>
      <c r="F45" s="16"/>
      <c r="G45" s="16"/>
      <c r="H45" s="18"/>
      <c r="I45" s="16"/>
      <c r="Y45" s="131"/>
      <c r="Z45" s="16"/>
      <c r="AA45" s="16"/>
      <c r="AB45" s="16"/>
      <c r="AC45" s="16"/>
      <c r="AD45" s="16"/>
      <c r="AE45" s="16"/>
      <c r="AF45" s="16"/>
      <c r="AG45" s="16"/>
      <c r="AH45" s="16"/>
      <c r="AI45" s="16"/>
      <c r="AJ45" s="16"/>
      <c r="AK45" s="16"/>
      <c r="AL45" s="16"/>
      <c r="AM45" s="16"/>
      <c r="AN45" s="16"/>
      <c r="AO45" s="16"/>
      <c r="AP45" s="16"/>
      <c r="AQ45" s="16"/>
      <c r="AR45" s="16"/>
      <c r="AS45" s="16"/>
      <c r="AT45" s="131"/>
      <c r="AU45" s="16"/>
      <c r="AV45" s="16"/>
      <c r="AW45" s="16"/>
      <c r="AX45" s="16"/>
      <c r="AY45" s="16"/>
    </row>
    <row r="46" spans="2:67" x14ac:dyDescent="0.25">
      <c r="B46" s="48"/>
      <c r="C46" s="355" t="s">
        <v>14</v>
      </c>
      <c r="D46" s="360" t="s">
        <v>227</v>
      </c>
      <c r="E46" s="19"/>
      <c r="F46" s="196"/>
      <c r="G46" s="196"/>
      <c r="H46" s="18"/>
      <c r="I46" s="16"/>
      <c r="Y46" s="360" t="s">
        <v>227</v>
      </c>
      <c r="AT46" s="360" t="s">
        <v>227</v>
      </c>
      <c r="AU46" s="16"/>
      <c r="AV46" s="16"/>
      <c r="AW46" s="16"/>
      <c r="AX46" s="16"/>
      <c r="AY46" s="16"/>
    </row>
    <row r="47" spans="2:67" x14ac:dyDescent="0.25">
      <c r="B47" s="376"/>
      <c r="C47" s="377" t="s">
        <v>83</v>
      </c>
      <c r="D47" s="379">
        <v>0.25</v>
      </c>
      <c r="E47" s="19"/>
      <c r="F47" s="196"/>
      <c r="G47" s="196"/>
      <c r="H47" s="18"/>
      <c r="I47" s="16"/>
      <c r="Y47" s="379">
        <f t="shared" ref="Y47:Y48" si="12">D47</f>
        <v>0.25</v>
      </c>
      <c r="Z47" s="16"/>
      <c r="AA47" s="16"/>
      <c r="AB47" s="16"/>
      <c r="AC47" s="16"/>
      <c r="AD47" s="16"/>
      <c r="AE47" s="16"/>
      <c r="AF47" s="16"/>
      <c r="AG47" s="16"/>
      <c r="AH47" s="16"/>
      <c r="AI47" s="16"/>
      <c r="AJ47" s="16"/>
      <c r="AK47" s="16"/>
      <c r="AL47" s="16"/>
      <c r="AM47" s="16"/>
      <c r="AN47" s="16"/>
      <c r="AO47" s="16"/>
      <c r="AP47" s="16"/>
      <c r="AQ47" s="16"/>
      <c r="AR47" s="16"/>
      <c r="AS47" s="16"/>
      <c r="AT47" s="406"/>
      <c r="AU47" s="16"/>
      <c r="AV47" s="16"/>
      <c r="AW47" s="16"/>
      <c r="AX47" s="16"/>
      <c r="AY47" s="16"/>
    </row>
    <row r="48" spans="2:67" x14ac:dyDescent="0.25">
      <c r="B48" s="376"/>
      <c r="C48" s="50" t="s">
        <v>84</v>
      </c>
      <c r="D48" s="380">
        <v>0.25</v>
      </c>
      <c r="E48" s="19"/>
      <c r="F48" s="196"/>
      <c r="G48" s="196"/>
      <c r="H48" s="18"/>
      <c r="I48" s="16"/>
      <c r="Y48" s="380">
        <f t="shared" si="12"/>
        <v>0.25</v>
      </c>
      <c r="Z48" s="16"/>
      <c r="AA48" s="16"/>
      <c r="AB48" s="16"/>
      <c r="AC48" s="16"/>
      <c r="AD48" s="16"/>
      <c r="AE48" s="16"/>
      <c r="AF48" s="16"/>
      <c r="AG48" s="16"/>
      <c r="AH48" s="16"/>
      <c r="AI48" s="16"/>
      <c r="AJ48" s="16"/>
      <c r="AK48" s="16"/>
      <c r="AL48" s="16"/>
      <c r="AM48" s="16"/>
      <c r="AN48" s="16"/>
      <c r="AO48" s="16"/>
      <c r="AP48" s="16"/>
      <c r="AQ48" s="16"/>
      <c r="AR48" s="16"/>
      <c r="AS48" s="16"/>
      <c r="AT48" s="380">
        <f t="shared" ref="AT48" si="13">Y48</f>
        <v>0.25</v>
      </c>
      <c r="AU48" s="16"/>
      <c r="AV48" s="16"/>
      <c r="AW48" s="16"/>
      <c r="AX48" s="16"/>
      <c r="AY48" s="16"/>
    </row>
    <row r="49" spans="2:68" x14ac:dyDescent="0.25">
      <c r="C49" s="51" t="s">
        <v>0</v>
      </c>
      <c r="D49" s="381">
        <v>0.9</v>
      </c>
      <c r="E49" s="19"/>
      <c r="F49" s="196"/>
      <c r="G49" s="196"/>
      <c r="H49" s="18"/>
      <c r="I49" s="16"/>
      <c r="Y49" s="381">
        <f>D49</f>
        <v>0.9</v>
      </c>
      <c r="Z49" s="16"/>
      <c r="AA49" s="16"/>
      <c r="AB49" s="16"/>
      <c r="AC49" s="16"/>
      <c r="AD49" s="16"/>
      <c r="AE49" s="16"/>
      <c r="AF49" s="16"/>
      <c r="AG49" s="16"/>
      <c r="AH49" s="16"/>
      <c r="AI49" s="16"/>
      <c r="AJ49" s="16"/>
      <c r="AK49" s="16"/>
      <c r="AL49" s="16"/>
      <c r="AM49" s="16"/>
      <c r="AN49" s="16"/>
      <c r="AO49" s="16"/>
      <c r="AP49" s="16"/>
      <c r="AQ49" s="16"/>
      <c r="AR49" s="16"/>
      <c r="AS49" s="16"/>
      <c r="AT49" s="381">
        <f>Y49</f>
        <v>0.9</v>
      </c>
      <c r="AU49" s="16"/>
      <c r="AV49" s="16"/>
      <c r="AW49" s="16"/>
      <c r="AX49" s="16"/>
      <c r="AY49" s="16"/>
    </row>
    <row r="50" spans="2:68" x14ac:dyDescent="0.25">
      <c r="C50" s="382"/>
      <c r="D50" s="383"/>
      <c r="E50" s="19"/>
      <c r="F50" s="196"/>
      <c r="G50" s="196"/>
      <c r="H50" s="18"/>
      <c r="I50" s="16"/>
      <c r="Y50" s="384"/>
      <c r="Z50" s="6"/>
      <c r="AA50" s="6"/>
      <c r="AB50" s="6"/>
      <c r="AC50" s="6"/>
      <c r="AD50" s="6"/>
      <c r="AE50" s="6"/>
      <c r="AF50" s="6"/>
      <c r="AG50" s="6"/>
      <c r="AH50" s="6"/>
      <c r="AI50" s="6"/>
      <c r="AJ50" s="6"/>
      <c r="AK50" s="6"/>
      <c r="AL50" s="6"/>
      <c r="AM50" s="6"/>
      <c r="AN50" s="6"/>
      <c r="AO50" s="6"/>
      <c r="AP50" s="6"/>
      <c r="AQ50" s="6"/>
      <c r="AR50" s="6"/>
      <c r="AS50" s="6"/>
      <c r="AT50" s="384"/>
      <c r="AU50" s="6"/>
      <c r="AV50" s="16"/>
      <c r="AW50" s="16"/>
      <c r="AX50" s="16"/>
      <c r="AY50" s="16"/>
    </row>
    <row r="51" spans="2:68" x14ac:dyDescent="0.25">
      <c r="B51" s="2" t="s">
        <v>228</v>
      </c>
      <c r="C51" s="382"/>
      <c r="D51" s="378"/>
      <c r="E51" s="19"/>
      <c r="F51" s="196"/>
      <c r="G51" s="196"/>
      <c r="H51" s="18"/>
      <c r="I51" s="16"/>
      <c r="Y51" s="384"/>
      <c r="Z51" s="6"/>
      <c r="AA51" s="6"/>
      <c r="AB51" s="6"/>
      <c r="AC51" s="6"/>
      <c r="AD51" s="6"/>
      <c r="AE51" s="6"/>
      <c r="AF51" s="6"/>
      <c r="AG51" s="6"/>
      <c r="AH51" s="6"/>
      <c r="AI51" s="6"/>
      <c r="AJ51" s="6"/>
      <c r="AK51" s="6"/>
      <c r="AL51" s="6"/>
      <c r="AM51" s="6"/>
      <c r="AN51" s="6"/>
      <c r="AO51" s="6"/>
      <c r="AP51" s="6"/>
      <c r="AQ51" s="6"/>
      <c r="AR51" s="6"/>
      <c r="AS51" s="6"/>
      <c r="AT51" s="384"/>
      <c r="AU51" s="6"/>
      <c r="AV51" s="16"/>
      <c r="AW51" s="16"/>
      <c r="AX51" s="16"/>
      <c r="AY51" s="16"/>
    </row>
    <row r="52" spans="2:68" x14ac:dyDescent="0.25">
      <c r="B52" s="18"/>
      <c r="D52" s="378"/>
      <c r="E52" s="16"/>
      <c r="F52" s="16"/>
      <c r="G52" s="16"/>
      <c r="H52" s="16"/>
      <c r="I52" s="16"/>
      <c r="Y52" s="131"/>
      <c r="Z52" s="16"/>
      <c r="AA52" s="16"/>
      <c r="AB52" s="16"/>
      <c r="AC52" s="16"/>
      <c r="AD52" s="16"/>
      <c r="AE52" s="16"/>
      <c r="AF52" s="16"/>
      <c r="AG52" s="16"/>
      <c r="AH52" s="16"/>
      <c r="AI52" s="16"/>
      <c r="AJ52" s="16"/>
      <c r="AK52" s="16"/>
      <c r="AL52" s="16"/>
      <c r="AM52" s="16"/>
      <c r="AN52" s="16"/>
      <c r="AO52" s="16"/>
      <c r="AP52" s="16"/>
      <c r="AQ52" s="16"/>
      <c r="AR52" s="16"/>
      <c r="AS52" s="16"/>
      <c r="AT52" s="131"/>
      <c r="AU52" s="16"/>
      <c r="AV52" s="16"/>
      <c r="AW52" s="16"/>
      <c r="AX52" s="16"/>
      <c r="AY52" s="16"/>
    </row>
    <row r="53" spans="2:68" ht="60" x14ac:dyDescent="0.2">
      <c r="C53" s="355" t="s">
        <v>14</v>
      </c>
      <c r="D53" s="392" t="s">
        <v>42</v>
      </c>
      <c r="E53" s="415" t="s">
        <v>43</v>
      </c>
      <c r="F53" s="416" t="s">
        <v>34</v>
      </c>
      <c r="G53" s="416" t="s">
        <v>35</v>
      </c>
      <c r="H53" s="416" t="s">
        <v>36</v>
      </c>
      <c r="I53" s="416" t="s">
        <v>33</v>
      </c>
      <c r="J53" s="373"/>
      <c r="K53" s="373"/>
      <c r="L53" s="373"/>
      <c r="M53" s="373"/>
      <c r="N53" s="373"/>
      <c r="O53" s="373"/>
      <c r="P53" s="373"/>
      <c r="Q53" s="373"/>
      <c r="R53" s="373"/>
      <c r="S53" s="373"/>
      <c r="T53" s="373"/>
      <c r="U53" s="373"/>
      <c r="V53" s="373"/>
      <c r="W53" s="373"/>
      <c r="X53" s="373"/>
      <c r="Y53" s="392" t="s">
        <v>42</v>
      </c>
      <c r="Z53" s="415" t="s">
        <v>43</v>
      </c>
      <c r="AA53" s="416" t="s">
        <v>34</v>
      </c>
      <c r="AB53" s="416" t="s">
        <v>35</v>
      </c>
      <c r="AC53" s="416" t="s">
        <v>36</v>
      </c>
      <c r="AD53" s="416" t="s">
        <v>33</v>
      </c>
      <c r="AE53" s="373"/>
      <c r="AF53" s="373"/>
      <c r="AG53" s="373"/>
      <c r="AH53" s="373"/>
      <c r="AI53" s="373"/>
      <c r="AJ53" s="373"/>
      <c r="AK53" s="373"/>
      <c r="AL53" s="373"/>
      <c r="AM53" s="373"/>
      <c r="AN53" s="373"/>
      <c r="AO53" s="373"/>
      <c r="AP53" s="373"/>
      <c r="AQ53" s="373"/>
      <c r="AR53" s="373"/>
      <c r="AS53" s="373"/>
      <c r="AT53" s="392" t="s">
        <v>42</v>
      </c>
      <c r="AU53" s="415" t="s">
        <v>43</v>
      </c>
      <c r="AV53" s="416" t="s">
        <v>34</v>
      </c>
      <c r="AW53" s="416" t="s">
        <v>35</v>
      </c>
      <c r="AX53" s="416" t="s">
        <v>36</v>
      </c>
      <c r="AY53" s="416" t="s">
        <v>33</v>
      </c>
      <c r="AZ53" s="373"/>
      <c r="BA53" s="373"/>
      <c r="BB53" s="373"/>
      <c r="BC53" s="373"/>
      <c r="BD53" s="373"/>
      <c r="BE53" s="373"/>
      <c r="BF53" s="373"/>
      <c r="BG53" s="373"/>
      <c r="BH53" s="373"/>
      <c r="BI53" s="373"/>
      <c r="BJ53" s="373"/>
      <c r="BK53" s="373"/>
      <c r="BL53" s="373"/>
      <c r="BM53" s="373"/>
      <c r="BN53" s="373"/>
    </row>
    <row r="54" spans="2:68" x14ac:dyDescent="0.2">
      <c r="C54" s="14" t="s">
        <v>377</v>
      </c>
      <c r="D54" s="390">
        <v>1.8</v>
      </c>
      <c r="E54" s="389">
        <v>0</v>
      </c>
      <c r="F54" s="175">
        <f>SUM(D54:E54)</f>
        <v>1.8</v>
      </c>
      <c r="G54" s="186">
        <f>(D54*D31)</f>
        <v>29.064599999999999</v>
      </c>
      <c r="H54" s="186">
        <f>(E54*E31)</f>
        <v>0</v>
      </c>
      <c r="I54" s="184" t="s">
        <v>86</v>
      </c>
      <c r="J54" s="83"/>
      <c r="K54" s="83"/>
      <c r="L54" s="83"/>
      <c r="M54" s="83"/>
      <c r="N54" s="83"/>
      <c r="O54" s="83"/>
      <c r="P54" s="83"/>
      <c r="Q54" s="83"/>
      <c r="R54" s="83"/>
      <c r="S54" s="83"/>
      <c r="T54" s="83"/>
      <c r="U54" s="83"/>
      <c r="V54" s="83"/>
      <c r="W54" s="83"/>
      <c r="X54" s="222"/>
      <c r="Y54" s="390"/>
      <c r="Z54" s="389">
        <f t="shared" ref="Z54:Z58" si="14">E54</f>
        <v>0</v>
      </c>
      <c r="AA54" s="175">
        <f>SUM(Y54:Z54)</f>
        <v>0</v>
      </c>
      <c r="AB54" s="186">
        <f>(Y54*Y31)</f>
        <v>0</v>
      </c>
      <c r="AC54" s="179">
        <f>(Z54*Z31)</f>
        <v>0</v>
      </c>
      <c r="AD54" s="184" t="s">
        <v>86</v>
      </c>
      <c r="AE54" s="83"/>
      <c r="AF54" s="83"/>
      <c r="AG54" s="83"/>
      <c r="AH54" s="83"/>
      <c r="AI54" s="83"/>
      <c r="AJ54" s="83"/>
      <c r="AK54" s="83"/>
      <c r="AL54" s="83"/>
      <c r="AM54" s="83"/>
      <c r="AN54" s="83"/>
      <c r="AO54" s="83"/>
      <c r="AP54" s="83"/>
      <c r="AQ54" s="83"/>
      <c r="AR54" s="83"/>
      <c r="AS54" s="222"/>
      <c r="AT54" s="210"/>
      <c r="AU54" s="211"/>
      <c r="AV54" s="212"/>
      <c r="AW54" s="215"/>
      <c r="AX54" s="213"/>
      <c r="AY54" s="214"/>
      <c r="AZ54" s="83"/>
      <c r="BA54" s="83"/>
      <c r="BB54" s="83"/>
      <c r="BC54" s="83"/>
      <c r="BD54" s="83"/>
      <c r="BE54" s="83"/>
      <c r="BF54" s="83"/>
      <c r="BG54" s="83"/>
      <c r="BH54" s="83"/>
      <c r="BI54" s="83"/>
      <c r="BJ54" s="83"/>
      <c r="BK54" s="83"/>
      <c r="BL54" s="83"/>
      <c r="BM54" s="83"/>
      <c r="BN54" s="222"/>
    </row>
    <row r="55" spans="2:68" x14ac:dyDescent="0.2">
      <c r="C55" s="14" t="s">
        <v>378</v>
      </c>
      <c r="D55" s="390">
        <v>1.43</v>
      </c>
      <c r="E55" s="389">
        <v>7.0000000000000007E-2</v>
      </c>
      <c r="F55" s="175">
        <f t="shared" ref="F55:F59" si="15">SUM(D55:E55)</f>
        <v>1.5</v>
      </c>
      <c r="G55" s="186">
        <f>(D55*D32)</f>
        <v>72.216429999999988</v>
      </c>
      <c r="H55" s="186">
        <f>(E55*E32)</f>
        <v>0</v>
      </c>
      <c r="I55" s="184" t="s">
        <v>86</v>
      </c>
      <c r="J55" s="83"/>
      <c r="K55" s="83"/>
      <c r="L55" s="83"/>
      <c r="M55" s="83"/>
      <c r="N55" s="83"/>
      <c r="O55" s="83"/>
      <c r="P55" s="83"/>
      <c r="Q55" s="83"/>
      <c r="R55" s="83"/>
      <c r="S55" s="83"/>
      <c r="T55" s="83"/>
      <c r="U55" s="83"/>
      <c r="V55" s="83"/>
      <c r="W55" s="83"/>
      <c r="X55" s="222"/>
      <c r="Y55" s="390">
        <f t="shared" ref="Y55:Y56" si="16">D55</f>
        <v>1.43</v>
      </c>
      <c r="Z55" s="389">
        <f t="shared" si="14"/>
        <v>7.0000000000000007E-2</v>
      </c>
      <c r="AA55" s="175">
        <f t="shared" ref="AA55:AA59" si="17">SUM(Y55:Z55)</f>
        <v>1.5</v>
      </c>
      <c r="AB55" s="186">
        <f>(Y55*Y32)</f>
        <v>137.99071000000001</v>
      </c>
      <c r="AC55" s="179">
        <f>(Z55*Z32)</f>
        <v>0</v>
      </c>
      <c r="AD55" s="184" t="s">
        <v>86</v>
      </c>
      <c r="AE55" s="83"/>
      <c r="AF55" s="83"/>
      <c r="AG55" s="83"/>
      <c r="AH55" s="83"/>
      <c r="AI55" s="83"/>
      <c r="AJ55" s="83"/>
      <c r="AK55" s="83"/>
      <c r="AL55" s="83"/>
      <c r="AM55" s="83"/>
      <c r="AN55" s="83"/>
      <c r="AO55" s="83"/>
      <c r="AP55" s="83"/>
      <c r="AQ55" s="83"/>
      <c r="AR55" s="83"/>
      <c r="AS55" s="222"/>
      <c r="AT55" s="210"/>
      <c r="AU55" s="211"/>
      <c r="AV55" s="212"/>
      <c r="AW55" s="215"/>
      <c r="AX55" s="213"/>
      <c r="AY55" s="214"/>
      <c r="AZ55" s="83"/>
      <c r="BA55" s="83"/>
      <c r="BB55" s="83"/>
      <c r="BC55" s="83"/>
      <c r="BD55" s="83"/>
      <c r="BE55" s="83"/>
      <c r="BF55" s="83"/>
      <c r="BG55" s="83"/>
      <c r="BH55" s="83"/>
      <c r="BI55" s="83"/>
      <c r="BJ55" s="83"/>
      <c r="BK55" s="83"/>
      <c r="BL55" s="83"/>
      <c r="BM55" s="83"/>
      <c r="BN55" s="222"/>
    </row>
    <row r="56" spans="2:68" x14ac:dyDescent="0.2">
      <c r="C56" s="14" t="s">
        <v>370</v>
      </c>
      <c r="D56" s="390">
        <v>1.8</v>
      </c>
      <c r="E56" s="389">
        <v>0</v>
      </c>
      <c r="F56" s="175">
        <f t="shared" si="15"/>
        <v>1.8</v>
      </c>
      <c r="G56" s="186">
        <f>(D56*D31)</f>
        <v>29.064599999999999</v>
      </c>
      <c r="H56" s="186">
        <f>(E56*E31)</f>
        <v>0</v>
      </c>
      <c r="I56" s="184" t="s">
        <v>86</v>
      </c>
      <c r="J56" s="83"/>
      <c r="K56" s="83"/>
      <c r="L56" s="83"/>
      <c r="M56" s="83"/>
      <c r="N56" s="83"/>
      <c r="O56" s="83"/>
      <c r="P56" s="83"/>
      <c r="Q56" s="83"/>
      <c r="R56" s="83"/>
      <c r="S56" s="83"/>
      <c r="T56" s="83"/>
      <c r="U56" s="83"/>
      <c r="V56" s="83"/>
      <c r="W56" s="83"/>
      <c r="X56" s="222"/>
      <c r="Y56" s="390">
        <f t="shared" si="16"/>
        <v>1.8</v>
      </c>
      <c r="Z56" s="389">
        <f t="shared" si="14"/>
        <v>0</v>
      </c>
      <c r="AA56" s="175">
        <f t="shared" si="17"/>
        <v>1.8</v>
      </c>
      <c r="AB56" s="186">
        <f>(Y56*Y31)</f>
        <v>0</v>
      </c>
      <c r="AC56" s="179">
        <f>(Z56*Z31)</f>
        <v>0</v>
      </c>
      <c r="AD56" s="184" t="s">
        <v>86</v>
      </c>
      <c r="AE56" s="83"/>
      <c r="AF56" s="83"/>
      <c r="AG56" s="83"/>
      <c r="AH56" s="83"/>
      <c r="AI56" s="83"/>
      <c r="AJ56" s="83"/>
      <c r="AK56" s="83"/>
      <c r="AL56" s="83"/>
      <c r="AM56" s="83"/>
      <c r="AN56" s="83"/>
      <c r="AO56" s="83"/>
      <c r="AP56" s="83"/>
      <c r="AQ56" s="83"/>
      <c r="AR56" s="83"/>
      <c r="AS56" s="222"/>
      <c r="AT56" s="210"/>
      <c r="AU56" s="211"/>
      <c r="AV56" s="212"/>
      <c r="AW56" s="215"/>
      <c r="AX56" s="213"/>
      <c r="AY56" s="214"/>
      <c r="AZ56" s="83"/>
      <c r="BA56" s="83"/>
      <c r="BB56" s="83"/>
      <c r="BC56" s="83"/>
      <c r="BD56" s="83"/>
      <c r="BE56" s="83"/>
      <c r="BF56" s="83"/>
      <c r="BG56" s="83"/>
      <c r="BH56" s="83"/>
      <c r="BI56" s="83"/>
      <c r="BJ56" s="83"/>
      <c r="BK56" s="83"/>
      <c r="BL56" s="83"/>
      <c r="BM56" s="83"/>
      <c r="BN56" s="222"/>
      <c r="BP56" s="217" t="s">
        <v>166</v>
      </c>
    </row>
    <row r="57" spans="2:68" x14ac:dyDescent="0.2">
      <c r="C57" s="14" t="s">
        <v>371</v>
      </c>
      <c r="D57" s="390">
        <v>1.43</v>
      </c>
      <c r="E57" s="389">
        <v>7.0000000000000007E-2</v>
      </c>
      <c r="F57" s="175">
        <f t="shared" si="15"/>
        <v>1.5</v>
      </c>
      <c r="G57" s="186">
        <f>(D57*D34)</f>
        <v>64.135499999999993</v>
      </c>
      <c r="H57" s="186">
        <f>(E57*E34)</f>
        <v>9.6600000000000019E-3</v>
      </c>
      <c r="I57" s="184" t="s">
        <v>86</v>
      </c>
      <c r="J57" s="83"/>
      <c r="K57" s="83"/>
      <c r="L57" s="83"/>
      <c r="M57" s="83"/>
      <c r="N57" s="83"/>
      <c r="O57" s="83"/>
      <c r="P57" s="83"/>
      <c r="Q57" s="83"/>
      <c r="R57" s="83"/>
      <c r="S57" s="83"/>
      <c r="T57" s="83"/>
      <c r="U57" s="83"/>
      <c r="V57" s="83"/>
      <c r="W57" s="83"/>
      <c r="X57" s="222"/>
      <c r="Y57" s="390">
        <v>1</v>
      </c>
      <c r="Z57" s="389">
        <f t="shared" si="14"/>
        <v>7.0000000000000007E-2</v>
      </c>
      <c r="AA57" s="175">
        <f t="shared" si="17"/>
        <v>1.07</v>
      </c>
      <c r="AB57" s="186">
        <f>(Y57*Y34)</f>
        <v>98.301000000000002</v>
      </c>
      <c r="AC57" s="179">
        <f>(Z57*Z34)</f>
        <v>8.9600000000000009E-3</v>
      </c>
      <c r="AD57" s="184" t="s">
        <v>86</v>
      </c>
      <c r="AE57" s="83"/>
      <c r="AF57" s="83"/>
      <c r="AG57" s="83"/>
      <c r="AH57" s="83"/>
      <c r="AI57" s="83"/>
      <c r="AJ57" s="83"/>
      <c r="AK57" s="83"/>
      <c r="AL57" s="83"/>
      <c r="AM57" s="83"/>
      <c r="AN57" s="83"/>
      <c r="AO57" s="83"/>
      <c r="AP57" s="83"/>
      <c r="AQ57" s="83"/>
      <c r="AR57" s="83"/>
      <c r="AS57" s="222"/>
      <c r="AT57" s="390">
        <f t="shared" ref="AT57" si="18">Y57</f>
        <v>1</v>
      </c>
      <c r="AU57" s="389">
        <f t="shared" ref="AU57" si="19">Z57</f>
        <v>7.0000000000000007E-2</v>
      </c>
      <c r="AV57" s="175">
        <f t="shared" ref="AV57:AV59" si="20">SUM(AT57:AU57)</f>
        <v>1.07</v>
      </c>
      <c r="AW57" s="215"/>
      <c r="AX57" s="213"/>
      <c r="AY57" s="214"/>
      <c r="AZ57" s="83"/>
      <c r="BA57" s="83"/>
      <c r="BB57" s="83"/>
      <c r="BC57" s="83"/>
      <c r="BD57" s="83"/>
      <c r="BE57" s="83"/>
      <c r="BF57" s="83"/>
      <c r="BG57" s="83"/>
      <c r="BH57" s="83"/>
      <c r="BI57" s="83"/>
      <c r="BJ57" s="83"/>
      <c r="BK57" s="83"/>
      <c r="BL57" s="83"/>
      <c r="BM57" s="83"/>
      <c r="BN57" s="222"/>
      <c r="BP57" s="3" t="s">
        <v>167</v>
      </c>
    </row>
    <row r="58" spans="2:68" x14ac:dyDescent="0.2">
      <c r="C58" s="14" t="s">
        <v>379</v>
      </c>
      <c r="D58" s="390">
        <v>2.25</v>
      </c>
      <c r="E58" s="389">
        <v>3.57</v>
      </c>
      <c r="F58" s="175">
        <f t="shared" si="15"/>
        <v>5.82</v>
      </c>
      <c r="G58" s="186">
        <f>(D58*D33)</f>
        <v>36.330749999999995</v>
      </c>
      <c r="H58" s="186">
        <f>(E58*E33)</f>
        <v>6.2760599999999993</v>
      </c>
      <c r="I58" s="184" t="s">
        <v>82</v>
      </c>
      <c r="J58" s="83"/>
      <c r="K58" s="83"/>
      <c r="L58" s="83"/>
      <c r="M58" s="83"/>
      <c r="N58" s="83"/>
      <c r="O58" s="83"/>
      <c r="P58" s="83"/>
      <c r="Q58" s="83"/>
      <c r="R58" s="83"/>
      <c r="S58" s="83"/>
      <c r="T58" s="83"/>
      <c r="U58" s="83"/>
      <c r="V58" s="83"/>
      <c r="W58" s="83"/>
      <c r="X58" s="222"/>
      <c r="Y58" s="390">
        <v>1</v>
      </c>
      <c r="Z58" s="389">
        <f t="shared" si="14"/>
        <v>3.57</v>
      </c>
      <c r="AA58" s="175">
        <f t="shared" si="17"/>
        <v>4.57</v>
      </c>
      <c r="AB58" s="186">
        <f>(Y58*Y33)</f>
        <v>101.45399999999999</v>
      </c>
      <c r="AC58" s="179">
        <f>(Z58*Z33)</f>
        <v>0.22133999999999998</v>
      </c>
      <c r="AD58" s="184" t="s">
        <v>82</v>
      </c>
      <c r="AE58" s="83"/>
      <c r="AF58" s="83"/>
      <c r="AG58" s="83"/>
      <c r="AH58" s="83"/>
      <c r="AI58" s="83"/>
      <c r="AJ58" s="83"/>
      <c r="AK58" s="83"/>
      <c r="AL58" s="83"/>
      <c r="AM58" s="83"/>
      <c r="AN58" s="83"/>
      <c r="AO58" s="83"/>
      <c r="AP58" s="83"/>
      <c r="AQ58" s="83"/>
      <c r="AR58" s="83"/>
      <c r="AS58" s="222"/>
      <c r="AT58" s="390">
        <f t="shared" ref="AT58:AT59" si="21">Y58</f>
        <v>1</v>
      </c>
      <c r="AU58" s="389">
        <f t="shared" ref="AU58" si="22">Z58</f>
        <v>3.57</v>
      </c>
      <c r="AV58" s="175">
        <f t="shared" si="20"/>
        <v>4.57</v>
      </c>
      <c r="AW58" s="186">
        <f>(AT58*AC33)/1000</f>
        <v>0</v>
      </c>
      <c r="AX58" s="179">
        <f>(AU58*AD33)/1000</f>
        <v>0</v>
      </c>
      <c r="AY58" s="184" t="s">
        <v>82</v>
      </c>
      <c r="AZ58" s="83"/>
      <c r="BA58" s="83"/>
      <c r="BB58" s="83"/>
      <c r="BC58" s="83"/>
      <c r="BD58" s="83"/>
      <c r="BE58" s="83"/>
      <c r="BF58" s="83"/>
      <c r="BG58" s="83"/>
      <c r="BH58" s="83"/>
      <c r="BI58" s="83"/>
      <c r="BJ58" s="83"/>
      <c r="BK58" s="83"/>
      <c r="BL58" s="83"/>
      <c r="BM58" s="83"/>
      <c r="BN58" s="222"/>
      <c r="BP58" s="3" t="s">
        <v>168</v>
      </c>
    </row>
    <row r="59" spans="2:68" x14ac:dyDescent="0.2">
      <c r="C59" s="15" t="s">
        <v>380</v>
      </c>
      <c r="D59" s="393">
        <v>2.4500000000000002</v>
      </c>
      <c r="E59" s="394">
        <v>1.5</v>
      </c>
      <c r="F59" s="176">
        <f t="shared" si="15"/>
        <v>3.95</v>
      </c>
      <c r="G59" s="187">
        <f>(D59*D34)</f>
        <v>109.88250000000001</v>
      </c>
      <c r="H59" s="187">
        <f>(E59*E34)</f>
        <v>0.20700000000000002</v>
      </c>
      <c r="I59" s="185" t="s">
        <v>82</v>
      </c>
      <c r="J59" s="125"/>
      <c r="K59" s="125"/>
      <c r="L59" s="125"/>
      <c r="M59" s="125"/>
      <c r="N59" s="125"/>
      <c r="O59" s="125"/>
      <c r="P59" s="125"/>
      <c r="Q59" s="125"/>
      <c r="R59" s="125"/>
      <c r="S59" s="125"/>
      <c r="T59" s="125"/>
      <c r="U59" s="125"/>
      <c r="V59" s="125"/>
      <c r="W59" s="125"/>
      <c r="X59" s="223"/>
      <c r="Y59" s="393">
        <v>1.3</v>
      </c>
      <c r="Z59" s="394">
        <v>1</v>
      </c>
      <c r="AA59" s="176">
        <f t="shared" si="17"/>
        <v>2.2999999999999998</v>
      </c>
      <c r="AB59" s="187">
        <f>(Y59*Y34)</f>
        <v>127.79130000000001</v>
      </c>
      <c r="AC59" s="180">
        <f>(Z59*Z34)</f>
        <v>0.128</v>
      </c>
      <c r="AD59" s="185" t="s">
        <v>82</v>
      </c>
      <c r="AE59" s="125"/>
      <c r="AF59" s="125"/>
      <c r="AG59" s="125"/>
      <c r="AH59" s="125"/>
      <c r="AI59" s="125"/>
      <c r="AJ59" s="125"/>
      <c r="AK59" s="125"/>
      <c r="AL59" s="125"/>
      <c r="AM59" s="125"/>
      <c r="AN59" s="125"/>
      <c r="AO59" s="125"/>
      <c r="AP59" s="125"/>
      <c r="AQ59" s="125"/>
      <c r="AR59" s="125"/>
      <c r="AS59" s="223"/>
      <c r="AT59" s="393">
        <f t="shared" si="21"/>
        <v>1.3</v>
      </c>
      <c r="AU59" s="394">
        <v>0</v>
      </c>
      <c r="AV59" s="176">
        <f t="shared" si="20"/>
        <v>1.3</v>
      </c>
      <c r="AW59" s="187">
        <f>(AT59*AC34)/1000</f>
        <v>0</v>
      </c>
      <c r="AX59" s="180">
        <f>(AU59*AD34)/1000</f>
        <v>0</v>
      </c>
      <c r="AY59" s="185" t="s">
        <v>82</v>
      </c>
      <c r="AZ59" s="125"/>
      <c r="BA59" s="125"/>
      <c r="BB59" s="125"/>
      <c r="BC59" s="125"/>
      <c r="BD59" s="125"/>
      <c r="BE59" s="125"/>
      <c r="BF59" s="125"/>
      <c r="BG59" s="125"/>
      <c r="BH59" s="125"/>
      <c r="BI59" s="125"/>
      <c r="BJ59" s="125"/>
      <c r="BK59" s="125"/>
      <c r="BL59" s="125"/>
      <c r="BM59" s="125"/>
      <c r="BN59" s="223"/>
      <c r="BP59" s="3" t="s">
        <v>169</v>
      </c>
    </row>
    <row r="60" spans="2:68" x14ac:dyDescent="0.2">
      <c r="D60" s="131"/>
      <c r="Y60" s="131"/>
      <c r="Z60" s="16"/>
      <c r="AA60" s="16"/>
      <c r="AB60" s="16"/>
      <c r="AC60" s="16"/>
      <c r="AD60" s="16"/>
      <c r="AE60" s="16"/>
      <c r="AF60" s="16"/>
      <c r="AG60" s="16"/>
      <c r="AH60" s="16"/>
      <c r="AI60" s="16"/>
      <c r="AJ60" s="16"/>
      <c r="AK60" s="16"/>
      <c r="AL60" s="16"/>
      <c r="AM60" s="16"/>
      <c r="AN60" s="16"/>
      <c r="AO60" s="16"/>
      <c r="AP60" s="16"/>
      <c r="AQ60" s="16"/>
      <c r="AR60" s="16"/>
      <c r="AS60" s="16"/>
      <c r="AT60" s="131"/>
      <c r="AU60" s="16"/>
      <c r="AV60" s="16"/>
      <c r="AW60" s="16"/>
      <c r="AX60" s="16"/>
      <c r="AY60" s="16"/>
      <c r="BP60" s="3" t="s">
        <v>170</v>
      </c>
    </row>
    <row r="61" spans="2:68" x14ac:dyDescent="0.2">
      <c r="B61" s="2" t="s">
        <v>81</v>
      </c>
      <c r="D61" s="131"/>
      <c r="Y61" s="131"/>
      <c r="Z61" s="16"/>
      <c r="AA61" s="16"/>
      <c r="AB61" s="16"/>
      <c r="AC61" s="16"/>
      <c r="AD61" s="16"/>
      <c r="AE61" s="16"/>
      <c r="AF61" s="16"/>
      <c r="AG61" s="16"/>
      <c r="AH61" s="16"/>
      <c r="AI61" s="16"/>
      <c r="AJ61" s="16"/>
      <c r="AK61" s="16"/>
      <c r="AL61" s="16"/>
      <c r="AM61" s="16"/>
      <c r="AN61" s="16"/>
      <c r="AO61" s="16"/>
      <c r="AP61" s="16"/>
      <c r="AQ61" s="16"/>
      <c r="AR61" s="16"/>
      <c r="AS61" s="16"/>
      <c r="AT61" s="131"/>
      <c r="AU61" s="16"/>
      <c r="AV61" s="16"/>
      <c r="AW61" s="16"/>
      <c r="AX61" s="16"/>
      <c r="AY61" s="16"/>
      <c r="BP61" s="3" t="s">
        <v>171</v>
      </c>
    </row>
    <row r="62" spans="2:68" x14ac:dyDescent="0.2">
      <c r="D62" s="131"/>
      <c r="Y62" s="131"/>
      <c r="Z62" s="16"/>
      <c r="AA62" s="16"/>
      <c r="AB62" s="16"/>
      <c r="AC62" s="16"/>
      <c r="AD62" s="16"/>
      <c r="AE62" s="16"/>
      <c r="AF62" s="16"/>
      <c r="AG62" s="16"/>
      <c r="AH62" s="16"/>
      <c r="AI62" s="16"/>
      <c r="AJ62" s="16"/>
      <c r="AK62" s="16"/>
      <c r="AL62" s="16"/>
      <c r="AM62" s="16"/>
      <c r="AN62" s="16"/>
      <c r="AO62" s="16"/>
      <c r="AP62" s="16"/>
      <c r="AQ62" s="16"/>
      <c r="AR62" s="16"/>
      <c r="AS62" s="16"/>
      <c r="AT62" s="131"/>
      <c r="AU62" s="16"/>
      <c r="AV62" s="16"/>
      <c r="AW62" s="16"/>
      <c r="AX62" s="16"/>
      <c r="AY62" s="16"/>
    </row>
    <row r="63" spans="2:68" x14ac:dyDescent="0.2">
      <c r="C63" s="391" t="s">
        <v>372</v>
      </c>
      <c r="D63" s="131"/>
      <c r="E63" s="388">
        <v>0.35835100047101831</v>
      </c>
      <c r="F63" s="198" t="s">
        <v>135</v>
      </c>
      <c r="G63" s="198"/>
      <c r="H63" s="198"/>
      <c r="Y63" s="131"/>
      <c r="Z63" s="388">
        <v>0.2</v>
      </c>
      <c r="AA63" s="18" t="s">
        <v>439</v>
      </c>
      <c r="AB63" s="18"/>
      <c r="AC63" s="16"/>
      <c r="AD63" s="16"/>
      <c r="AE63" s="16"/>
      <c r="AF63" s="16"/>
      <c r="AG63" s="16"/>
      <c r="AH63" s="16"/>
      <c r="AI63" s="16"/>
      <c r="AJ63" s="16"/>
      <c r="AK63" s="16"/>
      <c r="AL63" s="16"/>
      <c r="AM63" s="16"/>
      <c r="AN63" s="16"/>
      <c r="AO63" s="16"/>
      <c r="AP63" s="16"/>
      <c r="AQ63" s="16"/>
      <c r="AR63" s="16"/>
      <c r="AS63" s="16"/>
      <c r="AT63" s="131"/>
      <c r="AU63" s="16"/>
      <c r="AV63" s="16"/>
      <c r="AW63" s="16"/>
      <c r="AX63" s="16"/>
      <c r="AY63" s="16"/>
    </row>
    <row r="64" spans="2:68" x14ac:dyDescent="0.2">
      <c r="D64" s="131"/>
      <c r="Z64" s="16"/>
      <c r="AA64" s="16"/>
      <c r="AB64" s="16"/>
      <c r="AC64" s="16"/>
      <c r="AD64" s="16"/>
      <c r="AE64" s="16"/>
      <c r="AF64" s="16"/>
      <c r="AG64" s="16"/>
      <c r="AH64" s="16"/>
      <c r="AI64" s="16"/>
      <c r="AJ64" s="16"/>
      <c r="AK64" s="16"/>
      <c r="AL64" s="16"/>
      <c r="AM64" s="16"/>
      <c r="AN64" s="16"/>
      <c r="AO64" s="16"/>
      <c r="AP64" s="16"/>
      <c r="AQ64" s="16"/>
      <c r="AR64" s="16"/>
      <c r="AS64" s="16"/>
      <c r="AU64" s="16"/>
      <c r="AV64" s="16"/>
      <c r="AW64" s="16"/>
      <c r="AX64" s="16"/>
      <c r="AY64" s="16"/>
    </row>
    <row r="65" spans="3:66" ht="21" customHeight="1" x14ac:dyDescent="0.2">
      <c r="C65" s="355" t="s">
        <v>14</v>
      </c>
      <c r="D65" s="677" t="s">
        <v>19</v>
      </c>
      <c r="E65" s="386" t="s">
        <v>20</v>
      </c>
      <c r="F65" s="359" t="s">
        <v>92</v>
      </c>
      <c r="G65" s="137"/>
      <c r="H65" s="137"/>
      <c r="I65" s="373"/>
      <c r="J65" s="373"/>
      <c r="K65" s="373"/>
      <c r="L65" s="373"/>
      <c r="M65" s="373"/>
      <c r="N65" s="373"/>
      <c r="O65" s="373"/>
      <c r="P65" s="373"/>
      <c r="Q65" s="373"/>
      <c r="R65" s="373"/>
      <c r="S65" s="373"/>
      <c r="T65" s="373"/>
      <c r="U65" s="373"/>
      <c r="V65" s="373"/>
      <c r="W65" s="373"/>
      <c r="X65" s="221"/>
      <c r="Y65" s="385" t="s">
        <v>19</v>
      </c>
      <c r="Z65" s="386" t="s">
        <v>20</v>
      </c>
      <c r="AA65" s="359" t="s">
        <v>92</v>
      </c>
      <c r="AB65" s="137"/>
      <c r="AC65" s="137"/>
      <c r="AD65" s="373"/>
      <c r="AE65" s="373"/>
      <c r="AF65" s="373"/>
      <c r="AG65" s="373"/>
      <c r="AH65" s="373"/>
      <c r="AI65" s="373"/>
      <c r="AJ65" s="373"/>
      <c r="AK65" s="373"/>
      <c r="AL65" s="373"/>
      <c r="AM65" s="373"/>
      <c r="AN65" s="373"/>
      <c r="AO65" s="373"/>
      <c r="AP65" s="373"/>
      <c r="AQ65" s="373"/>
      <c r="AR65" s="373"/>
      <c r="AS65" s="221"/>
      <c r="AT65" s="385" t="s">
        <v>19</v>
      </c>
      <c r="AU65" s="386" t="s">
        <v>20</v>
      </c>
      <c r="AV65" s="359" t="s">
        <v>92</v>
      </c>
      <c r="AW65" s="137"/>
      <c r="AX65" s="137"/>
      <c r="AY65" s="373"/>
      <c r="AZ65" s="373"/>
      <c r="BA65" s="373"/>
      <c r="BB65" s="373"/>
      <c r="BC65" s="373"/>
      <c r="BD65" s="373"/>
      <c r="BE65" s="373"/>
      <c r="BF65" s="373"/>
      <c r="BG65" s="373"/>
      <c r="BH65" s="373"/>
      <c r="BI65" s="373"/>
      <c r="BJ65" s="373"/>
      <c r="BK65" s="373"/>
      <c r="BL65" s="373"/>
      <c r="BM65" s="373"/>
      <c r="BN65" s="221"/>
    </row>
    <row r="66" spans="3:66" x14ac:dyDescent="0.2">
      <c r="C66" s="22" t="s">
        <v>355</v>
      </c>
      <c r="D66" s="678"/>
      <c r="E66" s="122"/>
      <c r="F66" s="387"/>
      <c r="G66" s="83"/>
      <c r="H66" s="83"/>
      <c r="I66" s="83"/>
      <c r="J66" s="83"/>
      <c r="K66" s="83"/>
      <c r="L66" s="83"/>
      <c r="M66" s="83"/>
      <c r="N66" s="83"/>
      <c r="O66" s="83"/>
      <c r="P66" s="83"/>
      <c r="Q66" s="83"/>
      <c r="R66" s="83"/>
      <c r="S66" s="83"/>
      <c r="T66" s="83"/>
      <c r="U66" s="83"/>
      <c r="V66" s="83"/>
      <c r="W66" s="83"/>
      <c r="X66" s="222"/>
      <c r="Y66" s="678"/>
      <c r="Z66" s="122"/>
      <c r="AA66" s="387"/>
      <c r="AB66" s="83"/>
      <c r="AC66" s="83"/>
      <c r="AD66" s="83"/>
      <c r="AE66" s="83"/>
      <c r="AF66" s="83"/>
      <c r="AG66" s="83"/>
      <c r="AH66" s="83"/>
      <c r="AI66" s="83"/>
      <c r="AJ66" s="83"/>
      <c r="AK66" s="83"/>
      <c r="AL66" s="83"/>
      <c r="AM66" s="83"/>
      <c r="AN66" s="83"/>
      <c r="AO66" s="83"/>
      <c r="AP66" s="83"/>
      <c r="AQ66" s="83"/>
      <c r="AR66" s="83"/>
      <c r="AS66" s="222"/>
      <c r="AT66" s="678"/>
      <c r="AU66" s="122"/>
      <c r="AV66" s="387"/>
      <c r="AW66" s="83"/>
      <c r="AX66" s="83"/>
      <c r="AY66" s="83"/>
      <c r="AZ66" s="83"/>
      <c r="BA66" s="83"/>
      <c r="BB66" s="83"/>
      <c r="BC66" s="83"/>
      <c r="BD66" s="83"/>
      <c r="BE66" s="83"/>
      <c r="BF66" s="83"/>
      <c r="BG66" s="83"/>
      <c r="BH66" s="83"/>
      <c r="BI66" s="83"/>
      <c r="BJ66" s="83"/>
      <c r="BK66" s="83"/>
      <c r="BL66" s="83"/>
      <c r="BM66" s="83"/>
      <c r="BN66" s="222"/>
    </row>
    <row r="67" spans="3:66" x14ac:dyDescent="0.2">
      <c r="C67" s="22" t="s">
        <v>360</v>
      </c>
      <c r="D67" s="906">
        <v>0.36099999999999999</v>
      </c>
      <c r="E67" s="907">
        <v>0.63900000000000001</v>
      </c>
      <c r="F67" s="908"/>
      <c r="G67" s="83"/>
      <c r="H67" s="83"/>
      <c r="I67" s="83"/>
      <c r="J67" s="83"/>
      <c r="K67" s="83"/>
      <c r="L67" s="83"/>
      <c r="M67" s="83"/>
      <c r="N67" s="83"/>
      <c r="O67" s="83"/>
      <c r="P67" s="83"/>
      <c r="Q67" s="83"/>
      <c r="R67" s="83"/>
      <c r="S67" s="83"/>
      <c r="T67" s="83"/>
      <c r="U67" s="83"/>
      <c r="V67" s="83"/>
      <c r="W67" s="83"/>
      <c r="X67" s="222"/>
      <c r="Y67" s="906">
        <v>0.23300000000000001</v>
      </c>
      <c r="Z67" s="907">
        <f>1-Y67</f>
        <v>0.76700000000000002</v>
      </c>
      <c r="AA67" s="908"/>
      <c r="AB67" s="83"/>
      <c r="AC67" s="83"/>
      <c r="AD67" s="83"/>
      <c r="AE67" s="83"/>
      <c r="AF67" s="83"/>
      <c r="AG67" s="83"/>
      <c r="AH67" s="83"/>
      <c r="AI67" s="83"/>
      <c r="AJ67" s="83"/>
      <c r="AK67" s="83"/>
      <c r="AL67" s="83"/>
      <c r="AM67" s="83"/>
      <c r="AN67" s="83"/>
      <c r="AO67" s="83"/>
      <c r="AP67" s="83"/>
      <c r="AQ67" s="83"/>
      <c r="AR67" s="83"/>
      <c r="AS67" s="222"/>
      <c r="AT67" s="679"/>
      <c r="AU67" s="418"/>
      <c r="AV67" s="417"/>
      <c r="AW67" s="83"/>
      <c r="AX67" s="83"/>
      <c r="AY67" s="83"/>
      <c r="AZ67" s="83"/>
      <c r="BA67" s="83"/>
      <c r="BB67" s="83"/>
      <c r="BC67" s="83"/>
      <c r="BD67" s="83"/>
      <c r="BE67" s="83"/>
      <c r="BF67" s="83"/>
      <c r="BG67" s="83"/>
      <c r="BH67" s="83"/>
      <c r="BI67" s="83"/>
      <c r="BJ67" s="83"/>
      <c r="BK67" s="83"/>
      <c r="BL67" s="83"/>
      <c r="BM67" s="83"/>
      <c r="BN67" s="222"/>
    </row>
    <row r="68" spans="3:66" x14ac:dyDescent="0.2">
      <c r="C68" s="22" t="s">
        <v>361</v>
      </c>
      <c r="D68" s="909"/>
      <c r="E68" s="910"/>
      <c r="F68" s="908"/>
      <c r="G68" s="83"/>
      <c r="H68" s="83"/>
      <c r="I68" s="83"/>
      <c r="J68" s="83"/>
      <c r="K68" s="83"/>
      <c r="L68" s="83"/>
      <c r="M68" s="83"/>
      <c r="N68" s="83"/>
      <c r="O68" s="83"/>
      <c r="P68" s="83"/>
      <c r="Q68" s="83"/>
      <c r="R68" s="83"/>
      <c r="S68" s="83"/>
      <c r="T68" s="83"/>
      <c r="U68" s="83"/>
      <c r="V68" s="83"/>
      <c r="W68" s="83"/>
      <c r="X68" s="222"/>
      <c r="Y68" s="909"/>
      <c r="Z68" s="910"/>
      <c r="AA68" s="908"/>
      <c r="AB68" s="83"/>
      <c r="AC68" s="83"/>
      <c r="AD68" s="83"/>
      <c r="AE68" s="83"/>
      <c r="AF68" s="83"/>
      <c r="AG68" s="83"/>
      <c r="AH68" s="83"/>
      <c r="AI68" s="83"/>
      <c r="AJ68" s="83"/>
      <c r="AK68" s="83"/>
      <c r="AL68" s="83"/>
      <c r="AM68" s="83"/>
      <c r="AN68" s="83"/>
      <c r="AO68" s="83"/>
      <c r="AP68" s="83"/>
      <c r="AQ68" s="83"/>
      <c r="AR68" s="83"/>
      <c r="AS68" s="222"/>
      <c r="AT68" s="679"/>
      <c r="AU68" s="418"/>
      <c r="AV68" s="417"/>
      <c r="AW68" s="83"/>
      <c r="AX68" s="83"/>
      <c r="AY68" s="83"/>
      <c r="AZ68" s="83"/>
      <c r="BA68" s="83"/>
      <c r="BB68" s="83"/>
      <c r="BC68" s="83"/>
      <c r="BD68" s="83"/>
      <c r="BE68" s="83"/>
      <c r="BF68" s="83"/>
      <c r="BG68" s="83"/>
      <c r="BH68" s="83"/>
      <c r="BI68" s="83"/>
      <c r="BJ68" s="83"/>
      <c r="BK68" s="83"/>
      <c r="BL68" s="83"/>
      <c r="BM68" s="83"/>
      <c r="BN68" s="222"/>
    </row>
    <row r="69" spans="3:66" x14ac:dyDescent="0.2">
      <c r="C69" s="22" t="s">
        <v>362</v>
      </c>
      <c r="D69" s="906">
        <v>0.71499999999999997</v>
      </c>
      <c r="E69" s="907">
        <v>0.28399999999999997</v>
      </c>
      <c r="F69" s="908"/>
      <c r="G69" s="83"/>
      <c r="H69" s="83"/>
      <c r="I69" s="83"/>
      <c r="J69" s="83"/>
      <c r="K69" s="83"/>
      <c r="L69" s="83"/>
      <c r="M69" s="83"/>
      <c r="N69" s="83"/>
      <c r="O69" s="83"/>
      <c r="P69" s="83"/>
      <c r="Q69" s="83"/>
      <c r="R69" s="83"/>
      <c r="S69" s="83"/>
      <c r="T69" s="83"/>
      <c r="U69" s="83"/>
      <c r="V69" s="83"/>
      <c r="W69" s="83"/>
      <c r="X69" s="222"/>
      <c r="Y69" s="906">
        <v>0.16639999999999999</v>
      </c>
      <c r="Z69" s="907">
        <v>0.83299999999999996</v>
      </c>
      <c r="AA69" s="908"/>
      <c r="AB69" s="83"/>
      <c r="AC69" s="83"/>
      <c r="AD69" s="83"/>
      <c r="AE69" s="83"/>
      <c r="AF69" s="83"/>
      <c r="AG69" s="83"/>
      <c r="AH69" s="83"/>
      <c r="AI69" s="83"/>
      <c r="AJ69" s="83"/>
      <c r="AK69" s="83"/>
      <c r="AL69" s="83"/>
      <c r="AM69" s="83"/>
      <c r="AN69" s="83"/>
      <c r="AO69" s="83"/>
      <c r="AP69" s="83"/>
      <c r="AQ69" s="83"/>
      <c r="AR69" s="83"/>
      <c r="AS69" s="222"/>
      <c r="AT69" s="679"/>
      <c r="AU69" s="418"/>
      <c r="AV69" s="417"/>
      <c r="AW69" s="83"/>
      <c r="AX69" s="83"/>
      <c r="AY69" s="83"/>
      <c r="AZ69" s="83"/>
      <c r="BA69" s="83"/>
      <c r="BB69" s="83"/>
      <c r="BC69" s="83"/>
      <c r="BD69" s="83"/>
      <c r="BE69" s="83"/>
      <c r="BF69" s="83"/>
      <c r="BG69" s="83"/>
      <c r="BH69" s="83"/>
      <c r="BI69" s="83"/>
      <c r="BJ69" s="83"/>
      <c r="BK69" s="83"/>
      <c r="BL69" s="83"/>
      <c r="BM69" s="83"/>
      <c r="BN69" s="222"/>
    </row>
    <row r="70" spans="3:66" ht="14.1" customHeight="1" x14ac:dyDescent="0.2">
      <c r="C70" s="22" t="s">
        <v>357</v>
      </c>
      <c r="D70" s="906">
        <v>0.68</v>
      </c>
      <c r="E70" s="907">
        <v>0.31940000000000002</v>
      </c>
      <c r="F70" s="908"/>
      <c r="G70" s="83"/>
      <c r="H70" s="83"/>
      <c r="I70" s="83"/>
      <c r="J70" s="83"/>
      <c r="K70" s="83"/>
      <c r="L70" s="83"/>
      <c r="M70" s="83"/>
      <c r="N70" s="83"/>
      <c r="O70" s="83"/>
      <c r="P70" s="83"/>
      <c r="Q70" s="83"/>
      <c r="R70" s="83"/>
      <c r="S70" s="83"/>
      <c r="T70" s="83"/>
      <c r="U70" s="83"/>
      <c r="V70" s="83"/>
      <c r="W70" s="83"/>
      <c r="X70" s="222"/>
      <c r="Y70" s="906">
        <v>0</v>
      </c>
      <c r="Z70" s="907">
        <f>1-Y70</f>
        <v>1</v>
      </c>
      <c r="AA70" s="908"/>
      <c r="AB70" s="83"/>
      <c r="AC70" s="83"/>
      <c r="AD70" s="83"/>
      <c r="AE70" s="83"/>
      <c r="AF70" s="83"/>
      <c r="AG70" s="83"/>
      <c r="AH70" s="83"/>
      <c r="AI70" s="83"/>
      <c r="AJ70" s="83"/>
      <c r="AK70" s="83"/>
      <c r="AL70" s="83"/>
      <c r="AM70" s="83"/>
      <c r="AN70" s="83"/>
      <c r="AO70" s="83"/>
      <c r="AP70" s="83"/>
      <c r="AQ70" s="83"/>
      <c r="AR70" s="83"/>
      <c r="AS70" s="222"/>
      <c r="AT70" s="679"/>
      <c r="AU70" s="418"/>
      <c r="AV70" s="417"/>
      <c r="AW70" s="83"/>
      <c r="AX70" s="83"/>
      <c r="AY70" s="83"/>
      <c r="AZ70" s="83"/>
      <c r="BA70" s="83"/>
      <c r="BB70" s="83"/>
      <c r="BC70" s="83"/>
      <c r="BD70" s="83"/>
      <c r="BE70" s="83"/>
      <c r="BF70" s="83"/>
      <c r="BG70" s="83"/>
      <c r="BH70" s="83"/>
      <c r="BI70" s="83"/>
      <c r="BJ70" s="83"/>
      <c r="BK70" s="83"/>
      <c r="BL70" s="83"/>
      <c r="BM70" s="83"/>
      <c r="BN70" s="222"/>
    </row>
    <row r="71" spans="3:66" x14ac:dyDescent="0.2">
      <c r="C71" s="22" t="s">
        <v>83</v>
      </c>
      <c r="D71" s="909"/>
      <c r="E71" s="910"/>
      <c r="F71" s="908"/>
      <c r="G71" s="83"/>
      <c r="H71" s="83"/>
      <c r="I71" s="83"/>
      <c r="J71" s="83"/>
      <c r="K71" s="83"/>
      <c r="L71" s="83"/>
      <c r="M71" s="83"/>
      <c r="N71" s="83"/>
      <c r="O71" s="83"/>
      <c r="P71" s="83"/>
      <c r="Q71" s="83"/>
      <c r="R71" s="83"/>
      <c r="S71" s="83"/>
      <c r="T71" s="83"/>
      <c r="U71" s="83"/>
      <c r="V71" s="83"/>
      <c r="W71" s="83"/>
      <c r="X71" s="222"/>
      <c r="Y71" s="909"/>
      <c r="Z71" s="910"/>
      <c r="AA71" s="908"/>
      <c r="AB71" s="83"/>
      <c r="AC71" s="83"/>
      <c r="AD71" s="83"/>
      <c r="AE71" s="83"/>
      <c r="AF71" s="83"/>
      <c r="AG71" s="83"/>
      <c r="AH71" s="83"/>
      <c r="AI71" s="83"/>
      <c r="AJ71" s="83"/>
      <c r="AK71" s="83"/>
      <c r="AL71" s="83"/>
      <c r="AM71" s="83"/>
      <c r="AN71" s="83"/>
      <c r="AO71" s="83"/>
      <c r="AP71" s="83"/>
      <c r="AQ71" s="83"/>
      <c r="AR71" s="83"/>
      <c r="AS71" s="222"/>
      <c r="AT71" s="679"/>
      <c r="AU71" s="418"/>
      <c r="AV71" s="417"/>
      <c r="AW71" s="83"/>
      <c r="AX71" s="83"/>
      <c r="AY71" s="83"/>
      <c r="AZ71" s="83"/>
      <c r="BA71" s="83"/>
      <c r="BB71" s="83"/>
      <c r="BC71" s="83"/>
      <c r="BD71" s="83"/>
      <c r="BE71" s="83"/>
      <c r="BF71" s="83"/>
      <c r="BG71" s="83"/>
      <c r="BH71" s="83"/>
      <c r="BI71" s="83"/>
      <c r="BJ71" s="83"/>
      <c r="BK71" s="83"/>
      <c r="BL71" s="83"/>
      <c r="BM71" s="83"/>
      <c r="BN71" s="222"/>
    </row>
    <row r="72" spans="3:66" x14ac:dyDescent="0.2">
      <c r="C72" s="22" t="s">
        <v>84</v>
      </c>
      <c r="D72" s="906">
        <v>0.45500000000000002</v>
      </c>
      <c r="E72" s="907">
        <v>0.47599999999999998</v>
      </c>
      <c r="F72" s="911">
        <v>6.8000000000000005E-2</v>
      </c>
      <c r="G72" s="83"/>
      <c r="H72" s="83"/>
      <c r="I72" s="83"/>
      <c r="J72" s="83"/>
      <c r="K72" s="83"/>
      <c r="L72" s="83"/>
      <c r="M72" s="83"/>
      <c r="N72" s="83"/>
      <c r="O72" s="83"/>
      <c r="P72" s="83"/>
      <c r="Q72" s="83"/>
      <c r="R72" s="83"/>
      <c r="S72" s="83"/>
      <c r="T72" s="83"/>
      <c r="U72" s="83"/>
      <c r="V72" s="83"/>
      <c r="W72" s="83"/>
      <c r="X72" s="222"/>
      <c r="Y72" s="906">
        <v>0.216</v>
      </c>
      <c r="Z72" s="907">
        <v>0.38150000000000001</v>
      </c>
      <c r="AA72" s="911">
        <v>0.40239999999999998</v>
      </c>
      <c r="AB72" s="83"/>
      <c r="AC72" s="83"/>
      <c r="AD72" s="83"/>
      <c r="AE72" s="83"/>
      <c r="AF72" s="83"/>
      <c r="AG72" s="83"/>
      <c r="AH72" s="83"/>
      <c r="AI72" s="83"/>
      <c r="AJ72" s="83"/>
      <c r="AK72" s="83"/>
      <c r="AL72" s="83"/>
      <c r="AM72" s="83"/>
      <c r="AN72" s="83"/>
      <c r="AO72" s="83"/>
      <c r="AP72" s="83"/>
      <c r="AQ72" s="83"/>
      <c r="AR72" s="83"/>
      <c r="AS72" s="222"/>
      <c r="AT72" s="906">
        <v>0.52800000000000002</v>
      </c>
      <c r="AU72" s="907">
        <v>0.28660000000000002</v>
      </c>
      <c r="AV72" s="911">
        <v>0.18490000000000001</v>
      </c>
      <c r="AW72" s="83"/>
      <c r="AX72" s="83"/>
      <c r="AY72" s="83"/>
      <c r="AZ72" s="83"/>
      <c r="BA72" s="83"/>
      <c r="BB72" s="83"/>
      <c r="BC72" s="83"/>
      <c r="BD72" s="83"/>
      <c r="BE72" s="83"/>
      <c r="BF72" s="83"/>
      <c r="BG72" s="83"/>
      <c r="BH72" s="83"/>
      <c r="BI72" s="83"/>
      <c r="BJ72" s="83"/>
      <c r="BK72" s="83"/>
      <c r="BL72" s="83"/>
      <c r="BM72" s="83"/>
      <c r="BN72" s="222"/>
    </row>
    <row r="73" spans="3:66" x14ac:dyDescent="0.2">
      <c r="C73" s="24" t="s">
        <v>0</v>
      </c>
      <c r="D73" s="680"/>
      <c r="E73" s="419"/>
      <c r="F73" s="420"/>
      <c r="G73" s="125"/>
      <c r="H73" s="125"/>
      <c r="I73" s="125"/>
      <c r="J73" s="125"/>
      <c r="K73" s="125"/>
      <c r="L73" s="125"/>
      <c r="M73" s="125"/>
      <c r="N73" s="125"/>
      <c r="O73" s="125"/>
      <c r="P73" s="125"/>
      <c r="Q73" s="125"/>
      <c r="R73" s="125"/>
      <c r="S73" s="125"/>
      <c r="T73" s="125"/>
      <c r="U73" s="125"/>
      <c r="V73" s="125"/>
      <c r="W73" s="125"/>
      <c r="X73" s="223"/>
      <c r="Y73" s="680"/>
      <c r="Z73" s="419"/>
      <c r="AA73" s="420"/>
      <c r="AB73" s="125"/>
      <c r="AC73" s="125"/>
      <c r="AD73" s="125"/>
      <c r="AE73" s="125"/>
      <c r="AF73" s="125"/>
      <c r="AG73" s="125"/>
      <c r="AH73" s="125"/>
      <c r="AI73" s="125"/>
      <c r="AJ73" s="125"/>
      <c r="AK73" s="125"/>
      <c r="AL73" s="125"/>
      <c r="AM73" s="125"/>
      <c r="AN73" s="125"/>
      <c r="AO73" s="125"/>
      <c r="AP73" s="125"/>
      <c r="AQ73" s="125"/>
      <c r="AR73" s="125"/>
      <c r="AS73" s="223"/>
      <c r="AT73" s="680"/>
      <c r="AU73" s="419"/>
      <c r="AV73" s="420"/>
      <c r="AW73" s="125"/>
      <c r="AX73" s="125"/>
      <c r="AY73" s="125"/>
      <c r="AZ73" s="125"/>
      <c r="BA73" s="125"/>
      <c r="BB73" s="125"/>
      <c r="BC73" s="125"/>
      <c r="BD73" s="125"/>
      <c r="BE73" s="125"/>
      <c r="BF73" s="125"/>
      <c r="BG73" s="125"/>
      <c r="BH73" s="125"/>
      <c r="BI73" s="125"/>
      <c r="BJ73" s="125"/>
      <c r="BK73" s="125"/>
      <c r="BL73" s="125"/>
      <c r="BM73" s="125"/>
      <c r="BN73" s="223"/>
    </row>
    <row r="74" spans="3:66" x14ac:dyDescent="0.2">
      <c r="D74" s="131"/>
      <c r="I74" s="16"/>
      <c r="J74" s="16"/>
      <c r="K74" s="16"/>
      <c r="L74" s="16"/>
      <c r="M74" s="16"/>
      <c r="N74" s="16"/>
      <c r="O74" s="16"/>
      <c r="P74" s="16"/>
      <c r="Q74" s="16"/>
      <c r="R74" s="16"/>
      <c r="S74" s="16"/>
      <c r="T74" s="16"/>
      <c r="U74" s="16"/>
      <c r="V74" s="16"/>
      <c r="W74" s="16"/>
      <c r="X74" s="224"/>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X74" s="16"/>
      <c r="AY74" s="16"/>
    </row>
    <row r="75" spans="3:66" x14ac:dyDescent="0.2">
      <c r="I75" s="16"/>
      <c r="J75" s="16"/>
      <c r="K75" s="16"/>
      <c r="L75" s="16"/>
      <c r="M75" s="16"/>
      <c r="N75" s="16"/>
      <c r="O75" s="16"/>
      <c r="P75" s="16"/>
      <c r="Q75" s="16"/>
      <c r="R75" s="16"/>
      <c r="S75" s="16"/>
      <c r="T75" s="16"/>
      <c r="U75" s="16"/>
      <c r="V75" s="16"/>
      <c r="W75" s="16"/>
      <c r="X75" s="16"/>
    </row>
    <row r="76" spans="3:66" x14ac:dyDescent="0.2">
      <c r="I76" s="16"/>
      <c r="J76" s="16"/>
      <c r="K76" s="16"/>
      <c r="L76" s="16"/>
      <c r="M76" s="16"/>
      <c r="N76" s="16"/>
      <c r="O76" s="16"/>
      <c r="P76" s="16"/>
      <c r="Q76" s="16"/>
      <c r="R76" s="16"/>
      <c r="S76" s="16"/>
      <c r="T76" s="16"/>
      <c r="U76" s="16"/>
      <c r="V76" s="16"/>
      <c r="W76" s="16"/>
      <c r="X76" s="16"/>
    </row>
    <row r="77" spans="3:66" x14ac:dyDescent="0.2">
      <c r="I77" s="16"/>
      <c r="J77" s="16"/>
      <c r="K77" s="16"/>
      <c r="L77" s="16"/>
      <c r="M77" s="16"/>
      <c r="N77" s="16"/>
      <c r="O77" s="16"/>
      <c r="P77" s="16"/>
      <c r="Q77" s="16"/>
      <c r="R77" s="16"/>
      <c r="S77" s="16"/>
      <c r="T77" s="16"/>
      <c r="U77" s="16"/>
      <c r="V77" s="16"/>
      <c r="W77" s="16"/>
      <c r="X77" s="16"/>
    </row>
    <row r="90" spans="4:4" x14ac:dyDescent="0.2">
      <c r="D90" s="20"/>
    </row>
  </sheetData>
  <mergeCells count="10">
    <mergeCell ref="BP20:BP25"/>
    <mergeCell ref="AT29:AU29"/>
    <mergeCell ref="AV29:AW29"/>
    <mergeCell ref="D29:E29"/>
    <mergeCell ref="F29:G29"/>
    <mergeCell ref="D17:I17"/>
    <mergeCell ref="Y17:AD17"/>
    <mergeCell ref="Y29:Z29"/>
    <mergeCell ref="AA29:AB29"/>
    <mergeCell ref="AT17:BN17"/>
  </mergeCells>
  <pageMargins left="0.7" right="0.7" top="0.75" bottom="0.75" header="0.3" footer="0.3"/>
  <pageSetup paperSize="9" scale="30" orientation="landscape" r:id="rId1"/>
  <headerFooter>
    <oddFooter>&amp;C&amp;"Arial,Bold"MODEL FOR DEMONSTRATION ONLY
The data contained in this model is for demonstration only.  Network and tariff data may not neccesarily represent the Energex network.</oddFooter>
  </headerFooter>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CW90"/>
  <sheetViews>
    <sheetView showGridLines="0" zoomScale="125" zoomScaleNormal="125" workbookViewId="0">
      <pane xSplit="3" ySplit="6" topLeftCell="D25" activePane="bottomRight" state="frozen"/>
      <selection activeCell="B34" sqref="B34"/>
      <selection pane="topRight" activeCell="B34" sqref="B34"/>
      <selection pane="bottomLeft" activeCell="B34" sqref="B34"/>
      <selection pane="bottomRight" activeCell="D26" sqref="D26"/>
    </sheetView>
  </sheetViews>
  <sheetFormatPr defaultColWidth="8.85546875" defaultRowHeight="15" x14ac:dyDescent="0.2"/>
  <cols>
    <col min="1" max="1" width="4.7109375" style="3" customWidth="1"/>
    <col min="2" max="2" width="4.42578125" style="3" customWidth="1"/>
    <col min="3" max="3" width="46.7109375" style="3" customWidth="1"/>
    <col min="4" max="11" width="11" style="3" customWidth="1"/>
    <col min="12" max="12" width="9.42578125" style="3" customWidth="1"/>
    <col min="13" max="17" width="1.140625" style="3" hidden="1" customWidth="1"/>
    <col min="18" max="18" width="0.7109375" style="3" hidden="1" customWidth="1"/>
    <col min="19" max="19" width="1.140625" style="3" hidden="1" customWidth="1"/>
    <col min="20" max="20" width="0.140625" style="3" hidden="1" customWidth="1"/>
    <col min="21" max="24" width="1.140625" style="3" hidden="1" customWidth="1"/>
    <col min="25" max="31" width="9.140625" style="3" customWidth="1"/>
    <col min="32" max="32" width="10.7109375" style="3" customWidth="1"/>
    <col min="33" max="33" width="8.42578125" style="3" customWidth="1"/>
    <col min="34" max="39" width="1" style="3" hidden="1" customWidth="1"/>
    <col min="40" max="41" width="0.140625" style="3" hidden="1" customWidth="1"/>
    <col min="42" max="45" width="1" style="3" hidden="1" customWidth="1"/>
    <col min="46" max="53" width="9" style="3" customWidth="1"/>
    <col min="54" max="54" width="9.7109375" style="3" customWidth="1"/>
    <col min="55" max="55" width="9.7109375" style="3" hidden="1" customWidth="1"/>
    <col min="56" max="63" width="11.7109375" style="3" hidden="1" customWidth="1"/>
    <col min="64" max="64" width="8.28515625" style="3" hidden="1" customWidth="1"/>
    <col min="65" max="66" width="11.7109375" style="3" hidden="1" customWidth="1"/>
    <col min="67" max="67" width="13.42578125" style="3" customWidth="1"/>
    <col min="68" max="69" width="13.140625" style="3" customWidth="1"/>
    <col min="70" max="70" width="12.7109375" style="3" bestFit="1" customWidth="1"/>
    <col min="71" max="71" width="13.85546875" style="3" bestFit="1" customWidth="1"/>
    <col min="72" max="72" width="14.85546875" style="3" bestFit="1" customWidth="1"/>
    <col min="73" max="75" width="10.42578125" style="3" bestFit="1" customWidth="1"/>
    <col min="76" max="76" width="6.85546875" style="3" bestFit="1" customWidth="1"/>
    <col min="77" max="77" width="10.140625" style="3" customWidth="1"/>
    <col min="78" max="80" width="8.42578125" style="3" bestFit="1" customWidth="1"/>
    <col min="81" max="82" width="5.140625" style="3" bestFit="1" customWidth="1"/>
    <col min="83" max="83" width="7.28515625" style="3" bestFit="1" customWidth="1"/>
    <col min="84" max="84" width="2" style="3" customWidth="1"/>
    <col min="85" max="87" width="8.85546875" style="3"/>
    <col min="88" max="88" width="10.42578125" style="3" bestFit="1" customWidth="1"/>
    <col min="89" max="16384" width="8.85546875" style="3"/>
  </cols>
  <sheetData>
    <row r="2" spans="2:101" ht="18.75" x14ac:dyDescent="0.2">
      <c r="B2" s="168" t="s">
        <v>65</v>
      </c>
      <c r="F2" s="4"/>
    </row>
    <row r="3" spans="2:101" x14ac:dyDescent="0.2">
      <c r="B3" s="2" t="str">
        <f ca="1">"Filename:  "&amp;MID(CELL("filename",C2),FIND("[",CELL("filename",C2))+1,FIND("]",CELL("filename",C2))-FIND("[",CELL("filename",C2))-1)</f>
        <v>Filename:  ERG 14.009 2020-25 LRMC Model JAN19 PUBLIC.xlsx</v>
      </c>
    </row>
    <row r="4" spans="2:101" x14ac:dyDescent="0.2">
      <c r="B4" s="2" t="s">
        <v>30</v>
      </c>
    </row>
    <row r="5" spans="2:101" ht="15.95" customHeight="1" x14ac:dyDescent="0.2">
      <c r="B5" s="2"/>
      <c r="BR5" s="203" t="s">
        <v>130</v>
      </c>
      <c r="BS5" s="35"/>
      <c r="BT5" s="35"/>
      <c r="BU5" s="35"/>
      <c r="BV5" s="35"/>
      <c r="BW5" s="35"/>
      <c r="BX5" s="35"/>
      <c r="BY5" s="35"/>
      <c r="BZ5" s="35"/>
      <c r="CA5" s="35"/>
      <c r="CB5" s="35"/>
      <c r="CC5" s="35"/>
      <c r="CD5" s="35"/>
      <c r="CE5" s="35"/>
      <c r="CF5" s="35"/>
      <c r="CG5" s="35"/>
      <c r="CH5" s="35"/>
      <c r="CI5" s="35"/>
      <c r="CK5" s="546" t="s">
        <v>71</v>
      </c>
      <c r="CL5" s="546" t="s">
        <v>72</v>
      </c>
      <c r="CM5" s="546" t="s">
        <v>73</v>
      </c>
    </row>
    <row r="6" spans="2:101" ht="18.75" x14ac:dyDescent="0.2">
      <c r="D6" s="954" t="s">
        <v>71</v>
      </c>
      <c r="E6" s="955"/>
      <c r="F6" s="955"/>
      <c r="G6" s="955"/>
      <c r="H6" s="955"/>
      <c r="I6" s="955"/>
      <c r="J6" s="955"/>
      <c r="K6" s="955"/>
      <c r="L6" s="955"/>
      <c r="M6" s="955"/>
      <c r="N6" s="955"/>
      <c r="O6" s="956"/>
      <c r="P6" s="762"/>
      <c r="Q6" s="762"/>
      <c r="R6" s="762"/>
      <c r="S6" s="762"/>
      <c r="T6" s="762"/>
      <c r="U6" s="762"/>
      <c r="V6" s="762"/>
      <c r="W6" s="762"/>
      <c r="X6" s="762"/>
      <c r="Y6" s="957" t="s">
        <v>72</v>
      </c>
      <c r="Z6" s="957"/>
      <c r="AA6" s="957"/>
      <c r="AB6" s="957"/>
      <c r="AC6" s="957"/>
      <c r="AD6" s="957"/>
      <c r="AE6" s="957"/>
      <c r="AF6" s="957"/>
      <c r="AG6" s="957"/>
      <c r="AH6" s="957"/>
      <c r="AI6" s="957"/>
      <c r="AJ6" s="957"/>
      <c r="AK6" s="763"/>
      <c r="AL6" s="763"/>
      <c r="AM6" s="763"/>
      <c r="AN6" s="763"/>
      <c r="AO6" s="763"/>
      <c r="AP6" s="763"/>
      <c r="AQ6" s="763"/>
      <c r="AR6" s="763"/>
      <c r="AS6" s="763"/>
      <c r="AT6" s="960" t="s">
        <v>93</v>
      </c>
      <c r="AU6" s="961"/>
      <c r="AV6" s="961"/>
      <c r="AW6" s="961"/>
      <c r="AX6" s="961"/>
      <c r="AY6" s="961"/>
      <c r="AZ6" s="961"/>
      <c r="BA6" s="961"/>
      <c r="BB6" s="961"/>
      <c r="BC6" s="961"/>
      <c r="BD6" s="961"/>
      <c r="BE6" s="961"/>
      <c r="BF6" s="961"/>
      <c r="BG6" s="961"/>
      <c r="BH6" s="961"/>
      <c r="BI6" s="961"/>
      <c r="BJ6" s="961"/>
      <c r="BK6" s="961"/>
      <c r="BL6" s="961"/>
      <c r="BM6" s="961"/>
      <c r="BN6" s="962"/>
      <c r="BO6" s="958" t="s">
        <v>229</v>
      </c>
      <c r="BP6" s="959"/>
      <c r="BR6" s="35"/>
      <c r="BS6" s="35" t="s">
        <v>71</v>
      </c>
      <c r="BT6" s="35"/>
      <c r="BU6" s="35"/>
      <c r="BV6" s="35"/>
      <c r="BW6" s="35"/>
      <c r="BX6" s="35"/>
      <c r="BY6" s="35" t="s">
        <v>72</v>
      </c>
      <c r="BZ6" s="35"/>
      <c r="CA6" s="35"/>
      <c r="CB6" s="35"/>
      <c r="CC6" s="35"/>
      <c r="CD6" s="35" t="s">
        <v>73</v>
      </c>
      <c r="CE6" s="35"/>
      <c r="CF6" s="35"/>
      <c r="CG6" s="35"/>
      <c r="CH6" s="35"/>
      <c r="CI6" s="35"/>
      <c r="CJ6" s="3" t="s">
        <v>175</v>
      </c>
      <c r="CK6" s="104" t="s">
        <v>271</v>
      </c>
      <c r="CL6" s="104" t="s">
        <v>271</v>
      </c>
      <c r="CM6" s="104" t="s">
        <v>271</v>
      </c>
    </row>
    <row r="7" spans="2:101" s="25" customFormat="1" ht="59.1" customHeight="1" x14ac:dyDescent="0.2">
      <c r="C7" s="443" t="s">
        <v>37</v>
      </c>
      <c r="D7" s="444" t="s">
        <v>290</v>
      </c>
      <c r="E7" s="416" t="s">
        <v>291</v>
      </c>
      <c r="F7" s="416" t="s">
        <v>38</v>
      </c>
      <c r="G7" s="547" t="s">
        <v>144</v>
      </c>
      <c r="H7" s="547" t="s">
        <v>286</v>
      </c>
      <c r="I7" s="547" t="s">
        <v>294</v>
      </c>
      <c r="J7" s="547" t="s">
        <v>295</v>
      </c>
      <c r="K7" s="547" t="s">
        <v>287</v>
      </c>
      <c r="L7" s="547" t="s">
        <v>296</v>
      </c>
      <c r="O7" s="424"/>
      <c r="P7" s="424"/>
      <c r="Q7" s="424"/>
      <c r="R7" s="424"/>
      <c r="S7" s="424"/>
      <c r="T7" s="424"/>
      <c r="U7" s="424"/>
      <c r="V7" s="424"/>
      <c r="W7" s="424"/>
      <c r="X7" s="424"/>
      <c r="Y7" s="444" t="s">
        <v>290</v>
      </c>
      <c r="Z7" s="330" t="s">
        <v>238</v>
      </c>
      <c r="AA7" s="416" t="s">
        <v>38</v>
      </c>
      <c r="AB7" s="547" t="s">
        <v>144</v>
      </c>
      <c r="AC7" s="547" t="s">
        <v>286</v>
      </c>
      <c r="AD7" s="547" t="s">
        <v>294</v>
      </c>
      <c r="AE7" s="547" t="s">
        <v>288</v>
      </c>
      <c r="AF7" s="547" t="s">
        <v>287</v>
      </c>
      <c r="AG7" s="547" t="s">
        <v>296</v>
      </c>
      <c r="AH7" s="422"/>
      <c r="AI7" s="424"/>
      <c r="AJ7" s="424"/>
      <c r="AK7" s="424"/>
      <c r="AL7" s="424"/>
      <c r="AM7" s="424"/>
      <c r="AN7" s="424"/>
      <c r="AO7" s="424"/>
      <c r="AP7" s="424"/>
      <c r="AQ7" s="424"/>
      <c r="AR7" s="424"/>
      <c r="AS7" s="424"/>
      <c r="AT7" s="392" t="s">
        <v>290</v>
      </c>
      <c r="AU7" s="416" t="s">
        <v>238</v>
      </c>
      <c r="AV7" s="416" t="s">
        <v>38</v>
      </c>
      <c r="AW7" s="547" t="s">
        <v>144</v>
      </c>
      <c r="AX7" s="547" t="s">
        <v>286</v>
      </c>
      <c r="AY7" s="547" t="s">
        <v>294</v>
      </c>
      <c r="AZ7" s="547" t="s">
        <v>288</v>
      </c>
      <c r="BA7" s="547" t="s">
        <v>287</v>
      </c>
      <c r="BB7" s="547" t="s">
        <v>296</v>
      </c>
      <c r="BC7" s="424"/>
      <c r="BD7" s="3"/>
      <c r="BE7" s="3"/>
      <c r="BF7" s="3"/>
      <c r="BG7" s="3"/>
      <c r="BH7" s="3"/>
      <c r="BI7" s="3"/>
      <c r="BJ7" s="3"/>
      <c r="BK7" s="3"/>
      <c r="BL7" s="3"/>
      <c r="BM7" s="3"/>
      <c r="BN7" s="3"/>
      <c r="BO7" s="392" t="s">
        <v>238</v>
      </c>
      <c r="BP7" s="547" t="s">
        <v>287</v>
      </c>
      <c r="BQ7" s="3"/>
      <c r="BR7" s="35"/>
      <c r="BS7" s="421" t="s">
        <v>98</v>
      </c>
      <c r="BT7" s="421" t="s">
        <v>111</v>
      </c>
      <c r="BU7" s="421" t="s">
        <v>232</v>
      </c>
      <c r="BV7" s="421" t="s">
        <v>233</v>
      </c>
      <c r="BW7" s="421" t="s">
        <v>112</v>
      </c>
      <c r="BX7" s="541" t="s">
        <v>270</v>
      </c>
      <c r="BY7" s="421" t="s">
        <v>111</v>
      </c>
      <c r="BZ7" s="421" t="s">
        <v>232</v>
      </c>
      <c r="CA7" s="421" t="s">
        <v>233</v>
      </c>
      <c r="CB7" s="421" t="s">
        <v>112</v>
      </c>
      <c r="CC7" s="541" t="s">
        <v>270</v>
      </c>
      <c r="CD7" s="421" t="s">
        <v>111</v>
      </c>
      <c r="CE7" s="421" t="s">
        <v>232</v>
      </c>
      <c r="CF7" s="421" t="s">
        <v>233</v>
      </c>
      <c r="CG7" s="421" t="s">
        <v>112</v>
      </c>
      <c r="CH7" s="541" t="s">
        <v>270</v>
      </c>
      <c r="CI7" s="35"/>
      <c r="CN7" s="3"/>
      <c r="CO7" s="3"/>
      <c r="CP7" s="3"/>
    </row>
    <row r="8" spans="2:101" s="422" customFormat="1" x14ac:dyDescent="0.2">
      <c r="C8" s="447" t="s">
        <v>353</v>
      </c>
      <c r="D8" s="451">
        <f>BT8</f>
        <v>218.3497536945813</v>
      </c>
      <c r="E8" s="441">
        <f>BW8/1000</f>
        <v>38.788499999999999</v>
      </c>
      <c r="F8" s="565">
        <v>0.95</v>
      </c>
      <c r="G8" s="553">
        <f>'Inputs - network configuration'!D20</f>
        <v>1.0069999999999999</v>
      </c>
      <c r="H8" s="548">
        <f>CK8</f>
        <v>0.40874986216415182</v>
      </c>
      <c r="I8" s="549">
        <f>H8*0.3+H8^2*0.7</f>
        <v>0.23957847352269471</v>
      </c>
      <c r="J8" s="556">
        <f t="shared" ref="J8:J18" si="0">K8*(G8-1)*H8/I8</f>
        <v>0.24495764720510599</v>
      </c>
      <c r="K8" s="441">
        <f>CA65</f>
        <v>20.510825333333333</v>
      </c>
      <c r="L8" s="697">
        <f>K8*$D$25</f>
        <v>28.397716515549259</v>
      </c>
      <c r="O8" s="424"/>
      <c r="P8" s="424"/>
      <c r="Q8" s="424"/>
      <c r="R8" s="424"/>
      <c r="S8" s="424"/>
      <c r="T8" s="424"/>
      <c r="U8" s="424"/>
      <c r="V8" s="424"/>
      <c r="W8" s="424"/>
      <c r="X8" s="424"/>
      <c r="Y8" s="451">
        <f>BY8</f>
        <v>73.8</v>
      </c>
      <c r="Z8" s="530">
        <f>CB8/1000</f>
        <v>13.071999999999999</v>
      </c>
      <c r="AA8" s="665">
        <f>F8</f>
        <v>0.95</v>
      </c>
      <c r="AB8" s="553">
        <f>'Inputs - network configuration'!Y20</f>
        <v>1.026</v>
      </c>
      <c r="AC8" s="548">
        <f>CL8</f>
        <v>0.59120403749098771</v>
      </c>
      <c r="AD8" s="549">
        <f>AC8*0.3+AC8^2*0.7</f>
        <v>0.42202676100924796</v>
      </c>
      <c r="AE8" s="556">
        <f>AF8*(AB8-1)*AC8/AD8</f>
        <v>0.47860488906844467</v>
      </c>
      <c r="AF8" s="912">
        <f>CA70</f>
        <v>13.140333333333333</v>
      </c>
      <c r="AG8" s="697">
        <f>AF8*$D$25</f>
        <v>18.193098271544727</v>
      </c>
      <c r="AI8" s="424"/>
      <c r="AJ8" s="424"/>
      <c r="AK8" s="424"/>
      <c r="AL8" s="424"/>
      <c r="AM8" s="424"/>
      <c r="AN8" s="424"/>
      <c r="AO8" s="424"/>
      <c r="AP8" s="424"/>
      <c r="AQ8" s="424"/>
      <c r="AR8" s="424"/>
      <c r="AS8" s="424"/>
      <c r="AT8" s="661"/>
      <c r="AU8" s="659"/>
      <c r="AV8" s="667"/>
      <c r="AW8" s="668"/>
      <c r="AX8" s="668"/>
      <c r="AY8" s="668"/>
      <c r="AZ8" s="668"/>
      <c r="BA8" s="912">
        <f>CM70</f>
        <v>0</v>
      </c>
      <c r="BB8" s="398">
        <f t="shared" ref="BB8:BB16" si="1">AU8*$D$26/$D$24</f>
        <v>0</v>
      </c>
      <c r="BC8" s="424"/>
      <c r="BD8" s="3"/>
      <c r="BE8" s="3"/>
      <c r="BF8" s="3"/>
      <c r="BG8" s="3"/>
      <c r="BH8" s="3"/>
      <c r="BI8" s="3"/>
      <c r="BJ8" s="3"/>
      <c r="BK8" s="3"/>
      <c r="BL8" s="3"/>
      <c r="BM8" s="3"/>
      <c r="BN8" s="3"/>
      <c r="BO8" s="423">
        <f>SUM(E8,Z8,AU8)</f>
        <v>51.860500000000002</v>
      </c>
      <c r="BP8" s="423">
        <f t="shared" ref="BP8:BP18" si="2">SUM(K8,AF8,BA8)</f>
        <v>33.651158666666667</v>
      </c>
      <c r="BQ8" s="3"/>
      <c r="BR8" s="427" t="s">
        <v>86</v>
      </c>
      <c r="BS8" s="428" t="s">
        <v>99</v>
      </c>
      <c r="BT8" s="429">
        <f>'[1]Indiv.Calc. Cust. - East'!C19</f>
        <v>218.3497536945813</v>
      </c>
      <c r="BU8" s="429">
        <f>'[1]Indiv.Calc. Cust. - East'!D19</f>
        <v>64190</v>
      </c>
      <c r="BV8" s="429">
        <f>'[1]Indiv.Calc. Cust. - East'!E19</f>
        <v>40830</v>
      </c>
      <c r="BW8" s="429">
        <f>BV8*BX8</f>
        <v>38788.5</v>
      </c>
      <c r="BX8" s="542">
        <v>0.95</v>
      </c>
      <c r="BY8" s="429">
        <f>'[1]Indiv.Calc. Cust. - West'!C11</f>
        <v>73.8</v>
      </c>
      <c r="BZ8" s="429">
        <f>'[1]Indiv.Calc. Cust. - West'!D11</f>
        <v>15000</v>
      </c>
      <c r="CA8" s="429">
        <f>'[1]Indiv.Calc. Cust. - West'!E11</f>
        <v>13760</v>
      </c>
      <c r="CB8" s="429">
        <f t="shared" ref="CB8:CB10" si="3">CA8*CC8</f>
        <v>13072</v>
      </c>
      <c r="CC8" s="542">
        <v>0.95</v>
      </c>
      <c r="CD8" s="429">
        <v>0</v>
      </c>
      <c r="CE8" s="429"/>
      <c r="CF8" s="429">
        <v>0</v>
      </c>
      <c r="CG8" s="429">
        <v>0</v>
      </c>
      <c r="CH8" s="542"/>
      <c r="CI8" s="427" t="s">
        <v>113</v>
      </c>
      <c r="CJ8" s="430">
        <f>SUM(BW8,CB8,CG8)</f>
        <v>51860.5</v>
      </c>
      <c r="CK8" s="539">
        <f>BT8/(BU8*BX8*8760)*1000000</f>
        <v>0.40874986216415182</v>
      </c>
      <c r="CL8" s="539">
        <f>BY8/(BZ8*CC8*8760)*1000000</f>
        <v>0.59120403749098771</v>
      </c>
      <c r="CM8" s="539"/>
      <c r="CN8" s="3"/>
      <c r="CO8" s="3"/>
      <c r="CP8" s="3"/>
    </row>
    <row r="9" spans="2:101" s="422" customFormat="1" x14ac:dyDescent="0.2">
      <c r="C9" s="448" t="s">
        <v>358</v>
      </c>
      <c r="D9" s="452">
        <f>(BT10+BT12)</f>
        <v>3123.7869887002271</v>
      </c>
      <c r="E9" s="442">
        <f>(BW10+BW12)/1000</f>
        <v>567.45000000000005</v>
      </c>
      <c r="F9" s="565">
        <v>0.9</v>
      </c>
      <c r="G9" s="553">
        <f>'Inputs - network configuration'!D21</f>
        <v>1.012</v>
      </c>
      <c r="H9" s="548">
        <f>CK10</f>
        <v>0.3997725201572967</v>
      </c>
      <c r="I9" s="549">
        <f t="shared" ref="I9:I18" si="4">H9*0.3+H9^2*0.7</f>
        <v>0.23180440355823034</v>
      </c>
      <c r="J9" s="557">
        <f t="shared" si="0"/>
        <v>6.6202276721459796</v>
      </c>
      <c r="K9" s="442">
        <f>CA66+CA67</f>
        <v>319.8898226666667</v>
      </c>
      <c r="L9" s="698">
        <f t="shared" ref="L9:L18" si="5">K9*$D$25</f>
        <v>442.8949275646242</v>
      </c>
      <c r="O9" s="424"/>
      <c r="P9" s="424"/>
      <c r="Q9" s="424"/>
      <c r="R9" s="424"/>
      <c r="S9" s="424"/>
      <c r="T9" s="424"/>
      <c r="U9" s="424"/>
      <c r="V9" s="424"/>
      <c r="W9" s="424"/>
      <c r="X9" s="424"/>
      <c r="Y9" s="452">
        <f>(BY10+BY12)</f>
        <v>211.1913443830571</v>
      </c>
      <c r="Z9" s="531">
        <f>(CB10+CB12)/1000</f>
        <v>37.826999999999998</v>
      </c>
      <c r="AA9" s="665">
        <f>F9</f>
        <v>0.9</v>
      </c>
      <c r="AB9" s="553">
        <f>'Inputs - network configuration'!Y21</f>
        <v>1.0640000000000001</v>
      </c>
      <c r="AC9" s="548">
        <f>CL10</f>
        <v>0.40846804508437512</v>
      </c>
      <c r="AD9" s="549">
        <f t="shared" ref="AD9:AD18" si="6">AC9*0.3+AC9^2*0.7</f>
        <v>0.2393327142238483</v>
      </c>
      <c r="AE9" s="557">
        <f>AF9*(AB9-1)*AC9/AD9</f>
        <v>1.9927111286648824</v>
      </c>
      <c r="AF9" s="913">
        <f>CA71+CA72</f>
        <v>18.243507999999999</v>
      </c>
      <c r="AG9" s="698">
        <f t="shared" ref="AG9:AG18" si="7">AF9*$D$25</f>
        <v>25.25856273522075</v>
      </c>
      <c r="AI9" s="424"/>
      <c r="AJ9" s="424"/>
      <c r="AK9" s="424"/>
      <c r="AL9" s="424"/>
      <c r="AM9" s="424"/>
      <c r="AN9" s="424"/>
      <c r="AO9" s="424"/>
      <c r="AP9" s="424"/>
      <c r="AQ9" s="424"/>
      <c r="AR9" s="424"/>
      <c r="AS9" s="424"/>
      <c r="AT9" s="662"/>
      <c r="AU9" s="660"/>
      <c r="AV9" s="667"/>
      <c r="AW9" s="668"/>
      <c r="AX9" s="668"/>
      <c r="AY9" s="668"/>
      <c r="AZ9" s="668"/>
      <c r="BA9" s="913">
        <f>CM71+CM72</f>
        <v>0</v>
      </c>
      <c r="BB9" s="172">
        <f t="shared" si="1"/>
        <v>0</v>
      </c>
      <c r="BC9" s="424"/>
      <c r="BD9" s="3"/>
      <c r="BE9" s="3"/>
      <c r="BF9" s="3"/>
      <c r="BG9" s="3"/>
      <c r="BH9" s="3"/>
      <c r="BI9" s="3"/>
      <c r="BJ9" s="3"/>
      <c r="BK9" s="3"/>
      <c r="BL9" s="3"/>
      <c r="BM9" s="3"/>
      <c r="BN9" s="3"/>
      <c r="BO9" s="432">
        <f t="shared" ref="BO9:BO18" si="8">SUM(E9,Z9,AU9)</f>
        <v>605.27700000000004</v>
      </c>
      <c r="BP9" s="432">
        <f t="shared" si="2"/>
        <v>338.13333066666672</v>
      </c>
      <c r="BQ9" s="3"/>
      <c r="BR9" s="427" t="s">
        <v>86</v>
      </c>
      <c r="BS9" s="428" t="s">
        <v>103</v>
      </c>
      <c r="BT9" s="429">
        <f>'[1]Connxn Asset Cust - East'!C11</f>
        <v>0</v>
      </c>
      <c r="BU9" s="429">
        <f>'[1]Connxn Asset Cust - East'!D11</f>
        <v>0</v>
      </c>
      <c r="BV9" s="429">
        <f>'[1]Connxn Asset Cust - East'!E11</f>
        <v>0</v>
      </c>
      <c r="BW9" s="429">
        <f>'[2]Connxn Asset Cust - East'!E11</f>
        <v>0</v>
      </c>
      <c r="BX9" s="542">
        <v>0.95</v>
      </c>
      <c r="BY9" s="429">
        <f>'[1]Connxn Asset Cust - West'!C11</f>
        <v>0.3</v>
      </c>
      <c r="BZ9" s="429">
        <f>'[1]Connxn Asset Cust - West'!D11</f>
        <v>1500</v>
      </c>
      <c r="CA9" s="429">
        <f>'[1]Connxn Asset Cust - West'!E11</f>
        <v>50</v>
      </c>
      <c r="CB9" s="429">
        <f t="shared" si="3"/>
        <v>47.5</v>
      </c>
      <c r="CC9" s="542">
        <v>0.95</v>
      </c>
      <c r="CD9" s="429">
        <v>0</v>
      </c>
      <c r="CE9" s="429"/>
      <c r="CF9" s="429">
        <v>0</v>
      </c>
      <c r="CG9" s="429">
        <v>0</v>
      </c>
      <c r="CH9" s="542"/>
      <c r="CI9" s="427" t="s">
        <v>114</v>
      </c>
      <c r="CJ9" s="430">
        <f t="shared" ref="CJ9:CJ10" si="9">SUM(BW9,CB9,CG9)</f>
        <v>47.5</v>
      </c>
      <c r="CK9" s="539"/>
      <c r="CL9" s="539"/>
      <c r="CM9" s="539"/>
      <c r="CN9" s="3"/>
      <c r="CO9" s="3"/>
      <c r="CP9" s="3"/>
    </row>
    <row r="10" spans="2:101" s="422" customFormat="1" x14ac:dyDescent="0.2">
      <c r="C10" s="448" t="s">
        <v>234</v>
      </c>
      <c r="D10" s="452">
        <f>BT14</f>
        <v>282.94205066565166</v>
      </c>
      <c r="E10" s="442">
        <f>BW14/1000</f>
        <v>39.222000000000001</v>
      </c>
      <c r="F10" s="565">
        <v>0.9</v>
      </c>
      <c r="G10" s="553">
        <f>'Inputs - network configuration'!D22</f>
        <v>1.016</v>
      </c>
      <c r="H10" s="548">
        <f>CK14</f>
        <v>0.50102100070180622</v>
      </c>
      <c r="I10" s="549">
        <f t="shared" si="4"/>
        <v>0.32602173041150939</v>
      </c>
      <c r="J10" s="557">
        <f t="shared" si="0"/>
        <v>0.61393625147610065</v>
      </c>
      <c r="K10" s="442">
        <f>CA68</f>
        <v>24.968584000000003</v>
      </c>
      <c r="L10" s="698">
        <f t="shared" si="5"/>
        <v>34.569587459474853</v>
      </c>
      <c r="O10" s="424"/>
      <c r="P10" s="424"/>
      <c r="Q10" s="424"/>
      <c r="R10" s="424"/>
      <c r="S10" s="424"/>
      <c r="T10" s="424"/>
      <c r="U10" s="424"/>
      <c r="V10" s="424"/>
      <c r="W10" s="424"/>
      <c r="X10" s="424"/>
      <c r="Y10" s="452">
        <f>BY14</f>
        <v>94.907489885764448</v>
      </c>
      <c r="Z10" s="531">
        <f>CB14/1000</f>
        <v>14.904</v>
      </c>
      <c r="AA10" s="665">
        <f>F10</f>
        <v>0.9</v>
      </c>
      <c r="AB10" s="553">
        <f>'Inputs - network configuration'!Y22</f>
        <v>1.07</v>
      </c>
      <c r="AC10" s="548">
        <f>CL14</f>
        <v>0.54643608932888454</v>
      </c>
      <c r="AD10" s="549">
        <f t="shared" si="6"/>
        <v>0.37294550660339665</v>
      </c>
      <c r="AE10" s="557">
        <f>AF10*(AB10-1)*AC10/AD10</f>
        <v>1.5971678557107132</v>
      </c>
      <c r="AF10" s="913">
        <f>CA73</f>
        <v>15.572506666666664</v>
      </c>
      <c r="AG10" s="698">
        <f t="shared" si="7"/>
        <v>21.560499032567822</v>
      </c>
      <c r="AI10" s="424"/>
      <c r="AJ10" s="424"/>
      <c r="AK10" s="424"/>
      <c r="AL10" s="424"/>
      <c r="AM10" s="424"/>
      <c r="AN10" s="424"/>
      <c r="AO10" s="424"/>
      <c r="AP10" s="424"/>
      <c r="AQ10" s="424"/>
      <c r="AR10" s="424"/>
      <c r="AS10" s="424"/>
      <c r="AT10" s="662"/>
      <c r="AU10" s="660"/>
      <c r="AV10" s="667"/>
      <c r="AW10" s="668"/>
      <c r="AX10" s="668"/>
      <c r="AY10" s="668"/>
      <c r="AZ10" s="668"/>
      <c r="BA10" s="913">
        <f>CM72+CM73</f>
        <v>0</v>
      </c>
      <c r="BB10" s="172">
        <f t="shared" si="1"/>
        <v>0</v>
      </c>
      <c r="BC10" s="424"/>
      <c r="BD10" s="3"/>
      <c r="BE10" s="3"/>
      <c r="BF10" s="3"/>
      <c r="BG10" s="3"/>
      <c r="BH10" s="3"/>
      <c r="BI10" s="3"/>
      <c r="BJ10" s="3"/>
      <c r="BK10" s="3"/>
      <c r="BL10" s="3"/>
      <c r="BM10" s="3"/>
      <c r="BN10" s="3"/>
      <c r="BO10" s="432">
        <f t="shared" si="8"/>
        <v>54.126000000000005</v>
      </c>
      <c r="BP10" s="432">
        <f t="shared" si="2"/>
        <v>40.541090666666669</v>
      </c>
      <c r="BQ10" s="3"/>
      <c r="BR10" s="427" t="s">
        <v>82</v>
      </c>
      <c r="BS10" s="433" t="s">
        <v>100</v>
      </c>
      <c r="BT10" s="434">
        <f>'[1]Indiv.Calc. Cust. - East'!C64</f>
        <v>2932.386988700227</v>
      </c>
      <c r="BU10" s="434">
        <f>'[1]Indiv.Calc. Cust. - East'!D64</f>
        <v>924270</v>
      </c>
      <c r="BV10" s="434">
        <f>'[1]Indiv.Calc. Cust. - East'!E64</f>
        <v>586080</v>
      </c>
      <c r="BW10" s="434">
        <f t="shared" ref="BW10" si="10">BV10*BX10</f>
        <v>527472</v>
      </c>
      <c r="BX10" s="543">
        <v>0.9</v>
      </c>
      <c r="BY10" s="434">
        <f>'[1]Indiv.Calc. Cust. - West'!C21</f>
        <v>176.5</v>
      </c>
      <c r="BZ10" s="434">
        <f>'[1]Indiv.Calc. Cust. - West'!D21</f>
        <v>57800</v>
      </c>
      <c r="CA10" s="434">
        <f>'[1]Indiv.Calc. Cust. - West'!E21</f>
        <v>37970</v>
      </c>
      <c r="CB10" s="434">
        <f t="shared" si="3"/>
        <v>34173</v>
      </c>
      <c r="CC10" s="543">
        <v>0.9</v>
      </c>
      <c r="CD10" s="434">
        <v>0</v>
      </c>
      <c r="CE10" s="434"/>
      <c r="CF10" s="434">
        <v>0</v>
      </c>
      <c r="CG10" s="434">
        <v>0</v>
      </c>
      <c r="CH10" s="543"/>
      <c r="CI10" s="427" t="s">
        <v>113</v>
      </c>
      <c r="CJ10" s="430">
        <f t="shared" si="9"/>
        <v>561645</v>
      </c>
      <c r="CK10" s="540">
        <f>(BT10+BT12)/((BU10+BU12)*BX10*8760)*1000000</f>
        <v>0.3997725201572967</v>
      </c>
      <c r="CL10" s="540">
        <f>(BY10+BY12)/((BZ10+BZ12)*CC10*8760)*1000000</f>
        <v>0.40846804508437512</v>
      </c>
      <c r="CM10" s="540"/>
      <c r="CN10" s="3"/>
      <c r="CO10" s="3"/>
      <c r="CP10" s="3"/>
    </row>
    <row r="11" spans="2:101" s="422" customFormat="1" x14ac:dyDescent="0.2">
      <c r="C11" s="448" t="s">
        <v>285</v>
      </c>
      <c r="D11" s="452"/>
      <c r="E11" s="442"/>
      <c r="F11" s="565">
        <v>0.9</v>
      </c>
      <c r="G11" s="553">
        <f>'Inputs - network configuration'!D23</f>
        <v>1.036</v>
      </c>
      <c r="H11" s="560">
        <f>H10</f>
        <v>0.50102100070180622</v>
      </c>
      <c r="I11" s="549">
        <f t="shared" si="4"/>
        <v>0.32602173041150939</v>
      </c>
      <c r="J11" s="557">
        <f t="shared" si="0"/>
        <v>3.7442768668981538E-2</v>
      </c>
      <c r="K11" s="442">
        <f>CA69</f>
        <v>0.67679333333333336</v>
      </c>
      <c r="L11" s="698">
        <f t="shared" si="5"/>
        <v>0.937036170279267</v>
      </c>
      <c r="O11" s="424"/>
      <c r="P11" s="424"/>
      <c r="Q11" s="424"/>
      <c r="R11" s="424"/>
      <c r="S11" s="424"/>
      <c r="T11" s="424"/>
      <c r="U11" s="424"/>
      <c r="V11" s="424"/>
      <c r="W11" s="424"/>
      <c r="X11" s="424"/>
      <c r="Y11" s="455"/>
      <c r="Z11" s="683"/>
      <c r="AA11" s="667"/>
      <c r="AB11" s="668"/>
      <c r="AC11" s="684"/>
      <c r="AD11" s="685"/>
      <c r="AE11" s="567"/>
      <c r="AF11" s="914"/>
      <c r="AG11" s="698">
        <f t="shared" si="7"/>
        <v>0</v>
      </c>
      <c r="AI11" s="424"/>
      <c r="AJ11" s="424"/>
      <c r="AK11" s="424"/>
      <c r="AL11" s="424"/>
      <c r="AM11" s="424"/>
      <c r="AN11" s="424"/>
      <c r="AO11" s="424"/>
      <c r="AP11" s="424"/>
      <c r="AQ11" s="424"/>
      <c r="AR11" s="424"/>
      <c r="AS11" s="424"/>
      <c r="AT11" s="662"/>
      <c r="AU11" s="660"/>
      <c r="AV11" s="667"/>
      <c r="AW11" s="668"/>
      <c r="AX11" s="668"/>
      <c r="AY11" s="668"/>
      <c r="AZ11" s="668"/>
      <c r="BA11" s="913">
        <f>CM74</f>
        <v>0</v>
      </c>
      <c r="BB11" s="172">
        <f t="shared" si="1"/>
        <v>0</v>
      </c>
      <c r="BC11" s="424"/>
      <c r="BD11" s="3"/>
      <c r="BE11" s="3"/>
      <c r="BF11" s="3"/>
      <c r="BG11" s="3"/>
      <c r="BH11" s="3"/>
      <c r="BI11" s="3"/>
      <c r="BJ11" s="3"/>
      <c r="BK11" s="3"/>
      <c r="BL11" s="3"/>
      <c r="BM11" s="3"/>
      <c r="BN11" s="3"/>
      <c r="BO11" s="432">
        <f t="shared" si="8"/>
        <v>0</v>
      </c>
      <c r="BP11" s="432">
        <f t="shared" si="2"/>
        <v>0.67679333333333336</v>
      </c>
      <c r="BQ11" s="3"/>
      <c r="BR11" s="427" t="s">
        <v>82</v>
      </c>
      <c r="BS11" s="433" t="s">
        <v>104</v>
      </c>
      <c r="BT11" s="434">
        <f>'[1]Connxn Asset Cust - East'!C51</f>
        <v>245.7</v>
      </c>
      <c r="BU11" s="434">
        <f>'[1]Connxn Asset Cust - East'!D51</f>
        <v>121910</v>
      </c>
      <c r="BV11" s="434">
        <f>'[1]Connxn Asset Cust - East'!E51</f>
        <v>90620</v>
      </c>
      <c r="BW11" s="434">
        <f t="shared" ref="BW11:BW16" si="11">BV11*BX11</f>
        <v>81558</v>
      </c>
      <c r="BX11" s="543">
        <v>0.9</v>
      </c>
      <c r="BY11" s="434">
        <f>'[1]Connxn Asset Cust - West'!C18</f>
        <v>0.2</v>
      </c>
      <c r="BZ11" s="434">
        <f>'[1]Connxn Asset Cust - West'!D18</f>
        <v>4000</v>
      </c>
      <c r="CA11" s="434">
        <f>'[1]Connxn Asset Cust - West'!E18</f>
        <v>30</v>
      </c>
      <c r="CB11" s="434">
        <f>CA11*CC11</f>
        <v>27</v>
      </c>
      <c r="CC11" s="543">
        <v>0.9</v>
      </c>
      <c r="CD11" s="434">
        <v>0</v>
      </c>
      <c r="CE11" s="434"/>
      <c r="CF11" s="434">
        <v>0</v>
      </c>
      <c r="CG11" s="434">
        <v>0</v>
      </c>
      <c r="CH11" s="543"/>
      <c r="CI11" s="427" t="s">
        <v>114</v>
      </c>
      <c r="CJ11" s="430">
        <f t="shared" ref="CJ11:CJ19" si="12">SUM(BW11,CB11,CG11)</f>
        <v>81585</v>
      </c>
      <c r="CK11" s="540">
        <f>(BT11+BT13)/((BU11+BU13)*BX11*8760)*1000000</f>
        <v>0.29453423366170661</v>
      </c>
      <c r="CL11" s="540">
        <f>(BY11+BY13)/((BZ11+BZ13)*CC11*8760)*1000000</f>
        <v>0.19818621122345437</v>
      </c>
      <c r="CM11" s="540"/>
      <c r="CN11" s="3"/>
      <c r="CO11" s="3"/>
      <c r="CP11" s="3"/>
    </row>
    <row r="12" spans="2:101" s="422" customFormat="1" x14ac:dyDescent="0.2">
      <c r="C12" s="448" t="s">
        <v>354</v>
      </c>
      <c r="D12" s="452">
        <f>BT9</f>
        <v>0</v>
      </c>
      <c r="E12" s="442">
        <f>BW9/1000</f>
        <v>0</v>
      </c>
      <c r="F12" s="565">
        <v>0.95</v>
      </c>
      <c r="G12" s="554">
        <f>G8</f>
        <v>1.0069999999999999</v>
      </c>
      <c r="H12" s="560">
        <f>H8</f>
        <v>0.40874986216415182</v>
      </c>
      <c r="I12" s="549">
        <f t="shared" si="4"/>
        <v>0.23957847352269471</v>
      </c>
      <c r="J12" s="557">
        <f t="shared" si="0"/>
        <v>0</v>
      </c>
      <c r="K12" s="442">
        <f>CA75</f>
        <v>0</v>
      </c>
      <c r="L12" s="698">
        <f t="shared" si="5"/>
        <v>0</v>
      </c>
      <c r="O12" s="424"/>
      <c r="P12" s="424"/>
      <c r="Q12" s="424"/>
      <c r="R12" s="424"/>
      <c r="S12" s="424"/>
      <c r="T12" s="424"/>
      <c r="U12" s="424"/>
      <c r="V12" s="424"/>
      <c r="W12" s="424"/>
      <c r="X12" s="424"/>
      <c r="Y12" s="455">
        <f>BY9</f>
        <v>0.3</v>
      </c>
      <c r="Z12" s="683">
        <f>CB9/1000</f>
        <v>4.7500000000000001E-2</v>
      </c>
      <c r="AA12" s="667">
        <f>F12</f>
        <v>0.95</v>
      </c>
      <c r="AB12" s="669">
        <f>AB8</f>
        <v>1.026</v>
      </c>
      <c r="AC12" s="684">
        <f>AC8</f>
        <v>0.59120403749098771</v>
      </c>
      <c r="AD12" s="685">
        <f t="shared" si="6"/>
        <v>0.42202676100924796</v>
      </c>
      <c r="AE12" s="567">
        <f>AF12*(AB12-1)*AC12/AD12</f>
        <v>3.6422583577416456E-2</v>
      </c>
      <c r="AF12" s="915">
        <v>1</v>
      </c>
      <c r="AG12" s="698">
        <f t="shared" si="7"/>
        <v>1.3845233457962554</v>
      </c>
      <c r="AI12" s="424"/>
      <c r="AJ12" s="424"/>
      <c r="AK12" s="424"/>
      <c r="AL12" s="424"/>
      <c r="AM12" s="424"/>
      <c r="AN12" s="424"/>
      <c r="AO12" s="424"/>
      <c r="AP12" s="424"/>
      <c r="AQ12" s="424"/>
      <c r="AR12" s="424"/>
      <c r="AS12" s="424"/>
      <c r="AT12" s="662"/>
      <c r="AU12" s="660"/>
      <c r="AV12" s="667"/>
      <c r="AW12" s="669"/>
      <c r="AX12" s="669"/>
      <c r="AY12" s="669"/>
      <c r="AZ12" s="669"/>
      <c r="BA12" s="913">
        <f>CM80</f>
        <v>0</v>
      </c>
      <c r="BB12" s="172">
        <f t="shared" si="1"/>
        <v>0</v>
      </c>
      <c r="BC12" s="424"/>
      <c r="BD12" s="3"/>
      <c r="BE12" s="3"/>
      <c r="BF12" s="3"/>
      <c r="BG12" s="3"/>
      <c r="BH12" s="3"/>
      <c r="BI12" s="3"/>
      <c r="BJ12" s="3"/>
      <c r="BK12" s="3"/>
      <c r="BL12" s="3"/>
      <c r="BM12" s="3"/>
      <c r="BN12" s="3"/>
      <c r="BO12" s="432">
        <f t="shared" si="8"/>
        <v>4.7500000000000001E-2</v>
      </c>
      <c r="BP12" s="432">
        <f t="shared" si="2"/>
        <v>1</v>
      </c>
      <c r="BQ12" s="3"/>
      <c r="BR12" s="427" t="s">
        <v>82</v>
      </c>
      <c r="BS12" s="433" t="s">
        <v>101</v>
      </c>
      <c r="BT12" s="434">
        <f>'[1]Indiv.Calc. Cust. - East'!C73</f>
        <v>191.4</v>
      </c>
      <c r="BU12" s="434">
        <f>'[1]Indiv.Calc. Cust. - East'!D73</f>
        <v>66840</v>
      </c>
      <c r="BV12" s="434">
        <f>'[1]Indiv.Calc. Cust. - East'!E73</f>
        <v>44420</v>
      </c>
      <c r="BW12" s="434">
        <f t="shared" si="11"/>
        <v>39978</v>
      </c>
      <c r="BX12" s="543">
        <v>0.9</v>
      </c>
      <c r="BY12" s="434">
        <f>'[1]Indiv.Calc. Cust. - West'!C29</f>
        <v>34.691344383057093</v>
      </c>
      <c r="BZ12" s="434">
        <f>'[1]Indiv.Calc. Cust. - West'!D29</f>
        <v>7780</v>
      </c>
      <c r="CA12" s="434">
        <f>'[1]Indiv.Calc. Cust. - West'!E29</f>
        <v>4060</v>
      </c>
      <c r="CB12" s="434">
        <f>CA12*CC12</f>
        <v>3654</v>
      </c>
      <c r="CC12" s="543">
        <v>0.9</v>
      </c>
      <c r="CD12" s="434">
        <v>0</v>
      </c>
      <c r="CE12" s="434"/>
      <c r="CF12" s="434">
        <v>0</v>
      </c>
      <c r="CG12" s="434">
        <v>0</v>
      </c>
      <c r="CH12" s="543"/>
      <c r="CI12" s="427" t="s">
        <v>113</v>
      </c>
      <c r="CJ12" s="430">
        <f t="shared" si="12"/>
        <v>43632</v>
      </c>
      <c r="CK12" s="539"/>
      <c r="CL12" s="539"/>
      <c r="CM12" s="539"/>
      <c r="CN12" s="3"/>
      <c r="CO12" s="3"/>
      <c r="CP12" s="3"/>
    </row>
    <row r="13" spans="2:101" s="422" customFormat="1" x14ac:dyDescent="0.2">
      <c r="C13" s="448" t="s">
        <v>359</v>
      </c>
      <c r="D13" s="452">
        <f>(BT13+BT11)</f>
        <v>388.65119891987536</v>
      </c>
      <c r="E13" s="442">
        <f>(BW13+BW11)/1000</f>
        <v>110.268</v>
      </c>
      <c r="F13" s="565">
        <v>0.9</v>
      </c>
      <c r="G13" s="554">
        <f t="shared" ref="G13:G15" si="13">G9</f>
        <v>1.012</v>
      </c>
      <c r="H13" s="548">
        <f>CK11</f>
        <v>0.29453423366170661</v>
      </c>
      <c r="I13" s="549">
        <f t="shared" si="4"/>
        <v>0.14908556045759414</v>
      </c>
      <c r="J13" s="557">
        <f t="shared" si="0"/>
        <v>1.1145396970414649</v>
      </c>
      <c r="K13" s="442">
        <f>CA76+CA77</f>
        <v>47.012581333333323</v>
      </c>
      <c r="L13" s="698">
        <f t="shared" si="5"/>
        <v>65.090016402145238</v>
      </c>
      <c r="O13" s="424"/>
      <c r="P13" s="424"/>
      <c r="Q13" s="424"/>
      <c r="R13" s="424"/>
      <c r="S13" s="424"/>
      <c r="T13" s="424"/>
      <c r="U13" s="424"/>
      <c r="V13" s="424"/>
      <c r="W13" s="424"/>
      <c r="X13" s="424"/>
      <c r="Y13" s="452">
        <f>(BY13+BY11)</f>
        <v>17.500000999999997</v>
      </c>
      <c r="Z13" s="531">
        <f>(CB13+CB11)/1000</f>
        <v>3.5009999999999999</v>
      </c>
      <c r="AA13" s="665">
        <f>F13</f>
        <v>0.9</v>
      </c>
      <c r="AB13" s="554">
        <f t="shared" ref="AB13:AB14" si="14">AB9</f>
        <v>1.0640000000000001</v>
      </c>
      <c r="AC13" s="548">
        <f>CL11</f>
        <v>0.19818621122345437</v>
      </c>
      <c r="AD13" s="549">
        <f t="shared" si="6"/>
        <v>8.6950305390411681E-2</v>
      </c>
      <c r="AE13" s="557">
        <f>AF13*(AB13-1)*AC13/AD13</f>
        <v>0.12418865847676586</v>
      </c>
      <c r="AF13" s="915">
        <f>CA82+CA81</f>
        <v>0.85133333333333339</v>
      </c>
      <c r="AG13" s="698">
        <f t="shared" si="7"/>
        <v>1.1786908750545455</v>
      </c>
      <c r="AI13" s="424"/>
      <c r="AJ13" s="424"/>
      <c r="AK13" s="424"/>
      <c r="AL13" s="424"/>
      <c r="AM13" s="424"/>
      <c r="AN13" s="424"/>
      <c r="AO13" s="424"/>
      <c r="AP13" s="424"/>
      <c r="AQ13" s="424"/>
      <c r="AR13" s="424"/>
      <c r="AS13" s="424"/>
      <c r="AT13" s="662"/>
      <c r="AU13" s="660"/>
      <c r="AV13" s="667"/>
      <c r="AW13" s="669"/>
      <c r="AX13" s="669"/>
      <c r="AY13" s="669"/>
      <c r="AZ13" s="669"/>
      <c r="BA13" s="913">
        <f>CM82+CM81</f>
        <v>0</v>
      </c>
      <c r="BB13" s="172">
        <f t="shared" si="1"/>
        <v>0</v>
      </c>
      <c r="BC13" s="424"/>
      <c r="BD13" s="3"/>
      <c r="BE13" s="3"/>
      <c r="BF13" s="3"/>
      <c r="BG13" s="3"/>
      <c r="BH13" s="3"/>
      <c r="BI13" s="3"/>
      <c r="BJ13" s="3"/>
      <c r="BK13" s="3"/>
      <c r="BL13" s="3"/>
      <c r="BM13" s="3"/>
      <c r="BN13" s="3"/>
      <c r="BO13" s="432">
        <f t="shared" si="8"/>
        <v>113.76900000000001</v>
      </c>
      <c r="BP13" s="432">
        <f t="shared" si="2"/>
        <v>47.863914666666659</v>
      </c>
      <c r="BQ13" s="3"/>
      <c r="BR13" s="427" t="s">
        <v>82</v>
      </c>
      <c r="BS13" s="433" t="s">
        <v>105</v>
      </c>
      <c r="BT13" s="434">
        <f>'[1]Connxn Asset Cust - East'!C73</f>
        <v>142.95119891987534</v>
      </c>
      <c r="BU13" s="434">
        <f>'[1]Connxn Asset Cust - East'!D73</f>
        <v>45460</v>
      </c>
      <c r="BV13" s="434">
        <f>'[1]Connxn Asset Cust - East'!E73</f>
        <v>31900</v>
      </c>
      <c r="BW13" s="434">
        <f t="shared" si="11"/>
        <v>28710</v>
      </c>
      <c r="BX13" s="543">
        <v>0.9</v>
      </c>
      <c r="BY13" s="434">
        <f>'[1]Connxn Asset Cust - West'!C28</f>
        <v>17.300000999999998</v>
      </c>
      <c r="BZ13" s="434">
        <f>'[1]Connxn Asset Cust - West'!D28</f>
        <v>7200</v>
      </c>
      <c r="CA13" s="434">
        <f>'[1]Connxn Asset Cust - West'!E28</f>
        <v>3860</v>
      </c>
      <c r="CB13" s="434">
        <f>CA13*CC13</f>
        <v>3474</v>
      </c>
      <c r="CC13" s="543">
        <v>0.9</v>
      </c>
      <c r="CD13" s="434">
        <v>0</v>
      </c>
      <c r="CE13" s="434"/>
      <c r="CF13" s="434">
        <v>0</v>
      </c>
      <c r="CG13" s="434">
        <v>0</v>
      </c>
      <c r="CH13" s="543"/>
      <c r="CI13" s="427" t="s">
        <v>114</v>
      </c>
      <c r="CJ13" s="430">
        <f t="shared" si="12"/>
        <v>32184</v>
      </c>
      <c r="CK13" s="539"/>
      <c r="CL13" s="539"/>
      <c r="CM13" s="539"/>
      <c r="CN13" s="3"/>
      <c r="CO13" s="3"/>
      <c r="CP13" s="3"/>
    </row>
    <row r="14" spans="2:101" s="422" customFormat="1" x14ac:dyDescent="0.2">
      <c r="C14" s="448" t="s">
        <v>235</v>
      </c>
      <c r="D14" s="452">
        <f>BT15</f>
        <v>331.37930367504839</v>
      </c>
      <c r="E14" s="442">
        <f>BW15/1000</f>
        <v>55.8</v>
      </c>
      <c r="F14" s="565">
        <v>0.9</v>
      </c>
      <c r="G14" s="554">
        <f t="shared" si="13"/>
        <v>1.016</v>
      </c>
      <c r="H14" s="548">
        <f>CK15</f>
        <v>0.42802316852385092</v>
      </c>
      <c r="I14" s="549">
        <f t="shared" si="4"/>
        <v>0.25664963351239306</v>
      </c>
      <c r="J14" s="557">
        <f t="shared" si="0"/>
        <v>1.1366715012777111</v>
      </c>
      <c r="K14" s="442">
        <f>CA78</f>
        <v>42.597916666666663</v>
      </c>
      <c r="L14" s="698">
        <f t="shared" si="5"/>
        <v>58.977810107283396</v>
      </c>
      <c r="O14" s="424"/>
      <c r="P14" s="424"/>
      <c r="Q14" s="424"/>
      <c r="R14" s="424"/>
      <c r="S14" s="424"/>
      <c r="T14" s="424"/>
      <c r="U14" s="424"/>
      <c r="V14" s="424"/>
      <c r="W14" s="424"/>
      <c r="X14" s="424"/>
      <c r="Y14" s="452">
        <f>BY15</f>
        <v>17.098537147697023</v>
      </c>
      <c r="Z14" s="531">
        <f>CB15/1000</f>
        <v>3.8519999999999999</v>
      </c>
      <c r="AA14" s="665">
        <f>F14</f>
        <v>0.9</v>
      </c>
      <c r="AB14" s="554">
        <f t="shared" si="14"/>
        <v>1.07</v>
      </c>
      <c r="AC14" s="548">
        <f>CL15</f>
        <v>0.17660946455379284</v>
      </c>
      <c r="AD14" s="549">
        <f t="shared" si="6"/>
        <v>7.4816471445122046E-2</v>
      </c>
      <c r="AE14" s="557">
        <f>AF14*(AB14-1)*AC14/AD14</f>
        <v>0</v>
      </c>
      <c r="AF14" s="915">
        <f>CA83</f>
        <v>0</v>
      </c>
      <c r="AG14" s="698">
        <f t="shared" si="7"/>
        <v>0</v>
      </c>
      <c r="AI14" s="424"/>
      <c r="AJ14" s="424"/>
      <c r="AK14" s="424"/>
      <c r="AL14" s="424"/>
      <c r="AM14" s="424"/>
      <c r="AN14" s="424"/>
      <c r="AO14" s="424"/>
      <c r="AP14" s="424"/>
      <c r="AQ14" s="424"/>
      <c r="AR14" s="424"/>
      <c r="AS14" s="424"/>
      <c r="AT14" s="662"/>
      <c r="AU14" s="660"/>
      <c r="AV14" s="667"/>
      <c r="AW14" s="669"/>
      <c r="AX14" s="669"/>
      <c r="AY14" s="669"/>
      <c r="AZ14" s="669"/>
      <c r="BA14" s="913">
        <f>CM83</f>
        <v>0</v>
      </c>
      <c r="BB14" s="172">
        <f t="shared" si="1"/>
        <v>0</v>
      </c>
      <c r="BC14" s="424"/>
      <c r="BD14" s="3"/>
      <c r="BE14" s="3"/>
      <c r="BF14" s="3"/>
      <c r="BG14" s="3"/>
      <c r="BH14" s="3"/>
      <c r="BI14" s="3"/>
      <c r="BJ14" s="3"/>
      <c r="BK14" s="3"/>
      <c r="BL14" s="3"/>
      <c r="BM14" s="3"/>
      <c r="BN14" s="3"/>
      <c r="BO14" s="432">
        <f t="shared" si="8"/>
        <v>59.651999999999994</v>
      </c>
      <c r="BP14" s="432">
        <f t="shared" si="2"/>
        <v>42.597916666666663</v>
      </c>
      <c r="BQ14" s="3"/>
      <c r="BR14" s="427" t="s">
        <v>138</v>
      </c>
      <c r="BS14" s="435" t="s">
        <v>102</v>
      </c>
      <c r="BT14" s="436">
        <f>'[1]Indiv.Calc. Cust. - East'!C90</f>
        <v>282.94205066565166</v>
      </c>
      <c r="BU14" s="436">
        <f>'[1]Indiv.Calc. Cust. - East'!D90</f>
        <v>71630</v>
      </c>
      <c r="BV14" s="436">
        <f>'[1]Indiv.Calc. Cust. - East'!E90</f>
        <v>43580</v>
      </c>
      <c r="BW14" s="436">
        <f t="shared" si="11"/>
        <v>39222</v>
      </c>
      <c r="BX14" s="544">
        <v>0.9</v>
      </c>
      <c r="BY14" s="436">
        <f>'[1]Indiv.Calc. Cust. - West'!C40</f>
        <v>94.907489885764448</v>
      </c>
      <c r="BZ14" s="436">
        <f>'[1]Indiv.Calc. Cust. - West'!D40</f>
        <v>22030</v>
      </c>
      <c r="CA14" s="436">
        <f>'[1]Indiv.Calc. Cust. - West'!E40</f>
        <v>16560</v>
      </c>
      <c r="CB14" s="436">
        <f>CA14*CC14</f>
        <v>14904</v>
      </c>
      <c r="CC14" s="544">
        <v>0.9</v>
      </c>
      <c r="CD14" s="436">
        <v>0</v>
      </c>
      <c r="CE14" s="436"/>
      <c r="CF14" s="436">
        <v>0</v>
      </c>
      <c r="CG14" s="436">
        <v>0</v>
      </c>
      <c r="CH14" s="544"/>
      <c r="CI14" s="427" t="s">
        <v>113</v>
      </c>
      <c r="CJ14" s="430">
        <f t="shared" si="12"/>
        <v>54126</v>
      </c>
      <c r="CK14" s="539">
        <f t="shared" ref="CK14:CK19" si="15">BT14/(BU14*BX14*8760)*1000000</f>
        <v>0.50102100070180622</v>
      </c>
      <c r="CL14" s="539">
        <f t="shared" ref="CL14:CL18" si="16">BY14/(BZ14*CC14*8760)*1000000</f>
        <v>0.54643608932888454</v>
      </c>
      <c r="CM14" s="539"/>
      <c r="CN14" s="3"/>
      <c r="CO14" s="3"/>
      <c r="CP14" s="3"/>
    </row>
    <row r="15" spans="2:101" s="422" customFormat="1" x14ac:dyDescent="0.2">
      <c r="C15" s="448" t="s">
        <v>236</v>
      </c>
      <c r="D15" s="452">
        <f>BT16</f>
        <v>585.60955231157129</v>
      </c>
      <c r="E15" s="442">
        <f>BW16/1000</f>
        <v>120.55500000000001</v>
      </c>
      <c r="F15" s="565">
        <v>0.9</v>
      </c>
      <c r="G15" s="554">
        <f t="shared" si="13"/>
        <v>1.036</v>
      </c>
      <c r="H15" s="548">
        <f>CK16</f>
        <v>0.39099978075497038</v>
      </c>
      <c r="I15" s="549">
        <f t="shared" si="4"/>
        <v>0.22431651421179555</v>
      </c>
      <c r="J15" s="557">
        <f t="shared" si="0"/>
        <v>4.4601990944980656</v>
      </c>
      <c r="K15" s="442">
        <f>CA79</f>
        <v>71.078209333333348</v>
      </c>
      <c r="L15" s="698">
        <f t="shared" si="5"/>
        <v>98.409440199393316</v>
      </c>
      <c r="O15" s="424"/>
      <c r="P15" s="424"/>
      <c r="Q15" s="424"/>
      <c r="R15" s="424"/>
      <c r="S15" s="424"/>
      <c r="T15" s="424"/>
      <c r="U15" s="424"/>
      <c r="V15" s="424"/>
      <c r="W15" s="424"/>
      <c r="X15" s="424"/>
      <c r="Y15" s="455"/>
      <c r="Z15" s="683"/>
      <c r="AA15" s="667"/>
      <c r="AB15" s="668"/>
      <c r="AC15" s="684"/>
      <c r="AD15" s="685"/>
      <c r="AE15" s="567"/>
      <c r="AF15" s="915">
        <f>CA84</f>
        <v>2.3206000000000002</v>
      </c>
      <c r="AG15" s="698">
        <f t="shared" si="7"/>
        <v>3.2129248762547906</v>
      </c>
      <c r="AI15" s="424"/>
      <c r="AJ15" s="424"/>
      <c r="AK15" s="424"/>
      <c r="AL15" s="424"/>
      <c r="AM15" s="424"/>
      <c r="AN15" s="424"/>
      <c r="AO15" s="424"/>
      <c r="AP15" s="424"/>
      <c r="AQ15" s="424"/>
      <c r="AR15" s="424"/>
      <c r="AS15" s="424"/>
      <c r="AT15" s="662"/>
      <c r="AU15" s="660"/>
      <c r="AV15" s="667"/>
      <c r="AW15" s="669"/>
      <c r="AX15" s="669"/>
      <c r="AY15" s="669"/>
      <c r="AZ15" s="669"/>
      <c r="BA15" s="913">
        <f>CM84</f>
        <v>0</v>
      </c>
      <c r="BB15" s="172">
        <f t="shared" si="1"/>
        <v>0</v>
      </c>
      <c r="BC15" s="424"/>
      <c r="BD15" s="3"/>
      <c r="BE15" s="3"/>
      <c r="BF15" s="3"/>
      <c r="BG15" s="3"/>
      <c r="BH15" s="3"/>
      <c r="BI15" s="3"/>
      <c r="BJ15" s="3"/>
      <c r="BK15" s="3"/>
      <c r="BL15" s="3"/>
      <c r="BM15" s="3"/>
      <c r="BN15" s="3"/>
      <c r="BO15" s="432">
        <f t="shared" si="8"/>
        <v>120.55500000000001</v>
      </c>
      <c r="BP15" s="432">
        <f t="shared" si="2"/>
        <v>73.398809333333347</v>
      </c>
      <c r="BQ15" s="3"/>
      <c r="BR15" s="427" t="s">
        <v>138</v>
      </c>
      <c r="BS15" s="435" t="s">
        <v>106</v>
      </c>
      <c r="BT15" s="436">
        <f>'[1]Connxn Asset Cust - East'!C105</f>
        <v>331.37930367504839</v>
      </c>
      <c r="BU15" s="436">
        <f>'[1]Connxn Asset Cust - East'!D105</f>
        <v>98200</v>
      </c>
      <c r="BV15" s="436">
        <f>'[1]Connxn Asset Cust - East'!E105</f>
        <v>62000</v>
      </c>
      <c r="BW15" s="436">
        <f t="shared" si="11"/>
        <v>55800</v>
      </c>
      <c r="BX15" s="544">
        <v>0.9</v>
      </c>
      <c r="BY15" s="436">
        <f>'[1]Connxn Asset Cust - West'!C46</f>
        <v>17.098537147697023</v>
      </c>
      <c r="BZ15" s="436">
        <f>'[1]Connxn Asset Cust - West'!D46</f>
        <v>12280</v>
      </c>
      <c r="CA15" s="436">
        <f>'[1]Connxn Asset Cust - West'!E46</f>
        <v>4280</v>
      </c>
      <c r="CB15" s="436">
        <f t="shared" ref="CB15:CB16" si="17">CA15*CC15</f>
        <v>3852</v>
      </c>
      <c r="CC15" s="544">
        <v>0.9</v>
      </c>
      <c r="CD15" s="436">
        <v>0</v>
      </c>
      <c r="CE15" s="436"/>
      <c r="CF15" s="436">
        <v>0</v>
      </c>
      <c r="CG15" s="436">
        <v>0</v>
      </c>
      <c r="CH15" s="544"/>
      <c r="CI15" s="427" t="s">
        <v>114</v>
      </c>
      <c r="CJ15" s="430">
        <f t="shared" si="12"/>
        <v>59652</v>
      </c>
      <c r="CK15" s="539">
        <f t="shared" si="15"/>
        <v>0.42802316852385092</v>
      </c>
      <c r="CL15" s="539">
        <f t="shared" si="16"/>
        <v>0.17660946455379284</v>
      </c>
      <c r="CM15" s="539"/>
      <c r="CN15" s="3"/>
      <c r="CO15" s="3"/>
      <c r="CP15" s="3"/>
      <c r="CQ15" s="539"/>
      <c r="CR15" s="539"/>
      <c r="CT15" s="539"/>
      <c r="CU15" s="539"/>
      <c r="CV15" s="539"/>
      <c r="CW15" s="539"/>
    </row>
    <row r="16" spans="2:101" s="422" customFormat="1" x14ac:dyDescent="0.2">
      <c r="C16" s="448" t="s">
        <v>237</v>
      </c>
      <c r="D16" s="452">
        <f>BT17</f>
        <v>75.31</v>
      </c>
      <c r="E16" s="442">
        <f>BW17/1000</f>
        <v>36.322298325722983</v>
      </c>
      <c r="F16" s="565">
        <v>0.9</v>
      </c>
      <c r="G16" s="554">
        <f>G11</f>
        <v>1.036</v>
      </c>
      <c r="H16" s="548">
        <v>0.35930000000000001</v>
      </c>
      <c r="I16" s="549">
        <f t="shared" si="4"/>
        <v>0.19815754299999999</v>
      </c>
      <c r="J16" s="557">
        <f t="shared" si="0"/>
        <v>1.6754015557012216</v>
      </c>
      <c r="K16" s="442">
        <f>E16*K$23</f>
        <v>25.666686444021664</v>
      </c>
      <c r="L16" s="698">
        <f t="shared" si="5"/>
        <v>35.536126590980267</v>
      </c>
      <c r="O16" s="424"/>
      <c r="P16" s="424"/>
      <c r="Q16" s="424"/>
      <c r="R16" s="424"/>
      <c r="S16" s="424"/>
      <c r="T16" s="424"/>
      <c r="U16" s="424"/>
      <c r="V16" s="424"/>
      <c r="W16" s="424"/>
      <c r="X16" s="424"/>
      <c r="Y16" s="452">
        <f>BY17</f>
        <v>7.14</v>
      </c>
      <c r="Z16" s="531">
        <f>CB17/1000</f>
        <v>2.3975660469667317</v>
      </c>
      <c r="AA16" s="665">
        <f>F16</f>
        <v>0.9</v>
      </c>
      <c r="AB16" s="554">
        <f>AB11</f>
        <v>0</v>
      </c>
      <c r="AC16" s="548">
        <f>CL17</f>
        <v>0.33995663818390509</v>
      </c>
      <c r="AD16" s="549">
        <f t="shared" si="6"/>
        <v>0.18288635254688332</v>
      </c>
      <c r="AE16" s="557">
        <f>AF16*(AB16-1)*AC16/AD16</f>
        <v>-2.6208702209916921</v>
      </c>
      <c r="AF16" s="913">
        <f>Z16*AF$23</f>
        <v>1.4099486269087584</v>
      </c>
      <c r="AG16" s="698">
        <f t="shared" si="7"/>
        <v>1.9521067903285505</v>
      </c>
      <c r="AI16" s="424"/>
      <c r="AJ16" s="424"/>
      <c r="AK16" s="424"/>
      <c r="AL16" s="424"/>
      <c r="AM16" s="424"/>
      <c r="AN16" s="424"/>
      <c r="AO16" s="424"/>
      <c r="AP16" s="424"/>
      <c r="AQ16" s="424"/>
      <c r="AR16" s="424"/>
      <c r="AS16" s="424"/>
      <c r="AT16" s="662"/>
      <c r="AU16" s="660"/>
      <c r="AV16" s="667"/>
      <c r="AW16" s="669"/>
      <c r="AX16" s="669"/>
      <c r="AY16" s="669"/>
      <c r="AZ16" s="669"/>
      <c r="BA16" s="913">
        <f>CM85</f>
        <v>0</v>
      </c>
      <c r="BB16" s="172">
        <f t="shared" si="1"/>
        <v>0</v>
      </c>
      <c r="BC16" s="424"/>
      <c r="BD16" s="3"/>
      <c r="BE16" s="3"/>
      <c r="BF16" s="3"/>
      <c r="BG16" s="3"/>
      <c r="BH16" s="3"/>
      <c r="BI16" s="3"/>
      <c r="BJ16" s="3"/>
      <c r="BK16" s="3"/>
      <c r="BL16" s="3"/>
      <c r="BM16" s="3"/>
      <c r="BN16" s="3"/>
      <c r="BO16" s="432">
        <f t="shared" si="8"/>
        <v>38.719864372689713</v>
      </c>
      <c r="BP16" s="432">
        <f t="shared" si="2"/>
        <v>27.076635070930422</v>
      </c>
      <c r="BQ16" s="3"/>
      <c r="BR16" s="427" t="s">
        <v>140</v>
      </c>
      <c r="BS16" s="435" t="s">
        <v>107</v>
      </c>
      <c r="BT16" s="436">
        <f>'[1]Connxn Asset Cust - East'!C201</f>
        <v>585.60955231157129</v>
      </c>
      <c r="BU16" s="436">
        <f>'[1]Connxn Asset Cust - East'!D201</f>
        <v>189970</v>
      </c>
      <c r="BV16" s="436">
        <f>'[1]Connxn Asset Cust - East'!E201</f>
        <v>133950</v>
      </c>
      <c r="BW16" s="436">
        <f t="shared" si="11"/>
        <v>120555</v>
      </c>
      <c r="BX16" s="544">
        <v>0.9</v>
      </c>
      <c r="BY16" s="436">
        <v>0</v>
      </c>
      <c r="BZ16" s="436">
        <v>0</v>
      </c>
      <c r="CA16" s="436">
        <v>0</v>
      </c>
      <c r="CB16" s="436">
        <f t="shared" si="17"/>
        <v>0</v>
      </c>
      <c r="CC16" s="544">
        <v>0.9</v>
      </c>
      <c r="CD16" s="436">
        <v>0</v>
      </c>
      <c r="CE16" s="436"/>
      <c r="CF16" s="436">
        <v>0</v>
      </c>
      <c r="CG16" s="436">
        <v>0</v>
      </c>
      <c r="CH16" s="544"/>
      <c r="CI16" s="427" t="s">
        <v>114</v>
      </c>
      <c r="CJ16" s="430">
        <f t="shared" si="12"/>
        <v>120555</v>
      </c>
      <c r="CK16" s="539">
        <f t="shared" si="15"/>
        <v>0.39099978075497038</v>
      </c>
      <c r="CL16" s="539"/>
      <c r="CM16" s="539"/>
      <c r="CN16" s="3"/>
      <c r="CO16" s="3"/>
      <c r="CP16" s="3"/>
      <c r="CQ16" s="539"/>
      <c r="CR16" s="539"/>
      <c r="CT16" s="539"/>
      <c r="CU16" s="539"/>
      <c r="CV16" s="539"/>
      <c r="CW16" s="539"/>
    </row>
    <row r="17" spans="2:101" s="422" customFormat="1" x14ac:dyDescent="0.2">
      <c r="C17" s="448" t="s">
        <v>239</v>
      </c>
      <c r="D17" s="452">
        <f>BT18</f>
        <v>509.72999999999996</v>
      </c>
      <c r="E17" s="442">
        <f>BW18/1000</f>
        <v>140.15761140877612</v>
      </c>
      <c r="F17" s="565">
        <v>0.9</v>
      </c>
      <c r="G17" s="553">
        <f>'Inputs - network configuration'!D24</f>
        <v>1.075</v>
      </c>
      <c r="H17" s="548">
        <v>0.30249999999999999</v>
      </c>
      <c r="I17" s="549">
        <f t="shared" si="4"/>
        <v>0.15480437499999999</v>
      </c>
      <c r="J17" s="557">
        <f t="shared" si="0"/>
        <v>14.514984741536107</v>
      </c>
      <c r="K17" s="442">
        <f>E17*K$23</f>
        <v>99.040579219748082</v>
      </c>
      <c r="L17" s="698">
        <f t="shared" si="5"/>
        <v>137.12399411092468</v>
      </c>
      <c r="O17" s="424"/>
      <c r="P17" s="424"/>
      <c r="Q17" s="424"/>
      <c r="R17" s="424"/>
      <c r="S17" s="424"/>
      <c r="T17" s="424"/>
      <c r="U17" s="424"/>
      <c r="V17" s="424"/>
      <c r="W17" s="424"/>
      <c r="X17" s="424"/>
      <c r="Y17" s="452">
        <f>BY18</f>
        <v>34.42</v>
      </c>
      <c r="Z17" s="531">
        <f>CB18/1000</f>
        <v>10.958525485207145</v>
      </c>
      <c r="AA17" s="665">
        <f>F17</f>
        <v>0.9</v>
      </c>
      <c r="AB17" s="553">
        <f>'Inputs - network configuration'!Y24</f>
        <v>1.149</v>
      </c>
      <c r="AC17" s="548">
        <f>CL18</f>
        <v>0.35855405452095501</v>
      </c>
      <c r="AD17" s="549">
        <f t="shared" si="6"/>
        <v>0.19755892336567768</v>
      </c>
      <c r="AE17" s="557">
        <f>AF17*(AB17-1)*AC17/AD17</f>
        <v>1.7427259042851431</v>
      </c>
      <c r="AF17" s="913">
        <f t="shared" ref="AF17:AF18" si="18">Z17*AF$23</f>
        <v>6.4444347551385084</v>
      </c>
      <c r="AG17" s="698">
        <f t="shared" si="7"/>
        <v>8.9224703689500391</v>
      </c>
      <c r="AI17" s="424"/>
      <c r="AJ17" s="424"/>
      <c r="AK17" s="424"/>
      <c r="AL17" s="424"/>
      <c r="AM17" s="424"/>
      <c r="AN17" s="424"/>
      <c r="AO17" s="424"/>
      <c r="AP17" s="424"/>
      <c r="AQ17" s="424"/>
      <c r="AR17" s="424"/>
      <c r="AS17" s="424"/>
      <c r="AT17" s="559">
        <f>CD18</f>
        <v>12.7</v>
      </c>
      <c r="AU17" s="442">
        <f>CG18/1000</f>
        <v>3.3715620685993417</v>
      </c>
      <c r="AV17" s="665">
        <f>AA17</f>
        <v>0.9</v>
      </c>
      <c r="AW17" s="553">
        <f>'Inputs - network configuration'!AT24</f>
        <v>1.0660000000000001</v>
      </c>
      <c r="AX17" s="548">
        <f>CM18</f>
        <v>0.42999999999999994</v>
      </c>
      <c r="AY17" s="549">
        <f t="shared" ref="AY17:AY18" si="19">AX17*0.3+AX17^2*0.7</f>
        <v>0.25842999999999994</v>
      </c>
      <c r="AZ17" s="557">
        <f>BA17*(AW17-1)*AX17/AY17</f>
        <v>0.24777004511689574</v>
      </c>
      <c r="BA17" s="913">
        <f t="shared" ref="BA17:BA18" si="20">AU17*BA$23</f>
        <v>2.2562090472008212</v>
      </c>
      <c r="BB17" s="698">
        <f t="shared" ref="BB17:BB18" si="21">BA17*$D$25</f>
        <v>3.1237740988462623</v>
      </c>
      <c r="BC17" s="424"/>
      <c r="BD17" s="3"/>
      <c r="BE17" s="3"/>
      <c r="BF17" s="3"/>
      <c r="BG17" s="3"/>
      <c r="BH17" s="3"/>
      <c r="BI17" s="3"/>
      <c r="BJ17" s="3"/>
      <c r="BK17" s="3"/>
      <c r="BL17" s="3"/>
      <c r="BM17" s="3"/>
      <c r="BN17" s="3"/>
      <c r="BO17" s="432">
        <f t="shared" si="8"/>
        <v>154.48769896258258</v>
      </c>
      <c r="BP17" s="432">
        <f t="shared" si="2"/>
        <v>107.74122302208741</v>
      </c>
      <c r="BQ17" s="3"/>
      <c r="BR17" s="427" t="s">
        <v>140</v>
      </c>
      <c r="BS17" s="435" t="s">
        <v>110</v>
      </c>
      <c r="BT17" s="436">
        <f>'[1]Std Connxn Assets - East'!$D$3+'[1]Std Connxn Assets - East'!D10</f>
        <v>75.31</v>
      </c>
      <c r="BU17" s="436">
        <f>BW17/BX17</f>
        <v>40358.109250803318</v>
      </c>
      <c r="BV17" s="436">
        <f>BW17/BX17</f>
        <v>40358.109250803318</v>
      </c>
      <c r="BW17" s="436">
        <f>('[1]Std Connxn Assets - East'!G3+'[1]Std Connxn Assets - East'!G10)*1000</f>
        <v>36322.298325722986</v>
      </c>
      <c r="BX17" s="544">
        <v>0.9</v>
      </c>
      <c r="BY17" s="436">
        <f>'[1]Std Connxn Assets - West'!$D$3+'[1]Std Connxn Assets - West'!$D$10</f>
        <v>7.14</v>
      </c>
      <c r="BZ17" s="436">
        <f>CB17/CC17</f>
        <v>2663.96227440748</v>
      </c>
      <c r="CA17" s="436">
        <f>CB17/CC17</f>
        <v>2663.96227440748</v>
      </c>
      <c r="CB17" s="436">
        <f>('[1]Std Connxn Assets - West'!G3+'[1]Std Connxn Assets - West'!G10)*1000</f>
        <v>2397.5660469667318</v>
      </c>
      <c r="CC17" s="544">
        <v>0.9</v>
      </c>
      <c r="CD17" s="436">
        <f>'[2]Std Connxn Assets - Mt Isa'!$D$3+'[2]Std Connxn Assets - Mt Isa'!$D$10</f>
        <v>0</v>
      </c>
      <c r="CE17" s="436"/>
      <c r="CF17" s="436">
        <v>0</v>
      </c>
      <c r="CG17" s="436">
        <f>'[2]Std Connxn Assets - Mt Isa'!$G$3+'[2]Std Connxn Assets - Mt Isa'!$G$10</f>
        <v>0</v>
      </c>
      <c r="CH17" s="544"/>
      <c r="CI17" s="427" t="s">
        <v>115</v>
      </c>
      <c r="CJ17" s="430">
        <f t="shared" si="12"/>
        <v>38719.864372689721</v>
      </c>
      <c r="CK17" s="539">
        <f t="shared" si="15"/>
        <v>0.2366874443455031</v>
      </c>
      <c r="CL17" s="539">
        <f t="shared" si="16"/>
        <v>0.33995663818390509</v>
      </c>
      <c r="CM17" s="539"/>
      <c r="CN17" s="3"/>
      <c r="CO17" s="3"/>
      <c r="CP17" s="3"/>
      <c r="CQ17" s="539"/>
      <c r="CR17" s="539"/>
      <c r="CT17" s="539"/>
      <c r="CU17" s="539"/>
      <c r="CV17" s="539"/>
      <c r="CW17" s="539"/>
    </row>
    <row r="18" spans="2:101" s="422" customFormat="1" x14ac:dyDescent="0.2">
      <c r="C18" s="449" t="s">
        <v>240</v>
      </c>
      <c r="D18" s="453">
        <f>BT19</f>
        <v>6959.4190000000026</v>
      </c>
      <c r="E18" s="442">
        <f>BW19/1000</f>
        <v>1972.5325643728431</v>
      </c>
      <c r="F18" s="566">
        <v>0.9</v>
      </c>
      <c r="G18" s="555">
        <f>'Inputs - network configuration'!D25</f>
        <v>1.087</v>
      </c>
      <c r="H18" s="550">
        <v>0.30249999999999999</v>
      </c>
      <c r="I18" s="552">
        <f t="shared" si="4"/>
        <v>0.15480437499999999</v>
      </c>
      <c r="J18" s="558">
        <f t="shared" si="0"/>
        <v>236.96383344489607</v>
      </c>
      <c r="K18" s="442">
        <f>E18*K$23</f>
        <v>1393.8648478784555</v>
      </c>
      <c r="L18" s="698">
        <f t="shared" si="5"/>
        <v>1929.8384227724678</v>
      </c>
      <c r="O18" s="424"/>
      <c r="P18" s="424"/>
      <c r="Q18" s="424"/>
      <c r="R18" s="424"/>
      <c r="S18" s="424"/>
      <c r="T18" s="424"/>
      <c r="U18" s="424"/>
      <c r="V18" s="424"/>
      <c r="W18" s="424"/>
      <c r="X18" s="424"/>
      <c r="Y18" s="453">
        <f>BY19</f>
        <v>755.32600000000025</v>
      </c>
      <c r="Z18" s="531">
        <f>CB19/1000</f>
        <v>218.71177284093568</v>
      </c>
      <c r="AA18" s="666">
        <f>F18</f>
        <v>0.9</v>
      </c>
      <c r="AB18" s="555">
        <f>'Inputs - network configuration'!Y25</f>
        <v>1.171</v>
      </c>
      <c r="AC18" s="550">
        <f>CL19</f>
        <v>0.39423771342411218</v>
      </c>
      <c r="AD18" s="552">
        <f t="shared" si="6"/>
        <v>0.22706767630734431</v>
      </c>
      <c r="AE18" s="558">
        <f>AF18*(AB18-1)*AC18/AD18</f>
        <v>38.185970447301102</v>
      </c>
      <c r="AF18" s="913">
        <f t="shared" si="18"/>
        <v>128.61892342694512</v>
      </c>
      <c r="AG18" s="698">
        <f t="shared" si="7"/>
        <v>178.07590219578643</v>
      </c>
      <c r="AI18" s="424"/>
      <c r="AJ18" s="424"/>
      <c r="AK18" s="424"/>
      <c r="AL18" s="424"/>
      <c r="AM18" s="424"/>
      <c r="AN18" s="424"/>
      <c r="AO18" s="424"/>
      <c r="AP18" s="424"/>
      <c r="AQ18" s="424"/>
      <c r="AR18" s="424"/>
      <c r="AS18" s="424"/>
      <c r="AT18" s="663">
        <f>CD19</f>
        <v>167.48414851900398</v>
      </c>
      <c r="AU18" s="442">
        <f>CG19/1000</f>
        <v>45.263520371458647</v>
      </c>
      <c r="AV18" s="666">
        <f>AA18</f>
        <v>0.9</v>
      </c>
      <c r="AW18" s="555">
        <f>'Inputs - network configuration'!AT25</f>
        <v>1.073</v>
      </c>
      <c r="AX18" s="550">
        <f>CM19</f>
        <v>0.42239743792601187</v>
      </c>
      <c r="AY18" s="552">
        <f t="shared" si="19"/>
        <v>0.2516129482743249</v>
      </c>
      <c r="AZ18" s="558">
        <f>BA18*(AW18-1)*AX18/AY18</f>
        <v>3.711997321505299</v>
      </c>
      <c r="BA18" s="913">
        <f t="shared" si="20"/>
        <v>30.289806947753849</v>
      </c>
      <c r="BB18" s="698">
        <f t="shared" si="21"/>
        <v>41.93694485882682</v>
      </c>
      <c r="BC18" s="424"/>
      <c r="BD18" s="3"/>
      <c r="BE18" s="3"/>
      <c r="BF18" s="3"/>
      <c r="BG18" s="3"/>
      <c r="BH18" s="3"/>
      <c r="BI18" s="3"/>
      <c r="BJ18" s="3"/>
      <c r="BK18" s="3"/>
      <c r="BL18" s="3"/>
      <c r="BM18" s="3"/>
      <c r="BN18" s="3"/>
      <c r="BO18" s="432">
        <f t="shared" si="8"/>
        <v>2236.5078575852372</v>
      </c>
      <c r="BP18" s="432">
        <f t="shared" si="2"/>
        <v>1552.7735782531547</v>
      </c>
      <c r="BQ18" s="3"/>
      <c r="BR18" s="427" t="s">
        <v>139</v>
      </c>
      <c r="BS18" s="437" t="s">
        <v>108</v>
      </c>
      <c r="BT18" s="438">
        <f>SUM('[1]Std Connxn Assets - East'!$D$4:$D$6,'[1]Std Connxn Assets - East'!$D$11:$D$13)</f>
        <v>509.72999999999996</v>
      </c>
      <c r="BU18" s="438">
        <f>BW18/BX18</f>
        <v>161100.70276870817</v>
      </c>
      <c r="BV18" s="438">
        <f>BW18/BX18</f>
        <v>161100.70276870817</v>
      </c>
      <c r="BW18" s="438">
        <f>SUM('[1]Std Connxn Assets - East'!G4:G6,'[1]Std Connxn Assets - East'!G11:G13)*1000</f>
        <v>140157.61140877611</v>
      </c>
      <c r="BX18" s="545">
        <v>0.87</v>
      </c>
      <c r="BY18" s="438">
        <f>SUM('[1]Std Connxn Assets - West'!$D$4:$D$6,'[1]Std Connxn Assets - West'!$D$11:$D$13)</f>
        <v>34.42</v>
      </c>
      <c r="BZ18" s="438">
        <f>CB18/CC18</f>
        <v>12596.006304835799</v>
      </c>
      <c r="CA18" s="438">
        <f>CB18/CC18</f>
        <v>12596.006304835799</v>
      </c>
      <c r="CB18" s="438">
        <f>SUM('[1]Std Connxn Assets - West'!G4:G6,'[1]Std Connxn Assets - West'!G11:G13)*1000</f>
        <v>10958.525485207145</v>
      </c>
      <c r="CC18" s="545">
        <v>0.87</v>
      </c>
      <c r="CD18" s="438">
        <f>SUM('[1]Std Connxn Assets - Mt Isa'!$D$4:$D$6,'[1]Std Connxn Assets - Mt Isa'!$D$11:$D$13)</f>
        <v>12.7</v>
      </c>
      <c r="CE18" s="438">
        <f>CG18/CH18</f>
        <v>3875.3586995394735</v>
      </c>
      <c r="CF18" s="438">
        <f>CG18/CH18</f>
        <v>3875.3586995394735</v>
      </c>
      <c r="CG18" s="438">
        <f>SUM('[1]Std Connxn Assets - Mt Isa'!$G$4:$G$6,'[1]Std Connxn Assets - Mt Isa'!$G$11:$G$13)*1000</f>
        <v>3371.5620685993417</v>
      </c>
      <c r="CH18" s="545">
        <v>0.87</v>
      </c>
      <c r="CI18" s="427" t="s">
        <v>115</v>
      </c>
      <c r="CJ18" s="430">
        <f t="shared" si="12"/>
        <v>154487.6989625826</v>
      </c>
      <c r="CK18" s="539">
        <f t="shared" si="15"/>
        <v>0.41516372589052297</v>
      </c>
      <c r="CL18" s="539">
        <f t="shared" si="16"/>
        <v>0.35855405452095501</v>
      </c>
      <c r="CM18" s="539">
        <f t="shared" ref="CM18:CM19" si="22">CD18/(CE18*CH18*8760)*1000000</f>
        <v>0.42999999999999994</v>
      </c>
      <c r="CN18" s="3"/>
      <c r="CO18" s="3"/>
      <c r="CP18" s="3"/>
      <c r="CQ18" s="539"/>
      <c r="CR18" s="539"/>
      <c r="CT18" s="539"/>
      <c r="CU18" s="539"/>
      <c r="CV18" s="539"/>
      <c r="CW18" s="539"/>
    </row>
    <row r="19" spans="2:101" s="422" customFormat="1" x14ac:dyDescent="0.2">
      <c r="D19" s="402">
        <f>SUM(D8:D18)</f>
        <v>12475.177847966957</v>
      </c>
      <c r="E19" s="401">
        <f>SUM(E8:E18)</f>
        <v>3081.095974107342</v>
      </c>
      <c r="K19" s="401">
        <f>SUM(K8:K18)</f>
        <v>2045.3068462088922</v>
      </c>
      <c r="L19" s="401">
        <f>SUM(L8:L18)</f>
        <v>2831.7750778931222</v>
      </c>
      <c r="O19" s="424"/>
      <c r="P19" s="424"/>
      <c r="Q19" s="424"/>
      <c r="R19" s="424"/>
      <c r="S19" s="424"/>
      <c r="T19" s="424"/>
      <c r="U19" s="424"/>
      <c r="V19" s="424"/>
      <c r="W19" s="424"/>
      <c r="X19" s="424"/>
      <c r="Y19" s="402">
        <f>SUM(Y8:Y18)</f>
        <v>1211.6833724165188</v>
      </c>
      <c r="Z19" s="401">
        <f>SUM(Z8:Z18)</f>
        <v>305.27136437310958</v>
      </c>
      <c r="AF19" s="401">
        <f>SUM(AF8:AF18)</f>
        <v>187.60158814232571</v>
      </c>
      <c r="AG19" s="401">
        <f>SUM(AG8:AG18)</f>
        <v>259.73877849150392</v>
      </c>
      <c r="AI19" s="424"/>
      <c r="AJ19" s="424"/>
      <c r="AK19" s="424"/>
      <c r="AL19" s="424"/>
      <c r="AM19" s="424"/>
      <c r="AN19" s="424"/>
      <c r="AO19" s="424"/>
      <c r="AP19" s="424"/>
      <c r="AQ19" s="424"/>
      <c r="AR19" s="424"/>
      <c r="AS19" s="424"/>
      <c r="AT19" s="664">
        <f>SUM(AT8:AT18)</f>
        <v>180.18414851900397</v>
      </c>
      <c r="AU19" s="401">
        <f>SUM(AU8:AU18)</f>
        <v>48.635082440057985</v>
      </c>
      <c r="BA19" s="401">
        <f>SUM(BA8:BA18)</f>
        <v>32.546015994954672</v>
      </c>
      <c r="BB19" s="401">
        <f>SUM(BB8:BB18)</f>
        <v>45.060718957673082</v>
      </c>
      <c r="BC19" s="424"/>
      <c r="BD19" s="3"/>
      <c r="BE19" s="3"/>
      <c r="BF19" s="3"/>
      <c r="BG19" s="3"/>
      <c r="BH19" s="3"/>
      <c r="BI19" s="3"/>
      <c r="BJ19" s="3"/>
      <c r="BK19" s="3"/>
      <c r="BL19" s="3"/>
      <c r="BM19" s="3"/>
      <c r="BN19" s="3"/>
      <c r="BO19" s="664">
        <f>SUM(BO8:BO18)</f>
        <v>3435.0024209205094</v>
      </c>
      <c r="BP19" s="672">
        <f>SUM(BP8:BP18)</f>
        <v>2265.4544503461725</v>
      </c>
      <c r="BQ19" s="3"/>
      <c r="BR19" s="427" t="s">
        <v>141</v>
      </c>
      <c r="BS19" s="437" t="s">
        <v>109</v>
      </c>
      <c r="BT19" s="438">
        <f>'[1]Std Connxn Assets - East'!$D$31-BT18-BT17</f>
        <v>6959.4190000000026</v>
      </c>
      <c r="BU19" s="438">
        <f>BW19/BX19</f>
        <v>2267278.8096239576</v>
      </c>
      <c r="BV19" s="438">
        <f>BW19/BX19</f>
        <v>2267278.8096239576</v>
      </c>
      <c r="BW19" s="438">
        <f>'[1]Std Connxn Assets - East'!$G$31*1000-BW18-BW17</f>
        <v>1972532.5643728431</v>
      </c>
      <c r="BX19" s="545">
        <v>0.87</v>
      </c>
      <c r="BY19" s="438">
        <f>'[1]Std Connxn Assets - West'!$D$31-BY18-BY17</f>
        <v>755.32600000000025</v>
      </c>
      <c r="BZ19" s="438">
        <f>CB19/CC19</f>
        <v>251392.84234590307</v>
      </c>
      <c r="CA19" s="438">
        <f>CB19/CC19</f>
        <v>251392.84234590307</v>
      </c>
      <c r="CB19" s="438">
        <f>'[1]Std Connxn Assets - West'!$G$31*1000-CB18-CB17</f>
        <v>218711.77284093568</v>
      </c>
      <c r="CC19" s="545">
        <v>0.87</v>
      </c>
      <c r="CD19" s="438">
        <f>'[1]Std Connxn Assets - Mt Isa'!$D$31-CD18-CD17</f>
        <v>167.48414851900398</v>
      </c>
      <c r="CE19" s="438">
        <f>CG19/CH19</f>
        <v>52027.034909722584</v>
      </c>
      <c r="CF19" s="438">
        <f>CG19/CH19</f>
        <v>52027.034909722584</v>
      </c>
      <c r="CG19" s="438">
        <f>'[1]Std Connxn Assets - Mt Isa'!$G$31*1000-CG18-CG17</f>
        <v>45263.520371458646</v>
      </c>
      <c r="CH19" s="545">
        <v>0.87</v>
      </c>
      <c r="CI19" s="427" t="s">
        <v>115</v>
      </c>
      <c r="CJ19" s="430">
        <f t="shared" si="12"/>
        <v>2236507.8575852374</v>
      </c>
      <c r="CK19" s="539">
        <f t="shared" si="15"/>
        <v>0.40275848322782204</v>
      </c>
      <c r="CL19" s="539">
        <f>BY19/(BZ19*CC19*8760)*1000000</f>
        <v>0.39423771342411218</v>
      </c>
      <c r="CM19" s="539">
        <f t="shared" si="22"/>
        <v>0.42239743792601187</v>
      </c>
      <c r="CN19" s="3"/>
      <c r="CO19" s="3"/>
      <c r="CP19" s="3"/>
      <c r="CQ19" s="539"/>
      <c r="CR19" s="539"/>
      <c r="CT19" s="539"/>
      <c r="CU19" s="539"/>
      <c r="CV19" s="539"/>
      <c r="CW19" s="539"/>
    </row>
    <row r="20" spans="2:101" s="422" customFormat="1" x14ac:dyDescent="0.2">
      <c r="D20" s="425"/>
      <c r="E20" s="424"/>
      <c r="I20" s="424"/>
      <c r="J20" s="173">
        <f>SUM(J8:J18)</f>
        <v>267.38219437444678</v>
      </c>
      <c r="K20" s="568">
        <f>K21-K19</f>
        <v>267.38219437444604</v>
      </c>
      <c r="O20" s="424"/>
      <c r="P20" s="424"/>
      <c r="Q20" s="424"/>
      <c r="R20" s="424"/>
      <c r="S20" s="424"/>
      <c r="T20" s="424"/>
      <c r="U20" s="424"/>
      <c r="V20" s="424"/>
      <c r="W20" s="424"/>
      <c r="X20" s="424"/>
      <c r="Y20" s="425"/>
      <c r="Z20" s="424"/>
      <c r="AA20" s="424"/>
      <c r="AB20" s="424"/>
      <c r="AC20" s="424"/>
      <c r="AD20" s="3"/>
      <c r="AE20" s="173">
        <f>SUM(AE8:AE18)</f>
        <v>41.536921246092774</v>
      </c>
      <c r="AF20" s="568">
        <f>AF21-AF19</f>
        <v>41.53692124609276</v>
      </c>
      <c r="AH20" s="424"/>
      <c r="AI20" s="424"/>
      <c r="AJ20" s="424"/>
      <c r="AK20" s="424"/>
      <c r="AL20" s="424"/>
      <c r="AM20" s="424"/>
      <c r="AN20" s="424"/>
      <c r="AO20" s="424"/>
      <c r="AP20" s="424"/>
      <c r="AQ20" s="424"/>
      <c r="AR20" s="424"/>
      <c r="AS20" s="424"/>
      <c r="AT20" s="425"/>
      <c r="AW20" s="424"/>
      <c r="AY20" s="3"/>
      <c r="AZ20" s="173">
        <f>SUM(AZ8:AZ18)</f>
        <v>3.9597673666221946</v>
      </c>
      <c r="BA20" s="568">
        <f>BA21-BA19</f>
        <v>3.959767366622188</v>
      </c>
      <c r="BC20" s="424"/>
      <c r="BD20" s="3"/>
      <c r="BE20" s="3"/>
      <c r="BF20" s="3"/>
      <c r="BG20" s="3"/>
      <c r="BH20" s="3"/>
      <c r="BI20" s="3"/>
      <c r="BJ20" s="3"/>
      <c r="BK20" s="3"/>
      <c r="BL20" s="3"/>
      <c r="BM20" s="3"/>
      <c r="BN20" s="3"/>
      <c r="BP20" s="426"/>
      <c r="BQ20" s="3"/>
      <c r="BR20" s="427"/>
      <c r="BS20" s="427"/>
      <c r="BT20" s="439">
        <f>SUM(BT8:BT19)</f>
        <v>12475.177847966956</v>
      </c>
      <c r="BU20" s="439"/>
      <c r="BV20" s="439">
        <f>SUM(BV8:BV19)</f>
        <v>3502117.6216434687</v>
      </c>
      <c r="BW20" s="439">
        <f>SUM(BW8:BW19)</f>
        <v>3081095.9741073423</v>
      </c>
      <c r="BX20" s="427"/>
      <c r="BY20" s="439">
        <f>SUM(BY8:BY19)</f>
        <v>1211.6833724165188</v>
      </c>
      <c r="BZ20" s="439"/>
      <c r="CA20" s="439">
        <f>SUM(CA8:CA19)</f>
        <v>347222.81092514633</v>
      </c>
      <c r="CB20" s="439">
        <f>SUM(CB8:CB19)</f>
        <v>305271.36437310954</v>
      </c>
      <c r="CC20" s="427"/>
      <c r="CD20" s="439">
        <f>SUM(CD8:CD19)</f>
        <v>180.18414851900397</v>
      </c>
      <c r="CE20" s="439"/>
      <c r="CF20" s="439">
        <f>SUM(CF8:CF19)</f>
        <v>55902.393609262057</v>
      </c>
      <c r="CG20" s="439">
        <f>SUM(CG8:CG19)</f>
        <v>48635.082440057988</v>
      </c>
      <c r="CH20" s="427"/>
      <c r="CI20" s="427"/>
      <c r="CJ20" s="430">
        <f>SUM(CJ8:CJ19)</f>
        <v>3435002.4209205098</v>
      </c>
      <c r="CK20" s="431"/>
      <c r="CN20" s="3"/>
      <c r="CO20" s="3"/>
      <c r="CP20" s="3"/>
      <c r="CQ20" s="539"/>
      <c r="CR20" s="539"/>
      <c r="CT20" s="539"/>
      <c r="CU20" s="539"/>
      <c r="CV20" s="539"/>
      <c r="CW20" s="539"/>
    </row>
    <row r="21" spans="2:101" s="422" customFormat="1" x14ac:dyDescent="0.2">
      <c r="D21" s="425"/>
      <c r="E21" s="424"/>
      <c r="I21" s="424"/>
      <c r="J21" s="3"/>
      <c r="K21" s="220">
        <f>$CA$63*E19/SUM($E19,$Z19,$AU19)</f>
        <v>2312.6890405833383</v>
      </c>
      <c r="O21" s="424"/>
      <c r="P21" s="424"/>
      <c r="Q21" s="424"/>
      <c r="R21" s="424"/>
      <c r="S21" s="424"/>
      <c r="T21" s="424"/>
      <c r="U21" s="424"/>
      <c r="V21" s="424"/>
      <c r="W21" s="424"/>
      <c r="X21" s="424"/>
      <c r="Y21" s="425"/>
      <c r="Z21" s="424"/>
      <c r="AA21" s="424"/>
      <c r="AB21" s="424"/>
      <c r="AC21" s="424"/>
      <c r="AD21" s="3"/>
      <c r="AE21" s="220"/>
      <c r="AF21" s="220">
        <f>$CA$63*Z19/SUM($E19,$Z19,$AU19)</f>
        <v>229.13850938841847</v>
      </c>
      <c r="AH21" s="424"/>
      <c r="AI21" s="424"/>
      <c r="AJ21" s="424"/>
      <c r="AK21" s="424"/>
      <c r="AL21" s="424"/>
      <c r="AM21" s="424"/>
      <c r="AN21" s="424"/>
      <c r="AO21" s="424"/>
      <c r="AP21" s="424"/>
      <c r="AQ21" s="424"/>
      <c r="AR21" s="424"/>
      <c r="AS21" s="424"/>
      <c r="AT21" s="425"/>
      <c r="AU21" s="424"/>
      <c r="AV21" s="424"/>
      <c r="AW21" s="424"/>
      <c r="AX21" s="424"/>
      <c r="AY21" s="3"/>
      <c r="AZ21" s="220"/>
      <c r="BA21" s="220">
        <f>$CA$63*AU19/SUM($E19,$Z19,$AU19)</f>
        <v>36.50578336157686</v>
      </c>
      <c r="BC21" s="424"/>
      <c r="BD21" s="3"/>
      <c r="BE21" s="3"/>
      <c r="BF21" s="3"/>
      <c r="BG21" s="3"/>
      <c r="BH21" s="3"/>
      <c r="BI21" s="3"/>
      <c r="BJ21" s="3"/>
      <c r="BK21" s="3"/>
      <c r="BL21" s="3"/>
      <c r="BM21" s="3"/>
      <c r="BN21" s="3"/>
      <c r="BP21" s="426"/>
      <c r="BQ21" s="3"/>
      <c r="BR21" s="427"/>
      <c r="BS21" s="427"/>
      <c r="BT21" s="439"/>
      <c r="BU21" s="439"/>
      <c r="BV21" s="439"/>
      <c r="BW21" s="439"/>
      <c r="BX21" s="427"/>
      <c r="BY21" s="439"/>
      <c r="BZ21" s="439"/>
      <c r="CA21" s="439"/>
      <c r="CB21" s="439"/>
      <c r="CC21" s="427"/>
      <c r="CD21" s="439"/>
      <c r="CE21" s="439"/>
      <c r="CF21" s="439"/>
      <c r="CG21" s="439"/>
      <c r="CH21" s="427"/>
      <c r="CI21" s="427"/>
      <c r="CJ21" s="431"/>
      <c r="CK21" s="431"/>
      <c r="CN21" s="3"/>
      <c r="CO21" s="3"/>
      <c r="CP21" s="3"/>
    </row>
    <row r="22" spans="2:101" s="422" customFormat="1" x14ac:dyDescent="0.2">
      <c r="C22" s="681" t="s">
        <v>44</v>
      </c>
      <c r="D22" s="682" t="str">
        <f>IF(SUM(K22,AF22,BA22)^2&gt;0.1,"Error","OK")</f>
        <v>OK</v>
      </c>
      <c r="E22" s="424"/>
      <c r="G22" s="569" t="s">
        <v>289</v>
      </c>
      <c r="I22" s="424"/>
      <c r="K22" s="570">
        <f>K20-J20</f>
        <v>-7.3896444519050419E-13</v>
      </c>
      <c r="O22" s="424"/>
      <c r="P22" s="424"/>
      <c r="Q22" s="424"/>
      <c r="R22" s="424"/>
      <c r="S22" s="424"/>
      <c r="T22" s="424"/>
      <c r="U22" s="424"/>
      <c r="V22" s="424"/>
      <c r="W22" s="424"/>
      <c r="X22" s="424"/>
      <c r="Y22" s="425"/>
      <c r="Z22" s="424"/>
      <c r="AA22" s="424"/>
      <c r="AB22" s="569" t="s">
        <v>289</v>
      </c>
      <c r="AF22" s="570">
        <f>AF20-AE20</f>
        <v>0</v>
      </c>
      <c r="AH22" s="424"/>
      <c r="AI22" s="424"/>
      <c r="AJ22" s="424"/>
      <c r="AK22" s="424"/>
      <c r="AL22" s="424"/>
      <c r="AM22" s="424"/>
      <c r="AN22" s="424"/>
      <c r="AO22" s="424"/>
      <c r="AP22" s="424"/>
      <c r="AQ22" s="424"/>
      <c r="AR22" s="424"/>
      <c r="AS22" s="424"/>
      <c r="AT22" s="425"/>
      <c r="AU22" s="424"/>
      <c r="AV22" s="424"/>
      <c r="AW22" s="569" t="s">
        <v>289</v>
      </c>
      <c r="BA22" s="570">
        <f>BA20-AZ20</f>
        <v>-6.6613381477509392E-15</v>
      </c>
      <c r="BC22" s="424"/>
      <c r="BD22" s="3"/>
      <c r="BE22" s="3"/>
      <c r="BF22" s="3"/>
      <c r="BG22" s="3"/>
      <c r="BH22" s="3"/>
      <c r="BI22" s="3"/>
      <c r="BJ22" s="3"/>
      <c r="BK22" s="3"/>
      <c r="BL22" s="3"/>
      <c r="BM22" s="3"/>
      <c r="BN22" s="3"/>
      <c r="BP22" s="426"/>
      <c r="BQ22" s="3"/>
      <c r="BR22" s="427"/>
      <c r="BS22" s="427" t="s">
        <v>113</v>
      </c>
      <c r="BT22" s="439">
        <f>SUMIF($CI$8:$CI$19,$BS22,BT$8:BT$19)</f>
        <v>3625.0787930604597</v>
      </c>
      <c r="BU22" s="439"/>
      <c r="BV22" s="439">
        <f t="shared" ref="BV22:BW24" si="23">SUMIF($CI$8:$CI$19,$BS22,BV$8:BV$19)</f>
        <v>714910</v>
      </c>
      <c r="BW22" s="439">
        <f t="shared" si="23"/>
        <v>645460.5</v>
      </c>
      <c r="BX22" s="427"/>
      <c r="BY22" s="439">
        <f>SUMIF($CI$8:$CI$19,$BS22,BY$8:BY$19)</f>
        <v>379.89883426882153</v>
      </c>
      <c r="BZ22" s="439"/>
      <c r="CA22" s="439">
        <f t="shared" ref="CA22:CB24" si="24">SUMIF($CI$8:$CI$19,$BS22,CA$8:CA$19)</f>
        <v>72350</v>
      </c>
      <c r="CB22" s="439">
        <f t="shared" si="24"/>
        <v>65803</v>
      </c>
      <c r="CC22" s="427"/>
      <c r="CD22" s="439">
        <f>SUMIF($CI$8:$CI$19,$BS22,CD$8:CD$19)</f>
        <v>0</v>
      </c>
      <c r="CE22" s="439"/>
      <c r="CF22" s="439">
        <f t="shared" ref="CF22:CG24" si="25">SUMIF($CI$8:$CI$19,$BS22,CF$8:CF$19)</f>
        <v>0</v>
      </c>
      <c r="CG22" s="439">
        <f t="shared" si="25"/>
        <v>0</v>
      </c>
      <c r="CH22" s="427"/>
      <c r="CI22" s="427"/>
      <c r="CJ22" s="431"/>
      <c r="CK22" s="431"/>
      <c r="CN22" s="3"/>
      <c r="CO22" s="3"/>
      <c r="CP22" s="3"/>
    </row>
    <row r="23" spans="2:101" s="422" customFormat="1" x14ac:dyDescent="0.2">
      <c r="D23" s="425"/>
      <c r="E23" s="424"/>
      <c r="G23" s="569" t="s">
        <v>293</v>
      </c>
      <c r="I23" s="424"/>
      <c r="K23" s="571">
        <v>0.70663717955988614</v>
      </c>
      <c r="O23" s="424"/>
      <c r="P23" s="424"/>
      <c r="Q23" s="424"/>
      <c r="R23" s="424"/>
      <c r="S23" s="424"/>
      <c r="T23" s="424"/>
      <c r="U23" s="424"/>
      <c r="V23" s="424"/>
      <c r="W23" s="424"/>
      <c r="X23" s="424"/>
      <c r="Y23" s="425"/>
      <c r="Z23" s="424"/>
      <c r="AA23" s="424"/>
      <c r="AB23" s="569" t="s">
        <v>293</v>
      </c>
      <c r="AF23" s="571">
        <v>0.58807498908843314</v>
      </c>
      <c r="AH23" s="424"/>
      <c r="AI23" s="424"/>
      <c r="AJ23" s="424"/>
      <c r="AK23" s="424"/>
      <c r="AL23" s="424"/>
      <c r="AM23" s="424"/>
      <c r="AN23" s="424"/>
      <c r="AO23" s="424"/>
      <c r="AP23" s="424"/>
      <c r="AQ23" s="424"/>
      <c r="AR23" s="424"/>
      <c r="AS23" s="424"/>
      <c r="AT23" s="425"/>
      <c r="AU23" s="424"/>
      <c r="AV23" s="424"/>
      <c r="AW23" s="569" t="s">
        <v>293</v>
      </c>
      <c r="BA23" s="571">
        <v>0.6691880503146499</v>
      </c>
      <c r="BC23" s="424"/>
      <c r="BD23" s="3"/>
      <c r="BE23" s="3"/>
      <c r="BF23" s="3"/>
      <c r="BG23" s="3"/>
      <c r="BH23" s="3"/>
      <c r="BI23" s="3"/>
      <c r="BJ23" s="3"/>
      <c r="BK23" s="3"/>
      <c r="BL23" s="3"/>
      <c r="BM23" s="3"/>
      <c r="BN23" s="3"/>
      <c r="BP23" s="426"/>
      <c r="BQ23" s="3"/>
      <c r="BR23" s="427"/>
      <c r="BS23" s="427" t="s">
        <v>114</v>
      </c>
      <c r="BT23" s="439">
        <f>SUMIF($CI$8:$CI$19,$BS23,BT$8:BT$19)</f>
        <v>1305.6400549064952</v>
      </c>
      <c r="BU23" s="439"/>
      <c r="BV23" s="439">
        <f t="shared" si="23"/>
        <v>318470</v>
      </c>
      <c r="BW23" s="439">
        <f t="shared" si="23"/>
        <v>286623</v>
      </c>
      <c r="BX23" s="427"/>
      <c r="BY23" s="439">
        <f>SUMIF($CI$8:$CI$19,$BS23,BY$8:BY$19)</f>
        <v>34.898538147697025</v>
      </c>
      <c r="BZ23" s="439"/>
      <c r="CA23" s="439">
        <f t="shared" si="24"/>
        <v>8220</v>
      </c>
      <c r="CB23" s="439">
        <f t="shared" si="24"/>
        <v>7400.5</v>
      </c>
      <c r="CC23" s="427"/>
      <c r="CD23" s="439">
        <f>SUMIF($CI$8:$CI$19,$BS23,CD$8:CD$19)</f>
        <v>0</v>
      </c>
      <c r="CE23" s="439"/>
      <c r="CF23" s="439">
        <f t="shared" si="25"/>
        <v>0</v>
      </c>
      <c r="CG23" s="439">
        <f t="shared" si="25"/>
        <v>0</v>
      </c>
      <c r="CH23" s="427"/>
      <c r="CI23" s="427"/>
      <c r="CJ23" s="431"/>
      <c r="CK23" s="431"/>
      <c r="CN23" s="3"/>
      <c r="CO23" s="3"/>
      <c r="CP23" s="3"/>
    </row>
    <row r="24" spans="2:101" s="422" customFormat="1" x14ac:dyDescent="0.2">
      <c r="C24" s="928" t="s">
        <v>477</v>
      </c>
      <c r="D24" s="693">
        <v>2481</v>
      </c>
      <c r="E24" s="695" t="s">
        <v>297</v>
      </c>
      <c r="F24" s="424"/>
      <c r="I24" s="424"/>
      <c r="J24" s="424"/>
      <c r="K24" s="424"/>
      <c r="L24" s="424"/>
      <c r="M24" s="424"/>
      <c r="N24" s="424"/>
      <c r="O24" s="424"/>
      <c r="P24" s="424"/>
      <c r="Q24" s="424"/>
      <c r="R24" s="424"/>
      <c r="S24" s="424"/>
      <c r="T24" s="424"/>
      <c r="U24" s="424"/>
      <c r="V24" s="424"/>
      <c r="W24" s="424"/>
      <c r="X24" s="424"/>
      <c r="Y24" s="425"/>
      <c r="Z24" s="424"/>
      <c r="AA24" s="424"/>
      <c r="AB24" s="424"/>
      <c r="AC24" s="424"/>
      <c r="AD24" s="424"/>
      <c r="AE24" s="424"/>
      <c r="AF24" s="424"/>
      <c r="AG24" s="424"/>
      <c r="AH24" s="424"/>
      <c r="AI24" s="424"/>
      <c r="AJ24" s="424"/>
      <c r="AK24" s="424"/>
      <c r="AL24" s="424"/>
      <c r="AM24" s="424"/>
      <c r="AN24" s="424"/>
      <c r="AO24" s="424"/>
      <c r="AP24" s="424"/>
      <c r="AQ24" s="424"/>
      <c r="AR24" s="424"/>
      <c r="AS24" s="424"/>
      <c r="AT24" s="425"/>
      <c r="AU24" s="424"/>
      <c r="AV24" s="424"/>
      <c r="AW24" s="424"/>
      <c r="AX24" s="424"/>
      <c r="AY24" s="424"/>
      <c r="AZ24" s="424"/>
      <c r="BA24" s="424"/>
      <c r="BB24" s="424"/>
      <c r="BC24" s="424"/>
      <c r="BD24" s="3"/>
      <c r="BE24" s="3"/>
      <c r="BF24" s="3"/>
      <c r="BG24" s="3"/>
      <c r="BH24" s="3"/>
      <c r="BI24" s="3"/>
      <c r="BJ24" s="3"/>
      <c r="BK24" s="3"/>
      <c r="BL24" s="3"/>
      <c r="BM24" s="3"/>
      <c r="BN24" s="3"/>
      <c r="BP24" s="426"/>
      <c r="BQ24" s="3"/>
      <c r="BR24" s="427"/>
      <c r="BS24" s="427" t="s">
        <v>115</v>
      </c>
      <c r="BT24" s="439">
        <f>SUMIF($CI$8:$CI$19,$BS24,BT$8:BT$19)</f>
        <v>7544.4590000000026</v>
      </c>
      <c r="BU24" s="439"/>
      <c r="BV24" s="439">
        <f t="shared" si="23"/>
        <v>2468737.6216434692</v>
      </c>
      <c r="BW24" s="439">
        <f t="shared" si="23"/>
        <v>2149012.4741073423</v>
      </c>
      <c r="BX24" s="427"/>
      <c r="BY24" s="439">
        <f>SUMIF($CI$8:$CI$19,$BS24,BY$8:BY$19)</f>
        <v>796.88600000000019</v>
      </c>
      <c r="BZ24" s="439"/>
      <c r="CA24" s="439">
        <f t="shared" si="24"/>
        <v>266652.81092514633</v>
      </c>
      <c r="CB24" s="439">
        <f t="shared" si="24"/>
        <v>232067.86437310957</v>
      </c>
      <c r="CC24" s="427"/>
      <c r="CD24" s="439">
        <f>SUMIF($CI$8:$CI$19,$BS24,CD$8:CD$19)</f>
        <v>180.18414851900397</v>
      </c>
      <c r="CE24" s="439"/>
      <c r="CF24" s="439">
        <f t="shared" si="25"/>
        <v>55902.393609262057</v>
      </c>
      <c r="CG24" s="439">
        <f t="shared" si="25"/>
        <v>48635.082440057988</v>
      </c>
      <c r="CH24" s="427"/>
      <c r="CI24" s="427"/>
      <c r="CJ24" s="431"/>
      <c r="CK24" s="431"/>
      <c r="CN24" s="3"/>
      <c r="CO24" s="3"/>
      <c r="CP24" s="3"/>
    </row>
    <row r="25" spans="2:101" s="422" customFormat="1" x14ac:dyDescent="0.2">
      <c r="C25" s="692" t="s">
        <v>298</v>
      </c>
      <c r="D25" s="696">
        <f>BO19/D24</f>
        <v>1.3845233457962554</v>
      </c>
      <c r="I25" s="424"/>
      <c r="J25" s="424"/>
      <c r="K25" s="424"/>
      <c r="L25" s="424"/>
      <c r="M25" s="424"/>
      <c r="N25" s="424"/>
      <c r="O25" s="424"/>
      <c r="P25" s="424"/>
      <c r="Q25" s="424"/>
      <c r="R25" s="424"/>
      <c r="S25" s="424"/>
      <c r="T25" s="424"/>
      <c r="U25" s="424"/>
      <c r="V25" s="424"/>
      <c r="W25" s="424"/>
      <c r="X25" s="424"/>
      <c r="Y25" s="425"/>
      <c r="Z25" s="424"/>
      <c r="AA25" s="424"/>
      <c r="AC25" s="424"/>
      <c r="AD25" s="424"/>
      <c r="AE25" s="424"/>
      <c r="AF25" s="895"/>
      <c r="AG25" s="424"/>
      <c r="AH25" s="424"/>
      <c r="AI25" s="424"/>
      <c r="AJ25" s="424"/>
      <c r="AK25" s="424"/>
      <c r="AL25" s="424"/>
      <c r="AM25" s="424"/>
      <c r="AN25" s="424"/>
      <c r="AO25" s="424"/>
      <c r="AP25" s="424"/>
      <c r="AQ25" s="424"/>
      <c r="AR25" s="424"/>
      <c r="AS25" s="424"/>
      <c r="AT25" s="425"/>
      <c r="BC25" s="424"/>
      <c r="BD25" s="3"/>
      <c r="BE25" s="3"/>
      <c r="BF25" s="3"/>
      <c r="BG25" s="3"/>
      <c r="BH25" s="3"/>
      <c r="BI25" s="3"/>
      <c r="BJ25" s="3"/>
      <c r="BK25" s="3"/>
      <c r="BL25" s="3"/>
      <c r="BM25" s="3"/>
      <c r="BN25" s="3"/>
      <c r="BP25" s="426"/>
      <c r="BQ25" s="3"/>
      <c r="BR25" s="427"/>
      <c r="BS25" s="427"/>
      <c r="BT25" s="439">
        <f>SUM(BT22:BT24)</f>
        <v>12475.177847966957</v>
      </c>
      <c r="BU25" s="439"/>
      <c r="BV25" s="439">
        <f>SUM(BV22:BV24)</f>
        <v>3502117.6216434692</v>
      </c>
      <c r="BW25" s="439">
        <f>SUM(BW22:BW24)</f>
        <v>3081095.9741073423</v>
      </c>
      <c r="BX25" s="427"/>
      <c r="BY25" s="439">
        <f>SUM(BY22:BY24)</f>
        <v>1211.6833724165188</v>
      </c>
      <c r="BZ25" s="439"/>
      <c r="CA25" s="439">
        <f>SUM(CA22:CA24)</f>
        <v>347222.81092514633</v>
      </c>
      <c r="CB25" s="439">
        <f>SUM(CB22:CB24)</f>
        <v>305271.36437310954</v>
      </c>
      <c r="CC25" s="427"/>
      <c r="CD25" s="439">
        <f>SUM(CD22:CD24)</f>
        <v>180.18414851900397</v>
      </c>
      <c r="CE25" s="439"/>
      <c r="CF25" s="439">
        <f>SUM(CF22:CF24)</f>
        <v>55902.393609262057</v>
      </c>
      <c r="CG25" s="439">
        <f>SUM(CG22:CG24)</f>
        <v>48635.082440057988</v>
      </c>
      <c r="CH25" s="427"/>
      <c r="CI25" s="427"/>
      <c r="CJ25" s="431"/>
      <c r="CK25" s="431"/>
      <c r="CN25" s="3"/>
      <c r="CO25" s="3"/>
      <c r="CP25" s="3"/>
    </row>
    <row r="26" spans="2:101" s="422" customFormat="1" x14ac:dyDescent="0.2">
      <c r="C26" s="928" t="s">
        <v>478</v>
      </c>
      <c r="D26" s="929">
        <f>CA63</f>
        <v>2578.3333333333335</v>
      </c>
      <c r="E26" s="695" t="s">
        <v>299</v>
      </c>
      <c r="F26" s="424"/>
      <c r="G26" s="424"/>
      <c r="H26" s="424"/>
      <c r="I26" s="424"/>
      <c r="J26" s="424"/>
      <c r="K26" s="424"/>
      <c r="L26" s="424"/>
      <c r="M26" s="424"/>
      <c r="N26" s="424"/>
      <c r="O26" s="424"/>
      <c r="P26" s="424"/>
      <c r="Q26" s="424"/>
      <c r="R26" s="424"/>
      <c r="S26" s="424"/>
      <c r="T26" s="424"/>
      <c r="U26" s="424"/>
      <c r="V26" s="424"/>
      <c r="W26" s="424"/>
      <c r="X26" s="424"/>
      <c r="Y26" s="425"/>
      <c r="Z26" s="424"/>
      <c r="AA26" s="424"/>
      <c r="AB26" s="424"/>
      <c r="AC26" s="424"/>
      <c r="AD26" s="424"/>
      <c r="AE26" s="424"/>
      <c r="AF26" s="424"/>
      <c r="AG26" s="424"/>
      <c r="AH26" s="424"/>
      <c r="AI26" s="424"/>
      <c r="AJ26" s="424"/>
      <c r="AK26" s="424"/>
      <c r="AL26" s="424"/>
      <c r="AM26" s="424"/>
      <c r="AN26" s="424"/>
      <c r="AO26" s="424"/>
      <c r="AP26" s="424"/>
      <c r="AQ26" s="424"/>
      <c r="AR26" s="424"/>
      <c r="AS26" s="424"/>
      <c r="AT26" s="425"/>
      <c r="AU26" s="424"/>
      <c r="AV26" s="424"/>
      <c r="AW26" s="424"/>
      <c r="AY26" s="424"/>
      <c r="AZ26" s="424"/>
      <c r="BA26" s="424"/>
      <c r="BB26" s="424"/>
      <c r="BC26" s="424"/>
      <c r="BD26" s="3"/>
      <c r="BE26" s="3"/>
      <c r="BF26" s="3"/>
      <c r="BG26" s="3"/>
      <c r="BH26" s="3"/>
      <c r="BI26" s="3"/>
      <c r="BJ26" s="3"/>
      <c r="BK26" s="3"/>
      <c r="BL26" s="3"/>
      <c r="BM26" s="3"/>
      <c r="BN26" s="3"/>
      <c r="BP26" s="426"/>
      <c r="BQ26" s="3"/>
      <c r="BR26" s="427"/>
      <c r="BS26" s="427"/>
      <c r="BT26" s="440">
        <f>BT25/(BT25+BY25+CD25)</f>
        <v>0.89962767958797818</v>
      </c>
      <c r="BU26" s="440"/>
      <c r="BV26" s="440">
        <f>BV25/(BV25+CA25+CF25)</f>
        <v>0.89677333203657572</v>
      </c>
      <c r="BW26" s="427"/>
      <c r="BX26" s="427"/>
      <c r="BY26" s="440">
        <f>BY25/(BT25+BY25+CD25)</f>
        <v>8.7378626101114326E-2</v>
      </c>
      <c r="BZ26" s="440"/>
      <c r="CA26" s="440">
        <f>CA25/(BV25+CA25+CF25)</f>
        <v>8.8911964346396033E-2</v>
      </c>
      <c r="CB26" s="427"/>
      <c r="CC26" s="427"/>
      <c r="CD26" s="440">
        <f>CD25/(BT25+CA25+CD25)</f>
        <v>5.0068095838154978E-4</v>
      </c>
      <c r="CE26" s="440"/>
      <c r="CF26" s="440">
        <f>CF25/(BV25+CB25+CF25)</f>
        <v>1.4470146855626559E-2</v>
      </c>
      <c r="CG26" s="427"/>
      <c r="CH26" s="427"/>
      <c r="CI26" s="427"/>
      <c r="CJ26" s="431"/>
      <c r="CK26" s="431"/>
      <c r="CN26" s="3"/>
      <c r="CO26" s="3"/>
      <c r="CP26" s="3"/>
    </row>
    <row r="27" spans="2:101" s="422" customFormat="1" x14ac:dyDescent="0.2">
      <c r="D27" s="425"/>
      <c r="E27" s="694"/>
      <c r="F27" s="424"/>
      <c r="G27" s="424"/>
      <c r="H27" s="424"/>
      <c r="I27" s="424"/>
      <c r="J27" s="424"/>
      <c r="K27" s="424"/>
      <c r="L27" s="424"/>
      <c r="M27" s="424"/>
      <c r="N27" s="424"/>
      <c r="O27" s="424"/>
      <c r="P27" s="424"/>
      <c r="Q27" s="424"/>
      <c r="R27" s="424"/>
      <c r="S27" s="424"/>
      <c r="T27" s="424"/>
      <c r="U27" s="424"/>
      <c r="V27" s="424"/>
      <c r="W27" s="424"/>
      <c r="X27" s="424"/>
      <c r="Y27" s="425"/>
      <c r="Z27" s="424"/>
      <c r="AA27" s="424"/>
      <c r="AB27" s="424"/>
      <c r="AC27" s="424"/>
      <c r="AD27" s="424"/>
      <c r="AE27" s="424"/>
      <c r="AF27" s="424"/>
      <c r="AG27" s="424"/>
      <c r="AH27" s="424"/>
      <c r="AI27" s="424"/>
      <c r="AJ27" s="424"/>
      <c r="AK27" s="424"/>
      <c r="AL27" s="424"/>
      <c r="AM27" s="424"/>
      <c r="AN27" s="424"/>
      <c r="AO27" s="424"/>
      <c r="AP27" s="424"/>
      <c r="AQ27" s="424"/>
      <c r="AR27" s="424"/>
      <c r="AS27" s="424"/>
      <c r="AT27" s="425"/>
      <c r="AU27" s="424"/>
      <c r="AV27" s="424"/>
      <c r="AW27" s="3"/>
      <c r="AY27" s="424"/>
      <c r="AZ27" s="424"/>
      <c r="BA27" s="424"/>
      <c r="BB27" s="424"/>
      <c r="BC27" s="424"/>
      <c r="BD27" s="3"/>
      <c r="BE27" s="3"/>
      <c r="BF27" s="3"/>
      <c r="BG27" s="3"/>
      <c r="BH27" s="3"/>
      <c r="BI27" s="3"/>
      <c r="BJ27" s="3"/>
      <c r="BK27" s="3"/>
      <c r="BL27" s="3"/>
      <c r="BM27" s="3"/>
      <c r="BN27" s="3"/>
      <c r="BP27" s="426"/>
      <c r="BQ27" s="3"/>
      <c r="BR27" s="35" t="s">
        <v>116</v>
      </c>
      <c r="BS27" s="35"/>
      <c r="BT27" s="35"/>
      <c r="BU27" s="35"/>
      <c r="BV27" s="35"/>
      <c r="BW27" s="36">
        <v>2637000</v>
      </c>
      <c r="BX27" s="35"/>
      <c r="BY27" s="35" t="s">
        <v>172</v>
      </c>
      <c r="BZ27" s="35"/>
      <c r="CA27" s="35"/>
      <c r="CB27" s="35"/>
      <c r="CC27" s="35"/>
      <c r="CD27" s="35"/>
      <c r="CE27" s="35"/>
      <c r="CF27" s="35"/>
      <c r="CG27" s="35"/>
      <c r="CH27" s="35"/>
      <c r="CI27" s="35"/>
      <c r="CJ27" s="431"/>
      <c r="CK27" s="431"/>
      <c r="CN27" s="3"/>
      <c r="CO27" s="3"/>
      <c r="CP27" s="3"/>
    </row>
    <row r="28" spans="2:101" s="422" customFormat="1" x14ac:dyDescent="0.2">
      <c r="D28" s="425"/>
      <c r="E28" s="424"/>
      <c r="F28" s="424"/>
      <c r="G28" s="424"/>
      <c r="H28" s="424"/>
      <c r="I28" s="424"/>
      <c r="J28" s="424"/>
      <c r="K28" s="424"/>
      <c r="L28" s="424"/>
      <c r="M28" s="424"/>
      <c r="N28" s="424"/>
      <c r="O28" s="424"/>
      <c r="P28" s="424"/>
      <c r="Q28" s="424"/>
      <c r="R28" s="424"/>
      <c r="S28" s="424"/>
      <c r="T28" s="424"/>
      <c r="U28" s="424"/>
      <c r="V28" s="424"/>
      <c r="W28" s="424"/>
      <c r="X28" s="424"/>
      <c r="Y28" s="425"/>
      <c r="Z28" s="424"/>
      <c r="AA28" s="424"/>
      <c r="AB28" s="424"/>
      <c r="AC28" s="424"/>
      <c r="AD28" s="424"/>
      <c r="AE28" s="424"/>
      <c r="AF28" s="424"/>
      <c r="AG28" s="424"/>
      <c r="AH28" s="424"/>
      <c r="AI28" s="424"/>
      <c r="AJ28" s="424"/>
      <c r="AK28" s="424"/>
      <c r="AL28" s="424"/>
      <c r="AM28" s="424"/>
      <c r="AN28" s="424"/>
      <c r="AO28" s="424"/>
      <c r="AP28" s="424"/>
      <c r="AQ28" s="424"/>
      <c r="AR28" s="424"/>
      <c r="AS28" s="424"/>
      <c r="AT28" s="425"/>
      <c r="AU28" s="424"/>
      <c r="AV28" s="424"/>
      <c r="AW28" s="3"/>
      <c r="AY28" s="424"/>
      <c r="AZ28" s="424"/>
      <c r="BA28" s="424"/>
      <c r="BB28" s="424"/>
      <c r="BC28" s="424"/>
      <c r="BD28" s="3"/>
      <c r="BE28" s="3"/>
      <c r="BF28" s="3"/>
      <c r="BG28" s="3"/>
      <c r="BH28" s="3"/>
      <c r="BI28" s="3"/>
      <c r="BJ28" s="3"/>
      <c r="BK28" s="3"/>
      <c r="BL28" s="3"/>
      <c r="BM28" s="3"/>
      <c r="BN28" s="3"/>
      <c r="BP28" s="426"/>
      <c r="BQ28" s="3"/>
      <c r="BR28" s="427"/>
      <c r="CJ28" s="431"/>
      <c r="CK28" s="431"/>
      <c r="CN28" s="3"/>
      <c r="CO28" s="3"/>
    </row>
    <row r="29" spans="2:101" s="422" customFormat="1" ht="75" customHeight="1" x14ac:dyDescent="0.2">
      <c r="B29" s="3"/>
      <c r="C29" s="443" t="s">
        <v>37</v>
      </c>
      <c r="D29" s="561" t="s">
        <v>287</v>
      </c>
      <c r="E29" s="416" t="s">
        <v>355</v>
      </c>
      <c r="F29" s="416" t="s">
        <v>360</v>
      </c>
      <c r="G29" s="416" t="s">
        <v>361</v>
      </c>
      <c r="H29" s="416" t="s">
        <v>362</v>
      </c>
      <c r="I29" s="416" t="s">
        <v>357</v>
      </c>
      <c r="J29" s="416" t="s">
        <v>83</v>
      </c>
      <c r="K29" s="416" t="s">
        <v>84</v>
      </c>
      <c r="L29" s="416" t="s">
        <v>0</v>
      </c>
      <c r="Y29" s="561" t="s">
        <v>287</v>
      </c>
      <c r="Z29" s="416" t="s">
        <v>355</v>
      </c>
      <c r="AA29" s="416" t="s">
        <v>360</v>
      </c>
      <c r="AB29" s="416" t="s">
        <v>361</v>
      </c>
      <c r="AC29" s="416" t="s">
        <v>362</v>
      </c>
      <c r="AD29" s="416" t="s">
        <v>357</v>
      </c>
      <c r="AE29" s="416" t="s">
        <v>83</v>
      </c>
      <c r="AF29" s="416" t="s">
        <v>84</v>
      </c>
      <c r="AG29" s="416" t="s">
        <v>0</v>
      </c>
      <c r="AH29" s="424"/>
      <c r="AI29" s="424"/>
      <c r="AJ29" s="424"/>
      <c r="AK29" s="424"/>
      <c r="AL29" s="424"/>
      <c r="AM29" s="424"/>
      <c r="AN29" s="424"/>
      <c r="AO29" s="424"/>
      <c r="AP29" s="424"/>
      <c r="AQ29" s="424"/>
      <c r="AR29" s="424"/>
      <c r="AS29" s="424"/>
      <c r="AT29" s="561" t="s">
        <v>287</v>
      </c>
      <c r="AU29" s="416" t="s">
        <v>355</v>
      </c>
      <c r="AV29" s="416" t="s">
        <v>360</v>
      </c>
      <c r="AW29" s="416" t="s">
        <v>361</v>
      </c>
      <c r="AX29" s="416" t="s">
        <v>362</v>
      </c>
      <c r="AY29" s="416" t="s">
        <v>357</v>
      </c>
      <c r="AZ29" s="416" t="s">
        <v>83</v>
      </c>
      <c r="BA29" s="416" t="s">
        <v>84</v>
      </c>
      <c r="BB29" s="416" t="s">
        <v>0</v>
      </c>
      <c r="BC29" s="424"/>
      <c r="BD29" s="3"/>
      <c r="BE29" s="3"/>
      <c r="BF29" s="3"/>
      <c r="BG29" s="3"/>
      <c r="BH29" s="3"/>
      <c r="BI29" s="3"/>
      <c r="BJ29" s="3"/>
      <c r="BK29" s="3"/>
      <c r="BL29" s="3"/>
      <c r="BM29" s="3"/>
      <c r="BN29" s="3"/>
      <c r="BP29" s="444" t="s">
        <v>242</v>
      </c>
      <c r="BQ29" s="3"/>
      <c r="BR29" s="35"/>
      <c r="BS29" s="35"/>
      <c r="BT29" s="35"/>
      <c r="BU29" s="35"/>
      <c r="BV29" s="35"/>
      <c r="BW29" s="35"/>
      <c r="BX29" s="35"/>
      <c r="BY29" s="35"/>
      <c r="BZ29" s="35"/>
      <c r="CA29" s="35"/>
      <c r="CB29" s="35"/>
      <c r="CC29" s="35"/>
      <c r="CD29" s="35"/>
      <c r="CE29" s="35"/>
      <c r="CF29" s="35"/>
      <c r="CG29" s="35"/>
      <c r="CH29" s="35"/>
      <c r="CI29" s="35"/>
      <c r="CJ29" s="3"/>
      <c r="CK29" s="3"/>
      <c r="CL29" s="3"/>
      <c r="CM29" s="3"/>
      <c r="CN29" s="3"/>
      <c r="CO29" s="3"/>
    </row>
    <row r="30" spans="2:101" x14ac:dyDescent="0.2">
      <c r="C30" s="447" t="s">
        <v>353</v>
      </c>
      <c r="D30" s="400">
        <f t="shared" ref="D30:D40" si="26">K8</f>
        <v>20.510825333333333</v>
      </c>
      <c r="E30" s="398">
        <f t="shared" ref="E30:E40" si="27">D30</f>
        <v>20.510825333333333</v>
      </c>
      <c r="F30" s="572"/>
      <c r="G30" s="572"/>
      <c r="H30" s="572"/>
      <c r="I30" s="572"/>
      <c r="J30" s="572"/>
      <c r="K30" s="572"/>
      <c r="L30" s="572"/>
      <c r="Y30" s="400">
        <f>AF8</f>
        <v>13.140333333333333</v>
      </c>
      <c r="Z30" s="398">
        <f>Y30</f>
        <v>13.140333333333333</v>
      </c>
      <c r="AA30" s="572"/>
      <c r="AB30" s="572"/>
      <c r="AC30" s="572"/>
      <c r="AD30" s="572"/>
      <c r="AE30" s="572"/>
      <c r="AF30" s="572"/>
      <c r="AG30" s="572"/>
      <c r="AH30" s="424"/>
      <c r="AI30" s="424"/>
      <c r="AJ30" s="424"/>
      <c r="AK30" s="424"/>
      <c r="AL30" s="424"/>
      <c r="AM30" s="424"/>
      <c r="AN30" s="424"/>
      <c r="AO30" s="424"/>
      <c r="AP30" s="424"/>
      <c r="AQ30" s="424"/>
      <c r="AR30" s="424"/>
      <c r="AS30" s="424"/>
      <c r="AT30" s="458"/>
      <c r="AU30" s="454"/>
      <c r="AV30" s="597"/>
      <c r="AW30" s="597"/>
      <c r="AX30" s="597"/>
      <c r="AY30" s="597"/>
      <c r="AZ30" s="597"/>
      <c r="BA30" s="597"/>
      <c r="BB30" s="597"/>
      <c r="BC30" s="424"/>
      <c r="BP30" s="445">
        <f>SUM(D8,Y8,AT8)</f>
        <v>292.14975369458131</v>
      </c>
    </row>
    <row r="31" spans="2:101" x14ac:dyDescent="0.2">
      <c r="C31" s="448" t="s">
        <v>358</v>
      </c>
      <c r="D31" s="174">
        <f t="shared" si="26"/>
        <v>319.8898226666667</v>
      </c>
      <c r="E31" s="172">
        <f t="shared" si="27"/>
        <v>319.8898226666667</v>
      </c>
      <c r="F31" s="172">
        <f>D31</f>
        <v>319.8898226666667</v>
      </c>
      <c r="G31" s="736">
        <f>F31/2</f>
        <v>159.94491133333335</v>
      </c>
      <c r="H31" s="572"/>
      <c r="I31" s="572"/>
      <c r="J31" s="572"/>
      <c r="K31" s="572"/>
      <c r="L31" s="572"/>
      <c r="Y31" s="174">
        <f>AF9</f>
        <v>18.243507999999999</v>
      </c>
      <c r="Z31" s="172">
        <f>Y31</f>
        <v>18.243507999999999</v>
      </c>
      <c r="AA31" s="172">
        <f>Y31</f>
        <v>18.243507999999999</v>
      </c>
      <c r="AB31" s="736">
        <f>AA31/2</f>
        <v>9.1217539999999993</v>
      </c>
      <c r="AC31" s="572"/>
      <c r="AD31" s="572"/>
      <c r="AE31" s="572"/>
      <c r="AF31" s="572"/>
      <c r="AG31" s="572"/>
      <c r="AH31" s="424"/>
      <c r="AI31" s="424"/>
      <c r="AJ31" s="424"/>
      <c r="AK31" s="424"/>
      <c r="AL31" s="424"/>
      <c r="AM31" s="424"/>
      <c r="AN31" s="424"/>
      <c r="AO31" s="424"/>
      <c r="AP31" s="424"/>
      <c r="AQ31" s="424"/>
      <c r="AR31" s="424"/>
      <c r="AS31" s="424"/>
      <c r="AT31" s="459"/>
      <c r="AU31" s="456"/>
      <c r="AV31" s="456"/>
      <c r="AW31" s="456"/>
      <c r="AX31" s="597"/>
      <c r="AY31" s="597"/>
      <c r="AZ31" s="597"/>
      <c r="BA31" s="597"/>
      <c r="BB31" s="597"/>
      <c r="BC31" s="424"/>
      <c r="BP31" s="446">
        <f>SUM(D9,Y9,AT9)</f>
        <v>3334.9783330832843</v>
      </c>
      <c r="BR31" s="204"/>
      <c r="BS31" s="204"/>
      <c r="BT31" s="204"/>
      <c r="BU31" s="204"/>
      <c r="BV31" s="204"/>
      <c r="BW31" s="206"/>
      <c r="BX31" s="35"/>
      <c r="BY31" s="35"/>
      <c r="BZ31" s="35"/>
      <c r="CA31" s="35"/>
      <c r="CB31" s="35"/>
      <c r="CC31" s="35"/>
      <c r="CD31" s="35"/>
      <c r="CE31" s="35"/>
      <c r="CF31" s="35"/>
      <c r="CG31" s="35"/>
      <c r="CH31" s="35"/>
      <c r="CI31" s="35"/>
    </row>
    <row r="32" spans="2:101" x14ac:dyDescent="0.2">
      <c r="C32" s="448" t="s">
        <v>234</v>
      </c>
      <c r="D32" s="174">
        <f t="shared" si="26"/>
        <v>24.968584000000003</v>
      </c>
      <c r="E32" s="172">
        <f t="shared" si="27"/>
        <v>24.968584000000003</v>
      </c>
      <c r="F32" s="573">
        <f>(1-'Inputs - network configuration'!E63)*D32</f>
        <v>16.021066943255342</v>
      </c>
      <c r="G32" s="573">
        <f>(1-'Inputs - network configuration'!E63)*D32</f>
        <v>16.021066943255342</v>
      </c>
      <c r="H32" s="573">
        <f>(1-'Inputs - network configuration'!E63)*D32</f>
        <v>16.021066943255342</v>
      </c>
      <c r="I32" s="573">
        <f>('Inputs - network configuration'!E63)*D32</f>
        <v>8.9475170567446618</v>
      </c>
      <c r="J32" s="572"/>
      <c r="K32" s="572"/>
      <c r="L32" s="572"/>
      <c r="Y32" s="174">
        <f>AF10</f>
        <v>15.572506666666664</v>
      </c>
      <c r="Z32" s="172">
        <f>Y32</f>
        <v>15.572506666666664</v>
      </c>
      <c r="AA32" s="573">
        <f>(1-'Inputs - network configuration'!Z63)*Y32</f>
        <v>12.458005333333332</v>
      </c>
      <c r="AB32" s="573">
        <f>(1-'Inputs - network configuration'!Z63)*Y32</f>
        <v>12.458005333333332</v>
      </c>
      <c r="AC32" s="573">
        <f>(1-'Inputs - network configuration'!Z63)*Y32</f>
        <v>12.458005333333332</v>
      </c>
      <c r="AD32" s="573">
        <f>('Inputs - network configuration'!Z63)*Y32</f>
        <v>3.1145013333333331</v>
      </c>
      <c r="AE32" s="572"/>
      <c r="AF32" s="572"/>
      <c r="AG32" s="572"/>
      <c r="AH32" s="424"/>
      <c r="AI32" s="424"/>
      <c r="AJ32" s="424"/>
      <c r="AK32" s="424"/>
      <c r="AL32" s="424"/>
      <c r="AM32" s="424"/>
      <c r="AN32" s="424"/>
      <c r="AO32" s="424"/>
      <c r="AP32" s="424"/>
      <c r="AQ32" s="424"/>
      <c r="AR32" s="424"/>
      <c r="AS32" s="424"/>
      <c r="AT32" s="459"/>
      <c r="AU32" s="456"/>
      <c r="AV32" s="674"/>
      <c r="AW32" s="674"/>
      <c r="AX32" s="674"/>
      <c r="AY32" s="674"/>
      <c r="AZ32" s="597"/>
      <c r="BA32" s="597"/>
      <c r="BB32" s="597"/>
      <c r="BC32" s="424"/>
      <c r="BP32" s="446">
        <f>SUM(D10,Y10,AT10)</f>
        <v>377.84954055141611</v>
      </c>
      <c r="BR32" s="204"/>
      <c r="BS32" s="204"/>
      <c r="BT32" s="204"/>
      <c r="BU32" s="204"/>
      <c r="BV32" s="204"/>
      <c r="BW32" s="206"/>
      <c r="BX32" s="35"/>
      <c r="BY32" s="35"/>
      <c r="BZ32" s="35"/>
      <c r="CA32" s="35"/>
      <c r="CB32" s="35"/>
      <c r="CC32" s="35"/>
      <c r="CD32" s="35"/>
      <c r="CE32" s="35"/>
      <c r="CF32" s="35"/>
      <c r="CG32" s="35"/>
      <c r="CH32" s="35"/>
      <c r="CI32" s="35"/>
    </row>
    <row r="33" spans="2:88" x14ac:dyDescent="0.2">
      <c r="C33" s="448" t="s">
        <v>285</v>
      </c>
      <c r="D33" s="174">
        <f t="shared" si="26"/>
        <v>0.67679333333333336</v>
      </c>
      <c r="E33" s="172">
        <f t="shared" si="27"/>
        <v>0.67679333333333336</v>
      </c>
      <c r="F33" s="574">
        <f>(1-'Inputs - network configuration'!E63)*D33</f>
        <v>0.43426376522121796</v>
      </c>
      <c r="G33" s="574">
        <f>(1-'Inputs - network configuration'!E63)*D33</f>
        <v>0.43426376522121796</v>
      </c>
      <c r="H33" s="574">
        <f>(1-'Inputs - network configuration'!E63)*D33</f>
        <v>0.43426376522121796</v>
      </c>
      <c r="I33" s="574">
        <f>('Inputs - network configuration'!E63)*D33</f>
        <v>0.2425295681121154</v>
      </c>
      <c r="J33" s="673">
        <f>D33</f>
        <v>0.67679333333333336</v>
      </c>
      <c r="K33" s="572"/>
      <c r="L33" s="572"/>
      <c r="Y33" s="174">
        <f t="shared" ref="Y33:Y40" si="28">AF11</f>
        <v>0</v>
      </c>
      <c r="Z33" s="456"/>
      <c r="AA33" s="675"/>
      <c r="AB33" s="675"/>
      <c r="AC33" s="675"/>
      <c r="AD33" s="675"/>
      <c r="AE33" s="456"/>
      <c r="AF33" s="597"/>
      <c r="AG33" s="597"/>
      <c r="AH33" s="424"/>
      <c r="AI33" s="424"/>
      <c r="AJ33" s="424"/>
      <c r="AK33" s="424"/>
      <c r="AL33" s="424"/>
      <c r="AM33" s="424"/>
      <c r="AN33" s="424"/>
      <c r="AO33" s="424"/>
      <c r="AP33" s="424"/>
      <c r="AQ33" s="424"/>
      <c r="AR33" s="424"/>
      <c r="AS33" s="424"/>
      <c r="AT33" s="459"/>
      <c r="AU33" s="456"/>
      <c r="AV33" s="675"/>
      <c r="AW33" s="675"/>
      <c r="AX33" s="675"/>
      <c r="AY33" s="675"/>
      <c r="AZ33" s="456"/>
      <c r="BA33" s="597"/>
      <c r="BB33" s="597"/>
      <c r="BC33" s="424"/>
      <c r="BP33" s="446"/>
    </row>
    <row r="34" spans="2:88" x14ac:dyDescent="0.2">
      <c r="C34" s="448" t="s">
        <v>354</v>
      </c>
      <c r="D34" s="174">
        <f t="shared" si="26"/>
        <v>0</v>
      </c>
      <c r="E34" s="172">
        <f t="shared" si="27"/>
        <v>0</v>
      </c>
      <c r="F34" s="572"/>
      <c r="G34" s="572"/>
      <c r="H34" s="572"/>
      <c r="I34" s="572"/>
      <c r="J34" s="572"/>
      <c r="K34" s="572"/>
      <c r="L34" s="572"/>
      <c r="Y34" s="174">
        <f t="shared" si="28"/>
        <v>1</v>
      </c>
      <c r="Z34" s="172">
        <f t="shared" ref="Z34:Z40" si="29">Y34</f>
        <v>1</v>
      </c>
      <c r="AA34" s="572"/>
      <c r="AB34" s="572"/>
      <c r="AC34" s="572"/>
      <c r="AD34" s="572"/>
      <c r="AE34" s="572"/>
      <c r="AF34" s="572"/>
      <c r="AG34" s="572"/>
      <c r="AH34" s="424"/>
      <c r="AI34" s="424"/>
      <c r="AJ34" s="424"/>
      <c r="AK34" s="424"/>
      <c r="AL34" s="424"/>
      <c r="AM34" s="424"/>
      <c r="AN34" s="424"/>
      <c r="AO34" s="424"/>
      <c r="AP34" s="424"/>
      <c r="AQ34" s="424"/>
      <c r="AR34" s="424"/>
      <c r="AS34" s="424"/>
      <c r="AT34" s="459"/>
      <c r="AU34" s="456"/>
      <c r="AV34" s="597"/>
      <c r="AW34" s="597"/>
      <c r="AX34" s="597"/>
      <c r="AY34" s="597"/>
      <c r="AZ34" s="597"/>
      <c r="BA34" s="597"/>
      <c r="BB34" s="597"/>
      <c r="BC34" s="424"/>
      <c r="BP34" s="446">
        <f t="shared" ref="BP34:BP41" si="30">SUM(D12,Y12,AT12)</f>
        <v>0.3</v>
      </c>
      <c r="BR34" s="188" t="s">
        <v>173</v>
      </c>
    </row>
    <row r="35" spans="2:88" x14ac:dyDescent="0.2">
      <c r="C35" s="448" t="s">
        <v>359</v>
      </c>
      <c r="D35" s="174">
        <f t="shared" si="26"/>
        <v>47.012581333333323</v>
      </c>
      <c r="E35" s="172">
        <f t="shared" si="27"/>
        <v>47.012581333333323</v>
      </c>
      <c r="F35" s="172">
        <f>D35</f>
        <v>47.012581333333323</v>
      </c>
      <c r="G35" s="736">
        <f>F35/2</f>
        <v>23.506290666666661</v>
      </c>
      <c r="H35" s="572"/>
      <c r="I35" s="572"/>
      <c r="J35" s="572"/>
      <c r="K35" s="572"/>
      <c r="L35" s="572"/>
      <c r="Y35" s="174">
        <f t="shared" si="28"/>
        <v>0.85133333333333339</v>
      </c>
      <c r="Z35" s="172">
        <f t="shared" si="29"/>
        <v>0.85133333333333339</v>
      </c>
      <c r="AA35" s="172">
        <f>Y35</f>
        <v>0.85133333333333339</v>
      </c>
      <c r="AB35" s="172">
        <f>Y35</f>
        <v>0.85133333333333339</v>
      </c>
      <c r="AC35" s="572"/>
      <c r="AD35" s="572"/>
      <c r="AE35" s="572"/>
      <c r="AF35" s="572"/>
      <c r="AG35" s="572"/>
      <c r="AH35" s="424"/>
      <c r="AI35" s="424"/>
      <c r="AJ35" s="424"/>
      <c r="AK35" s="424"/>
      <c r="AL35" s="424"/>
      <c r="AM35" s="424"/>
      <c r="AN35" s="424"/>
      <c r="AO35" s="424"/>
      <c r="AP35" s="424"/>
      <c r="AQ35" s="424"/>
      <c r="AR35" s="424"/>
      <c r="AS35" s="424"/>
      <c r="AT35" s="459"/>
      <c r="AU35" s="456"/>
      <c r="AV35" s="456"/>
      <c r="AW35" s="456"/>
      <c r="AX35" s="597"/>
      <c r="AY35" s="597"/>
      <c r="AZ35" s="597"/>
      <c r="BA35" s="597"/>
      <c r="BB35" s="597"/>
      <c r="BC35" s="424"/>
      <c r="BP35" s="446">
        <f t="shared" si="30"/>
        <v>406.15119991987535</v>
      </c>
      <c r="BR35" s="35" t="s">
        <v>86</v>
      </c>
      <c r="BS35" s="27" t="s">
        <v>99</v>
      </c>
      <c r="BT35" s="28">
        <f t="shared" ref="BT35:BT42" si="31">BT8</f>
        <v>218.3497536945813</v>
      </c>
      <c r="BU35" s="28"/>
      <c r="BV35" s="28">
        <f t="shared" ref="BV35:BY42" si="32">BV8</f>
        <v>40830</v>
      </c>
      <c r="BW35" s="28">
        <f t="shared" si="32"/>
        <v>38788.5</v>
      </c>
      <c r="BX35" s="29">
        <f t="shared" si="32"/>
        <v>0.95</v>
      </c>
      <c r="BY35" s="28">
        <f t="shared" si="32"/>
        <v>73.8</v>
      </c>
      <c r="BZ35" s="28"/>
      <c r="CA35" s="28">
        <f t="shared" ref="CA35:CD42" si="33">CA8</f>
        <v>13760</v>
      </c>
      <c r="CB35" s="28">
        <f t="shared" si="33"/>
        <v>13072</v>
      </c>
      <c r="CC35" s="29">
        <f t="shared" si="33"/>
        <v>0.95</v>
      </c>
      <c r="CD35" s="28">
        <f t="shared" si="33"/>
        <v>0</v>
      </c>
      <c r="CE35" s="28"/>
      <c r="CF35" s="28">
        <f t="shared" ref="CF35:CH42" si="34">CF8</f>
        <v>0</v>
      </c>
      <c r="CG35" s="28">
        <f t="shared" si="34"/>
        <v>0</v>
      </c>
      <c r="CH35" s="30">
        <f t="shared" si="34"/>
        <v>0</v>
      </c>
      <c r="CI35" s="35" t="s">
        <v>113</v>
      </c>
      <c r="CJ35" s="220">
        <f>SUM(BW35,CB35,CG35)</f>
        <v>51860.5</v>
      </c>
    </row>
    <row r="36" spans="2:88" x14ac:dyDescent="0.2">
      <c r="C36" s="448" t="s">
        <v>235</v>
      </c>
      <c r="D36" s="174">
        <f t="shared" si="26"/>
        <v>42.597916666666663</v>
      </c>
      <c r="E36" s="172">
        <f t="shared" si="27"/>
        <v>42.597916666666663</v>
      </c>
      <c r="F36" s="573">
        <f>(1-'Inputs - network configuration'!E63)*D36</f>
        <v>27.3329106111856</v>
      </c>
      <c r="G36" s="573">
        <f>(1-'Inputs - network configuration'!E63)*D36</f>
        <v>27.3329106111856</v>
      </c>
      <c r="H36" s="573">
        <f>(1-'Inputs - network configuration'!E63)*D36</f>
        <v>27.3329106111856</v>
      </c>
      <c r="I36" s="573">
        <f>('Inputs - network configuration'!E63)*D36</f>
        <v>15.265006055481065</v>
      </c>
      <c r="J36" s="572"/>
      <c r="K36" s="572"/>
      <c r="L36" s="572"/>
      <c r="Y36" s="174">
        <f t="shared" si="28"/>
        <v>0</v>
      </c>
      <c r="Z36" s="172">
        <f t="shared" si="29"/>
        <v>0</v>
      </c>
      <c r="AA36" s="573">
        <f>(1-'Inputs - network configuration'!Z63)*Y36</f>
        <v>0</v>
      </c>
      <c r="AB36" s="573">
        <f>(1-'Inputs - network configuration'!Z63)*Y36</f>
        <v>0</v>
      </c>
      <c r="AC36" s="573">
        <f>(1-'Inputs - network configuration'!Z63)*Y36</f>
        <v>0</v>
      </c>
      <c r="AD36" s="573">
        <f>('Inputs - network configuration'!Z63)*Y36</f>
        <v>0</v>
      </c>
      <c r="AE36" s="572"/>
      <c r="AF36" s="572"/>
      <c r="AG36" s="572"/>
      <c r="AH36" s="424"/>
      <c r="AI36" s="424"/>
      <c r="AJ36" s="424"/>
      <c r="AK36" s="424"/>
      <c r="AL36" s="424"/>
      <c r="AM36" s="424"/>
      <c r="AN36" s="424"/>
      <c r="AO36" s="424"/>
      <c r="AP36" s="424"/>
      <c r="AQ36" s="424"/>
      <c r="AR36" s="424"/>
      <c r="AS36" s="424"/>
      <c r="AT36" s="459"/>
      <c r="AU36" s="456"/>
      <c r="AV36" s="674"/>
      <c r="AW36" s="674"/>
      <c r="AX36" s="674"/>
      <c r="AY36" s="674"/>
      <c r="AZ36" s="597"/>
      <c r="BA36" s="597"/>
      <c r="BB36" s="597"/>
      <c r="BC36" s="424"/>
      <c r="BP36" s="446">
        <f t="shared" si="30"/>
        <v>348.47784082274541</v>
      </c>
      <c r="BR36" s="35" t="s">
        <v>86</v>
      </c>
      <c r="BS36" s="27" t="s">
        <v>103</v>
      </c>
      <c r="BT36" s="28">
        <f t="shared" si="31"/>
        <v>0</v>
      </c>
      <c r="BU36" s="28"/>
      <c r="BV36" s="28">
        <f t="shared" si="32"/>
        <v>0</v>
      </c>
      <c r="BW36" s="28">
        <f t="shared" si="32"/>
        <v>0</v>
      </c>
      <c r="BX36" s="29">
        <f t="shared" si="32"/>
        <v>0.95</v>
      </c>
      <c r="BY36" s="28">
        <f t="shared" si="32"/>
        <v>0.3</v>
      </c>
      <c r="BZ36" s="28"/>
      <c r="CA36" s="28">
        <f t="shared" si="33"/>
        <v>50</v>
      </c>
      <c r="CB36" s="28">
        <f t="shared" si="33"/>
        <v>47.5</v>
      </c>
      <c r="CC36" s="29">
        <f t="shared" si="33"/>
        <v>0.95</v>
      </c>
      <c r="CD36" s="28">
        <f t="shared" si="33"/>
        <v>0</v>
      </c>
      <c r="CE36" s="28"/>
      <c r="CF36" s="28">
        <f t="shared" si="34"/>
        <v>0</v>
      </c>
      <c r="CG36" s="28">
        <f t="shared" si="34"/>
        <v>0</v>
      </c>
      <c r="CH36" s="30">
        <f t="shared" si="34"/>
        <v>0</v>
      </c>
      <c r="CI36" s="35" t="s">
        <v>114</v>
      </c>
      <c r="CJ36" s="220">
        <f t="shared" ref="CJ36:CJ51" si="35">SUM(BW36,CB36,CG36)</f>
        <v>47.5</v>
      </c>
    </row>
    <row r="37" spans="2:88" x14ac:dyDescent="0.2">
      <c r="C37" s="448" t="s">
        <v>236</v>
      </c>
      <c r="D37" s="174">
        <f t="shared" si="26"/>
        <v>71.078209333333348</v>
      </c>
      <c r="E37" s="172">
        <f t="shared" si="27"/>
        <v>71.078209333333348</v>
      </c>
      <c r="F37" s="573">
        <f>(1-'Inputs - network configuration'!E63)*D37</f>
        <v>45.607261907044872</v>
      </c>
      <c r="G37" s="573">
        <f>(1-'Inputs - network configuration'!E63)*D37</f>
        <v>45.607261907044872</v>
      </c>
      <c r="H37" s="573">
        <f>(1-'Inputs - network configuration'!E63)*D37</f>
        <v>45.607261907044872</v>
      </c>
      <c r="I37" s="573">
        <f>('Inputs - network configuration'!E63)*D37</f>
        <v>25.470947426288475</v>
      </c>
      <c r="J37" s="172">
        <f>D37</f>
        <v>71.078209333333348</v>
      </c>
      <c r="K37" s="572"/>
      <c r="L37" s="572"/>
      <c r="Y37" s="174">
        <f t="shared" ref="Y37" si="36">AF15</f>
        <v>2.3206000000000002</v>
      </c>
      <c r="Z37" s="172">
        <f t="shared" si="29"/>
        <v>2.3206000000000002</v>
      </c>
      <c r="AA37" s="573">
        <f>(1-'Inputs - network configuration'!Z64)*Y37</f>
        <v>2.3206000000000002</v>
      </c>
      <c r="AB37" s="573">
        <f>(1-'Inputs - network configuration'!Z64)*Y37</f>
        <v>2.3206000000000002</v>
      </c>
      <c r="AC37" s="573">
        <f>(1-'Inputs - network configuration'!Z64)*Y37</f>
        <v>2.3206000000000002</v>
      </c>
      <c r="AD37" s="573">
        <f>('Inputs - network configuration'!Z64)*Y37</f>
        <v>0</v>
      </c>
      <c r="AE37" s="172">
        <f>Y37</f>
        <v>2.3206000000000002</v>
      </c>
      <c r="AF37" s="597"/>
      <c r="AG37" s="597"/>
      <c r="AH37" s="424"/>
      <c r="AI37" s="424"/>
      <c r="AJ37" s="424"/>
      <c r="AK37" s="424"/>
      <c r="AL37" s="424"/>
      <c r="AM37" s="424"/>
      <c r="AN37" s="424"/>
      <c r="AO37" s="424"/>
      <c r="AP37" s="424"/>
      <c r="AQ37" s="424"/>
      <c r="AR37" s="424"/>
      <c r="AS37" s="424"/>
      <c r="AT37" s="459"/>
      <c r="AU37" s="456"/>
      <c r="AV37" s="674"/>
      <c r="AW37" s="674"/>
      <c r="AX37" s="674"/>
      <c r="AY37" s="674"/>
      <c r="AZ37" s="456"/>
      <c r="BA37" s="597"/>
      <c r="BB37" s="597"/>
      <c r="BC37" s="424"/>
      <c r="BP37" s="446">
        <f t="shared" si="30"/>
        <v>585.60955231157129</v>
      </c>
      <c r="BR37" s="35" t="s">
        <v>82</v>
      </c>
      <c r="BS37" s="31" t="s">
        <v>100</v>
      </c>
      <c r="BT37" s="32">
        <f t="shared" si="31"/>
        <v>2932.386988700227</v>
      </c>
      <c r="BU37" s="32"/>
      <c r="BV37" s="32">
        <f t="shared" si="32"/>
        <v>586080</v>
      </c>
      <c r="BW37" s="32">
        <f t="shared" si="32"/>
        <v>527472</v>
      </c>
      <c r="BX37" s="33">
        <f t="shared" si="32"/>
        <v>0.9</v>
      </c>
      <c r="BY37" s="32">
        <f t="shared" si="32"/>
        <v>176.5</v>
      </c>
      <c r="BZ37" s="32"/>
      <c r="CA37" s="32">
        <f t="shared" si="33"/>
        <v>37970</v>
      </c>
      <c r="CB37" s="32">
        <f t="shared" si="33"/>
        <v>34173</v>
      </c>
      <c r="CC37" s="33">
        <f t="shared" si="33"/>
        <v>0.9</v>
      </c>
      <c r="CD37" s="32">
        <f t="shared" si="33"/>
        <v>0</v>
      </c>
      <c r="CE37" s="32"/>
      <c r="CF37" s="32">
        <f t="shared" si="34"/>
        <v>0</v>
      </c>
      <c r="CG37" s="32">
        <f t="shared" si="34"/>
        <v>0</v>
      </c>
      <c r="CH37" s="34">
        <f t="shared" si="34"/>
        <v>0</v>
      </c>
      <c r="CI37" s="35" t="s">
        <v>113</v>
      </c>
      <c r="CJ37" s="220">
        <f t="shared" si="35"/>
        <v>561645</v>
      </c>
    </row>
    <row r="38" spans="2:88" x14ac:dyDescent="0.2">
      <c r="C38" s="448" t="s">
        <v>237</v>
      </c>
      <c r="D38" s="174">
        <f t="shared" si="26"/>
        <v>25.666686444021664</v>
      </c>
      <c r="E38" s="172">
        <f t="shared" si="27"/>
        <v>25.666686444021664</v>
      </c>
      <c r="F38" s="573">
        <f>(1-'Inputs - network configuration'!E63)*D38</f>
        <v>16.469003678030578</v>
      </c>
      <c r="G38" s="573">
        <f>(1-'Inputs - network configuration'!E63)*D38</f>
        <v>16.469003678030578</v>
      </c>
      <c r="H38" s="573">
        <f>(1-'Inputs - network configuration'!E63)*D38</f>
        <v>16.469003678030578</v>
      </c>
      <c r="I38" s="573">
        <f>('Inputs - network configuration'!E63)*D38</f>
        <v>9.197682765991086</v>
      </c>
      <c r="J38" s="172">
        <f>D38</f>
        <v>25.666686444021664</v>
      </c>
      <c r="K38" s="572"/>
      <c r="L38" s="572"/>
      <c r="Y38" s="174">
        <f t="shared" si="28"/>
        <v>1.4099486269087584</v>
      </c>
      <c r="Z38" s="172">
        <f t="shared" si="29"/>
        <v>1.4099486269087584</v>
      </c>
      <c r="AA38" s="573">
        <f>(1-'Inputs - network configuration'!Z63)*Y38</f>
        <v>1.1279589015270068</v>
      </c>
      <c r="AB38" s="573">
        <f>(1-'Inputs - network configuration'!Z63)*Y38</f>
        <v>1.1279589015270068</v>
      </c>
      <c r="AC38" s="573">
        <f>(1-'Inputs - network configuration'!Z63)*Y38</f>
        <v>1.1279589015270068</v>
      </c>
      <c r="AD38" s="573">
        <f>('Inputs - network configuration'!Z63)*Y38</f>
        <v>0.28198972538175171</v>
      </c>
      <c r="AE38" s="172">
        <f>Y38</f>
        <v>1.4099486269087584</v>
      </c>
      <c r="AF38" s="572"/>
      <c r="AG38" s="572"/>
      <c r="AH38" s="424"/>
      <c r="AI38" s="424"/>
      <c r="AJ38" s="424"/>
      <c r="AK38" s="424"/>
      <c r="AL38" s="424"/>
      <c r="AM38" s="424"/>
      <c r="AN38" s="424"/>
      <c r="AO38" s="424"/>
      <c r="AP38" s="424"/>
      <c r="AQ38" s="424"/>
      <c r="AR38" s="424"/>
      <c r="AS38" s="424"/>
      <c r="AT38" s="459"/>
      <c r="AU38" s="456"/>
      <c r="AV38" s="674"/>
      <c r="AW38" s="674"/>
      <c r="AX38" s="674"/>
      <c r="AY38" s="674"/>
      <c r="AZ38" s="456"/>
      <c r="BA38" s="597"/>
      <c r="BB38" s="597"/>
      <c r="BC38" s="424"/>
      <c r="BP38" s="446">
        <f t="shared" si="30"/>
        <v>82.45</v>
      </c>
      <c r="BR38" s="35" t="s">
        <v>82</v>
      </c>
      <c r="BS38" s="31" t="s">
        <v>104</v>
      </c>
      <c r="BT38" s="32">
        <f t="shared" si="31"/>
        <v>245.7</v>
      </c>
      <c r="BU38" s="32"/>
      <c r="BV38" s="32">
        <f t="shared" si="32"/>
        <v>90620</v>
      </c>
      <c r="BW38" s="32">
        <f t="shared" si="32"/>
        <v>81558</v>
      </c>
      <c r="BX38" s="33">
        <f t="shared" si="32"/>
        <v>0.9</v>
      </c>
      <c r="BY38" s="32">
        <f t="shared" si="32"/>
        <v>0.2</v>
      </c>
      <c r="BZ38" s="32"/>
      <c r="CA38" s="32">
        <f t="shared" si="33"/>
        <v>30</v>
      </c>
      <c r="CB38" s="32">
        <f t="shared" si="33"/>
        <v>27</v>
      </c>
      <c r="CC38" s="33">
        <f t="shared" si="33"/>
        <v>0.9</v>
      </c>
      <c r="CD38" s="32">
        <f t="shared" si="33"/>
        <v>0</v>
      </c>
      <c r="CE38" s="32"/>
      <c r="CF38" s="32">
        <f t="shared" si="34"/>
        <v>0</v>
      </c>
      <c r="CG38" s="32">
        <f t="shared" si="34"/>
        <v>0</v>
      </c>
      <c r="CH38" s="34">
        <f t="shared" si="34"/>
        <v>0</v>
      </c>
      <c r="CI38" s="35" t="s">
        <v>114</v>
      </c>
      <c r="CJ38" s="220">
        <f t="shared" si="35"/>
        <v>81585</v>
      </c>
    </row>
    <row r="39" spans="2:88" x14ac:dyDescent="0.2">
      <c r="C39" s="448" t="s">
        <v>239</v>
      </c>
      <c r="D39" s="174">
        <f t="shared" si="26"/>
        <v>99.040579219748082</v>
      </c>
      <c r="E39" s="172">
        <f t="shared" si="27"/>
        <v>99.040579219748082</v>
      </c>
      <c r="F39" s="573">
        <f>(1-'Inputs - network configuration'!E63)*D39</f>
        <v>63.549288569122211</v>
      </c>
      <c r="G39" s="573">
        <f>(1-'Inputs - network configuration'!E63)*D39</f>
        <v>63.549288569122211</v>
      </c>
      <c r="H39" s="573">
        <f>(1-'Inputs - network configuration'!E63)*D39</f>
        <v>63.549288569122211</v>
      </c>
      <c r="I39" s="573">
        <f>('Inputs - network configuration'!E63)*D39</f>
        <v>35.491290650625871</v>
      </c>
      <c r="J39" s="172">
        <f>D39</f>
        <v>99.040579219748082</v>
      </c>
      <c r="K39" s="172">
        <f>D39</f>
        <v>99.040579219748082</v>
      </c>
      <c r="L39" s="572"/>
      <c r="Y39" s="174">
        <f t="shared" si="28"/>
        <v>6.4444347551385084</v>
      </c>
      <c r="Z39" s="172">
        <f t="shared" si="29"/>
        <v>6.4444347551385084</v>
      </c>
      <c r="AA39" s="573">
        <f>(1-'Inputs - network configuration'!Z63)*Y39</f>
        <v>5.1555478041108067</v>
      </c>
      <c r="AB39" s="573">
        <f>(1-'Inputs - network configuration'!Z63)*Y39</f>
        <v>5.1555478041108067</v>
      </c>
      <c r="AC39" s="573">
        <f>(1-'Inputs - network configuration'!Z63)*Y39</f>
        <v>5.1555478041108067</v>
      </c>
      <c r="AD39" s="573">
        <f>('Inputs - network configuration'!Z63)*Y39</f>
        <v>1.2888869510277017</v>
      </c>
      <c r="AE39" s="172">
        <f>Y39</f>
        <v>6.4444347551385084</v>
      </c>
      <c r="AF39" s="172">
        <f>Y39</f>
        <v>6.4444347551385084</v>
      </c>
      <c r="AG39" s="572"/>
      <c r="AH39" s="424"/>
      <c r="AI39" s="424"/>
      <c r="AJ39" s="424"/>
      <c r="AK39" s="424"/>
      <c r="AL39" s="424"/>
      <c r="AM39" s="424"/>
      <c r="AN39" s="424"/>
      <c r="AO39" s="424"/>
      <c r="AP39" s="424"/>
      <c r="AQ39" s="424"/>
      <c r="AR39" s="424"/>
      <c r="AS39" s="424"/>
      <c r="AT39" s="174">
        <f>BA17</f>
        <v>2.2562090472008212</v>
      </c>
      <c r="AU39" s="172">
        <f>AT39</f>
        <v>2.2562090472008212</v>
      </c>
      <c r="AV39" s="674"/>
      <c r="AW39" s="674"/>
      <c r="AX39" s="674"/>
      <c r="AY39" s="674"/>
      <c r="AZ39" s="172">
        <f>AT39</f>
        <v>2.2562090472008212</v>
      </c>
      <c r="BA39" s="172">
        <f>AT39</f>
        <v>2.2562090472008212</v>
      </c>
      <c r="BB39" s="572"/>
      <c r="BC39" s="424"/>
      <c r="BP39" s="446">
        <f t="shared" si="30"/>
        <v>556.85</v>
      </c>
      <c r="BR39" s="35" t="s">
        <v>82</v>
      </c>
      <c r="BS39" s="31" t="s">
        <v>101</v>
      </c>
      <c r="BT39" s="32">
        <f t="shared" si="31"/>
        <v>191.4</v>
      </c>
      <c r="BU39" s="32"/>
      <c r="BV39" s="32">
        <f t="shared" si="32"/>
        <v>44420</v>
      </c>
      <c r="BW39" s="32">
        <f t="shared" si="32"/>
        <v>39978</v>
      </c>
      <c r="BX39" s="33">
        <f t="shared" si="32"/>
        <v>0.9</v>
      </c>
      <c r="BY39" s="32">
        <f t="shared" si="32"/>
        <v>34.691344383057093</v>
      </c>
      <c r="BZ39" s="32"/>
      <c r="CA39" s="32">
        <f t="shared" si="33"/>
        <v>4060</v>
      </c>
      <c r="CB39" s="32">
        <f t="shared" si="33"/>
        <v>3654</v>
      </c>
      <c r="CC39" s="33">
        <f t="shared" si="33"/>
        <v>0.9</v>
      </c>
      <c r="CD39" s="32">
        <f t="shared" si="33"/>
        <v>0</v>
      </c>
      <c r="CE39" s="32"/>
      <c r="CF39" s="32">
        <f t="shared" si="34"/>
        <v>0</v>
      </c>
      <c r="CG39" s="32">
        <f t="shared" si="34"/>
        <v>0</v>
      </c>
      <c r="CH39" s="34">
        <f t="shared" si="34"/>
        <v>0</v>
      </c>
      <c r="CI39" s="35" t="s">
        <v>113</v>
      </c>
      <c r="CJ39" s="220">
        <f t="shared" si="35"/>
        <v>43632</v>
      </c>
    </row>
    <row r="40" spans="2:88" x14ac:dyDescent="0.2">
      <c r="C40" s="449" t="s">
        <v>240</v>
      </c>
      <c r="D40" s="174">
        <f t="shared" si="26"/>
        <v>1393.8648478784555</v>
      </c>
      <c r="E40" s="172">
        <f t="shared" si="27"/>
        <v>1393.8648478784555</v>
      </c>
      <c r="F40" s="573">
        <f>(1-'Inputs - network configuration'!E63)*D40</f>
        <v>894.37198511982729</v>
      </c>
      <c r="G40" s="573">
        <f>(1-'Inputs - network configuration'!E63)*D40</f>
        <v>894.37198511982729</v>
      </c>
      <c r="H40" s="573">
        <f>(1-'Inputs - network configuration'!E63)*D40</f>
        <v>894.37198511982729</v>
      </c>
      <c r="I40" s="573">
        <f>('Inputs - network configuration'!E63)*D40</f>
        <v>499.49286275862829</v>
      </c>
      <c r="J40" s="172">
        <f>D40</f>
        <v>1393.8648478784555</v>
      </c>
      <c r="K40" s="172">
        <f>D40</f>
        <v>1393.8648478784555</v>
      </c>
      <c r="L40" s="172">
        <f>D40</f>
        <v>1393.8648478784555</v>
      </c>
      <c r="Y40" s="174">
        <f t="shared" si="28"/>
        <v>128.61892342694512</v>
      </c>
      <c r="Z40" s="172">
        <f t="shared" si="29"/>
        <v>128.61892342694512</v>
      </c>
      <c r="AA40" s="573">
        <f>(1-'Inputs - network configuration'!Z63)*Y40</f>
        <v>102.8951387415561</v>
      </c>
      <c r="AB40" s="573">
        <f>(1-'Inputs - network configuration'!Z63)*Y40</f>
        <v>102.8951387415561</v>
      </c>
      <c r="AC40" s="573">
        <f>(1-'Inputs - network configuration'!Z63)*Y40</f>
        <v>102.8951387415561</v>
      </c>
      <c r="AD40" s="573">
        <f>('Inputs - network configuration'!Z63)*Y40</f>
        <v>25.723784685389024</v>
      </c>
      <c r="AE40" s="172">
        <f>Y40</f>
        <v>128.61892342694512</v>
      </c>
      <c r="AF40" s="172">
        <f>Y40</f>
        <v>128.61892342694512</v>
      </c>
      <c r="AG40" s="172">
        <f>Y40</f>
        <v>128.61892342694512</v>
      </c>
      <c r="AH40" s="424"/>
      <c r="AI40" s="424"/>
      <c r="AJ40" s="424"/>
      <c r="AK40" s="424"/>
      <c r="AL40" s="424"/>
      <c r="AM40" s="424"/>
      <c r="AN40" s="424"/>
      <c r="AO40" s="424"/>
      <c r="AP40" s="424"/>
      <c r="AQ40" s="424"/>
      <c r="AR40" s="424"/>
      <c r="AS40" s="424"/>
      <c r="AT40" s="174">
        <f>BA18</f>
        <v>30.289806947753849</v>
      </c>
      <c r="AU40" s="172">
        <f>AT40</f>
        <v>30.289806947753849</v>
      </c>
      <c r="AV40" s="674"/>
      <c r="AW40" s="674"/>
      <c r="AX40" s="674"/>
      <c r="AY40" s="674"/>
      <c r="AZ40" s="172">
        <f>AT40</f>
        <v>30.289806947753849</v>
      </c>
      <c r="BA40" s="172">
        <f>AT40</f>
        <v>30.289806947753849</v>
      </c>
      <c r="BB40" s="172">
        <f>AT40</f>
        <v>30.289806947753849</v>
      </c>
      <c r="BC40" s="424"/>
      <c r="BP40" s="446">
        <f t="shared" si="30"/>
        <v>7882.2291485190062</v>
      </c>
      <c r="BR40" s="35" t="s">
        <v>82</v>
      </c>
      <c r="BS40" s="31" t="s">
        <v>105</v>
      </c>
      <c r="BT40" s="32">
        <f t="shared" si="31"/>
        <v>142.95119891987534</v>
      </c>
      <c r="BU40" s="32"/>
      <c r="BV40" s="32">
        <f t="shared" si="32"/>
        <v>31900</v>
      </c>
      <c r="BW40" s="32">
        <f t="shared" si="32"/>
        <v>28710</v>
      </c>
      <c r="BX40" s="33">
        <f t="shared" si="32"/>
        <v>0.9</v>
      </c>
      <c r="BY40" s="32">
        <f t="shared" si="32"/>
        <v>17.300000999999998</v>
      </c>
      <c r="BZ40" s="32"/>
      <c r="CA40" s="32">
        <f t="shared" si="33"/>
        <v>3860</v>
      </c>
      <c r="CB40" s="32">
        <f t="shared" si="33"/>
        <v>3474</v>
      </c>
      <c r="CC40" s="33">
        <f t="shared" si="33"/>
        <v>0.9</v>
      </c>
      <c r="CD40" s="32">
        <f t="shared" si="33"/>
        <v>0</v>
      </c>
      <c r="CE40" s="32"/>
      <c r="CF40" s="32">
        <f t="shared" si="34"/>
        <v>0</v>
      </c>
      <c r="CG40" s="32">
        <f t="shared" si="34"/>
        <v>0</v>
      </c>
      <c r="CH40" s="34">
        <f t="shared" si="34"/>
        <v>0</v>
      </c>
      <c r="CI40" s="35" t="s">
        <v>114</v>
      </c>
      <c r="CJ40" s="220">
        <f t="shared" si="35"/>
        <v>32184</v>
      </c>
    </row>
    <row r="41" spans="2:88" x14ac:dyDescent="0.2">
      <c r="C41" s="6" t="s">
        <v>45</v>
      </c>
      <c r="D41" s="402">
        <f>SUM(D30:D40)</f>
        <v>2045.3068462088922</v>
      </c>
      <c r="E41" s="173">
        <f>SUM(E30:E40)</f>
        <v>2045.3068462088922</v>
      </c>
      <c r="F41" s="401">
        <f>SUM(F30:F40)</f>
        <v>1430.6881845936871</v>
      </c>
      <c r="G41" s="401">
        <f t="shared" ref="G41:H41" si="37">SUM(G30:G40)</f>
        <v>1247.2369825936871</v>
      </c>
      <c r="H41" s="401">
        <f t="shared" si="37"/>
        <v>1063.7857805936872</v>
      </c>
      <c r="I41" s="401">
        <f t="shared" ref="I41" si="38">SUM(I30:I40)</f>
        <v>594.10783628187153</v>
      </c>
      <c r="J41" s="401">
        <f t="shared" ref="J41" si="39">SUM(J30:J40)</f>
        <v>1590.327116208892</v>
      </c>
      <c r="K41" s="401">
        <f t="shared" ref="K41" si="40">SUM(K30:K40)</f>
        <v>1492.9054270982035</v>
      </c>
      <c r="L41" s="401">
        <f t="shared" ref="L41" si="41">SUM(L30:L40)</f>
        <v>1393.8648478784555</v>
      </c>
      <c r="Y41" s="402">
        <f>SUM(Y30:Y40)</f>
        <v>187.60158814232571</v>
      </c>
      <c r="Z41" s="173">
        <f>SUM(Z30:Z40)</f>
        <v>187.60158814232571</v>
      </c>
      <c r="AA41" s="401">
        <f>SUM(AA30:AA40)</f>
        <v>143.05209211386057</v>
      </c>
      <c r="AB41" s="401">
        <f t="shared" ref="AB41:AG41" si="42">SUM(AB30:AB40)</f>
        <v>133.93033811386056</v>
      </c>
      <c r="AC41" s="401">
        <f t="shared" si="42"/>
        <v>123.95725078052725</v>
      </c>
      <c r="AD41" s="401">
        <f t="shared" si="42"/>
        <v>30.409162695131812</v>
      </c>
      <c r="AE41" s="401">
        <f t="shared" si="42"/>
        <v>138.79390680899238</v>
      </c>
      <c r="AF41" s="401">
        <f t="shared" si="42"/>
        <v>135.06335818208362</v>
      </c>
      <c r="AG41" s="401">
        <f t="shared" si="42"/>
        <v>128.61892342694512</v>
      </c>
      <c r="AH41" s="424"/>
      <c r="AI41" s="424"/>
      <c r="AJ41" s="424"/>
      <c r="AK41" s="424"/>
      <c r="AL41" s="424"/>
      <c r="AM41" s="424"/>
      <c r="AN41" s="424"/>
      <c r="AO41" s="424"/>
      <c r="AP41" s="424"/>
      <c r="AQ41" s="424"/>
      <c r="AR41" s="424"/>
      <c r="AS41" s="424"/>
      <c r="AT41" s="402">
        <f>SUM(AT30:AT40)</f>
        <v>32.546015994954672</v>
      </c>
      <c r="AU41" s="173">
        <f>SUM(AU30:AU40)</f>
        <v>32.546015994954672</v>
      </c>
      <c r="AV41" s="401">
        <f>SUM(AV30:AV40)</f>
        <v>0</v>
      </c>
      <c r="AW41" s="401">
        <f t="shared" ref="AW41:BB41" si="43">SUM(AW30:AW40)</f>
        <v>0</v>
      </c>
      <c r="AX41" s="401">
        <f t="shared" si="43"/>
        <v>0</v>
      </c>
      <c r="AY41" s="401">
        <f t="shared" si="43"/>
        <v>0</v>
      </c>
      <c r="AZ41" s="401">
        <f t="shared" si="43"/>
        <v>32.546015994954672</v>
      </c>
      <c r="BA41" s="401">
        <f t="shared" si="43"/>
        <v>32.546015994954672</v>
      </c>
      <c r="BB41" s="401">
        <f t="shared" si="43"/>
        <v>30.289806947753849</v>
      </c>
      <c r="BC41" s="424"/>
      <c r="BP41" s="402">
        <f t="shared" si="30"/>
        <v>13867.04536890248</v>
      </c>
      <c r="BR41" s="35" t="s">
        <v>138</v>
      </c>
      <c r="BS41" s="199" t="s">
        <v>102</v>
      </c>
      <c r="BT41" s="200">
        <f t="shared" si="31"/>
        <v>282.94205066565166</v>
      </c>
      <c r="BU41" s="200"/>
      <c r="BV41" s="200">
        <f t="shared" si="32"/>
        <v>43580</v>
      </c>
      <c r="BW41" s="200">
        <f t="shared" si="32"/>
        <v>39222</v>
      </c>
      <c r="BX41" s="201">
        <f t="shared" si="32"/>
        <v>0.9</v>
      </c>
      <c r="BY41" s="200">
        <f t="shared" si="32"/>
        <v>94.907489885764448</v>
      </c>
      <c r="BZ41" s="200"/>
      <c r="CA41" s="200">
        <f t="shared" si="33"/>
        <v>16560</v>
      </c>
      <c r="CB41" s="200">
        <f t="shared" si="33"/>
        <v>14904</v>
      </c>
      <c r="CC41" s="201">
        <f t="shared" si="33"/>
        <v>0.9</v>
      </c>
      <c r="CD41" s="200">
        <f t="shared" si="33"/>
        <v>0</v>
      </c>
      <c r="CE41" s="200"/>
      <c r="CF41" s="200">
        <f t="shared" si="34"/>
        <v>0</v>
      </c>
      <c r="CG41" s="200">
        <f t="shared" si="34"/>
        <v>0</v>
      </c>
      <c r="CH41" s="202">
        <f t="shared" si="34"/>
        <v>0</v>
      </c>
      <c r="CI41" s="35" t="s">
        <v>113</v>
      </c>
      <c r="CJ41" s="220">
        <f t="shared" si="35"/>
        <v>54126</v>
      </c>
    </row>
    <row r="42" spans="2:88" x14ac:dyDescent="0.2">
      <c r="D42" s="131"/>
      <c r="G42" s="424"/>
      <c r="Y42" s="131"/>
      <c r="AB42" s="424"/>
      <c r="AH42" s="424"/>
      <c r="AI42" s="424"/>
      <c r="AJ42" s="424"/>
      <c r="AK42" s="424"/>
      <c r="AL42" s="424"/>
      <c r="AM42" s="424"/>
      <c r="AN42" s="424"/>
      <c r="AO42" s="424"/>
      <c r="AP42" s="424"/>
      <c r="AQ42" s="424"/>
      <c r="AR42" s="424"/>
      <c r="AS42" s="424"/>
      <c r="AX42" s="422"/>
      <c r="AY42" s="424"/>
      <c r="AZ42" s="424"/>
      <c r="BA42" s="424"/>
      <c r="BB42" s="424"/>
      <c r="BC42" s="424"/>
      <c r="BR42" s="35" t="s">
        <v>138</v>
      </c>
      <c r="BS42" s="199" t="s">
        <v>106</v>
      </c>
      <c r="BT42" s="200">
        <f t="shared" si="31"/>
        <v>331.37930367504839</v>
      </c>
      <c r="BU42" s="200"/>
      <c r="BV42" s="200">
        <f t="shared" si="32"/>
        <v>62000</v>
      </c>
      <c r="BW42" s="200">
        <f t="shared" si="32"/>
        <v>55800</v>
      </c>
      <c r="BX42" s="201">
        <f t="shared" si="32"/>
        <v>0.9</v>
      </c>
      <c r="BY42" s="200">
        <f t="shared" si="32"/>
        <v>17.098537147697023</v>
      </c>
      <c r="BZ42" s="200"/>
      <c r="CA42" s="200">
        <f t="shared" si="33"/>
        <v>4280</v>
      </c>
      <c r="CB42" s="200">
        <f t="shared" si="33"/>
        <v>3852</v>
      </c>
      <c r="CC42" s="201">
        <f t="shared" si="33"/>
        <v>0.9</v>
      </c>
      <c r="CD42" s="200">
        <f t="shared" si="33"/>
        <v>0</v>
      </c>
      <c r="CE42" s="200"/>
      <c r="CF42" s="200">
        <f t="shared" si="34"/>
        <v>0</v>
      </c>
      <c r="CG42" s="200">
        <f t="shared" si="34"/>
        <v>0</v>
      </c>
      <c r="CH42" s="202">
        <f t="shared" si="34"/>
        <v>0</v>
      </c>
      <c r="CI42" s="35" t="s">
        <v>114</v>
      </c>
      <c r="CJ42" s="220">
        <f t="shared" si="35"/>
        <v>59652</v>
      </c>
    </row>
    <row r="43" spans="2:88" x14ac:dyDescent="0.2">
      <c r="D43" s="16"/>
      <c r="G43" s="27"/>
      <c r="H43" s="3" t="s">
        <v>387</v>
      </c>
      <c r="AB43" s="27"/>
      <c r="AC43" s="3" t="s">
        <v>387</v>
      </c>
      <c r="AD43" s="424"/>
      <c r="AE43" s="424"/>
      <c r="AF43" s="424"/>
      <c r="AG43" s="424"/>
      <c r="AH43" s="424"/>
      <c r="AI43" s="424"/>
      <c r="AJ43" s="424"/>
      <c r="AK43" s="424"/>
      <c r="AL43" s="424"/>
      <c r="AM43" s="424"/>
      <c r="AN43" s="424"/>
      <c r="AO43" s="424"/>
      <c r="AP43" s="424"/>
      <c r="AQ43" s="424"/>
      <c r="AR43" s="424"/>
      <c r="AS43" s="424"/>
      <c r="AX43" s="422"/>
      <c r="AY43" s="424"/>
      <c r="AZ43" s="424"/>
      <c r="BA43" s="424"/>
      <c r="BB43" s="424"/>
      <c r="BC43" s="424"/>
      <c r="BR43" s="35"/>
      <c r="BS43" s="199"/>
      <c r="BT43" s="200"/>
      <c r="BU43" s="200"/>
      <c r="BV43" s="200"/>
      <c r="BW43" s="200"/>
      <c r="BX43" s="201"/>
      <c r="BY43" s="200"/>
      <c r="BZ43" s="200"/>
      <c r="CA43" s="200"/>
      <c r="CB43" s="200"/>
      <c r="CC43" s="201"/>
      <c r="CD43" s="200"/>
      <c r="CE43" s="200"/>
      <c r="CF43" s="200"/>
      <c r="CG43" s="200"/>
      <c r="CH43" s="202"/>
      <c r="CI43" s="35"/>
      <c r="CJ43" s="220"/>
    </row>
    <row r="44" spans="2:88" x14ac:dyDescent="0.2">
      <c r="D44" s="16"/>
      <c r="J44" s="569"/>
      <c r="AB44" s="424"/>
      <c r="AC44" s="424"/>
      <c r="AD44" s="424"/>
      <c r="AE44" s="424"/>
      <c r="AF44" s="424"/>
      <c r="AG44" s="424"/>
      <c r="AH44" s="424"/>
      <c r="AI44" s="424"/>
      <c r="AJ44" s="424"/>
      <c r="AK44" s="424"/>
      <c r="AL44" s="424"/>
      <c r="AM44" s="424"/>
      <c r="AN44" s="424"/>
      <c r="AO44" s="424"/>
      <c r="AP44" s="424"/>
      <c r="AQ44" s="424"/>
      <c r="AR44" s="424"/>
      <c r="AS44" s="424"/>
      <c r="AX44" s="422"/>
      <c r="AY44" s="424"/>
      <c r="AZ44" s="424"/>
      <c r="BA44" s="424"/>
      <c r="BB44" s="424"/>
      <c r="BC44" s="424"/>
      <c r="BR44" s="35"/>
      <c r="BS44" s="199"/>
      <c r="BT44" s="200"/>
      <c r="BU44" s="200"/>
      <c r="BV44" s="200"/>
      <c r="BW44" s="200"/>
      <c r="BX44" s="201"/>
      <c r="BY44" s="200"/>
      <c r="BZ44" s="200"/>
      <c r="CA44" s="200"/>
      <c r="CB44" s="200"/>
      <c r="CC44" s="201"/>
      <c r="CD44" s="200"/>
      <c r="CE44" s="200"/>
      <c r="CF44" s="200"/>
      <c r="CG44" s="200"/>
      <c r="CH44" s="202"/>
      <c r="CI44" s="35"/>
      <c r="CJ44" s="220"/>
    </row>
    <row r="45" spans="2:88" x14ac:dyDescent="0.2">
      <c r="D45" s="16"/>
      <c r="J45" s="569"/>
      <c r="AX45" s="422"/>
      <c r="BR45" s="35"/>
      <c r="BS45" s="199"/>
      <c r="BT45" s="200"/>
      <c r="BU45" s="200"/>
      <c r="BV45" s="200"/>
      <c r="BW45" s="200"/>
      <c r="BX45" s="201"/>
      <c r="BY45" s="200"/>
      <c r="BZ45" s="200"/>
      <c r="CA45" s="200"/>
      <c r="CB45" s="200"/>
      <c r="CC45" s="201"/>
      <c r="CD45" s="200"/>
      <c r="CE45" s="200"/>
      <c r="CF45" s="200"/>
      <c r="CG45" s="200"/>
      <c r="CH45" s="202"/>
      <c r="CI45" s="35"/>
      <c r="CJ45" s="220"/>
    </row>
    <row r="46" spans="2:88" x14ac:dyDescent="0.2">
      <c r="D46" s="16"/>
      <c r="AX46" s="422"/>
      <c r="BR46" s="35"/>
      <c r="BS46" s="199"/>
      <c r="BT46" s="200"/>
      <c r="BU46" s="200"/>
      <c r="BV46" s="200"/>
      <c r="BW46" s="200"/>
      <c r="BX46" s="201"/>
      <c r="BY46" s="200"/>
      <c r="BZ46" s="200"/>
      <c r="CA46" s="200"/>
      <c r="CB46" s="200"/>
      <c r="CC46" s="201"/>
      <c r="CD46" s="200"/>
      <c r="CE46" s="200"/>
      <c r="CF46" s="200"/>
      <c r="CG46" s="200"/>
      <c r="CH46" s="202"/>
      <c r="CI46" s="35"/>
      <c r="CJ46" s="220"/>
    </row>
    <row r="47" spans="2:88" x14ac:dyDescent="0.2">
      <c r="D47" s="16"/>
      <c r="AX47" s="422"/>
      <c r="BR47" s="35"/>
      <c r="BS47" s="199"/>
      <c r="BT47" s="200"/>
      <c r="BU47" s="200"/>
      <c r="BV47" s="200"/>
      <c r="BW47" s="200"/>
      <c r="BX47" s="201"/>
      <c r="BY47" s="200"/>
      <c r="BZ47" s="200"/>
      <c r="CA47" s="200"/>
      <c r="CB47" s="200"/>
      <c r="CC47" s="201"/>
      <c r="CD47" s="200"/>
      <c r="CE47" s="200"/>
      <c r="CF47" s="200"/>
      <c r="CG47" s="200"/>
      <c r="CH47" s="202"/>
      <c r="CI47" s="35"/>
      <c r="CJ47" s="220"/>
    </row>
    <row r="48" spans="2:88" ht="30" customHeight="1" x14ac:dyDescent="0.2">
      <c r="B48" s="2" t="s">
        <v>46</v>
      </c>
      <c r="BR48" s="35" t="s">
        <v>140</v>
      </c>
      <c r="BS48" s="199" t="s">
        <v>107</v>
      </c>
      <c r="BT48" s="200">
        <f>BT16</f>
        <v>585.60955231157129</v>
      </c>
      <c r="BU48" s="200"/>
      <c r="BV48" s="200">
        <f>BV16</f>
        <v>133950</v>
      </c>
      <c r="BW48" s="200">
        <f>BW16</f>
        <v>120555</v>
      </c>
      <c r="BX48" s="201">
        <f>BX16</f>
        <v>0.9</v>
      </c>
      <c r="BY48" s="200">
        <f>BY16</f>
        <v>0</v>
      </c>
      <c r="BZ48" s="200"/>
      <c r="CA48" s="200">
        <f>CA16</f>
        <v>0</v>
      </c>
      <c r="CB48" s="200">
        <f>CB16</f>
        <v>0</v>
      </c>
      <c r="CC48" s="201">
        <f>CC16</f>
        <v>0.9</v>
      </c>
      <c r="CD48" s="200">
        <f>CD16</f>
        <v>0</v>
      </c>
      <c r="CE48" s="200"/>
      <c r="CF48" s="200">
        <f>CF16</f>
        <v>0</v>
      </c>
      <c r="CG48" s="200">
        <f>CG16</f>
        <v>0</v>
      </c>
      <c r="CH48" s="202">
        <f>CH16</f>
        <v>0</v>
      </c>
      <c r="CI48" s="35" t="s">
        <v>114</v>
      </c>
      <c r="CJ48" s="220">
        <f t="shared" si="35"/>
        <v>120555</v>
      </c>
    </row>
    <row r="49" spans="2:88" x14ac:dyDescent="0.2">
      <c r="B49" s="2"/>
      <c r="BR49" s="35" t="s">
        <v>140</v>
      </c>
      <c r="BS49" s="199" t="s">
        <v>110</v>
      </c>
      <c r="BT49" s="200">
        <f>BT17</f>
        <v>75.31</v>
      </c>
      <c r="BU49" s="200"/>
      <c r="BV49" s="218">
        <f t="shared" ref="BV49:BW51" si="44">BV17*($BW$27-SUM($CJ$8:$CJ$16))/SUM($CJ$17:$CJ$19)</f>
        <v>27103.112962507908</v>
      </c>
      <c r="BW49" s="218">
        <f t="shared" si="44"/>
        <v>24392.801666257121</v>
      </c>
      <c r="BX49" s="201">
        <f t="shared" ref="BX49:BY51" si="45">BX17</f>
        <v>0.9</v>
      </c>
      <c r="BY49" s="200">
        <f t="shared" si="45"/>
        <v>7.14</v>
      </c>
      <c r="BZ49" s="200"/>
      <c r="CA49" s="218">
        <f t="shared" ref="CA49:CB51" si="46">CA17*($BW$27-SUM($CJ$8:$CJ$16))/SUM($CJ$17:$CJ$19)</f>
        <v>1789.0251003195417</v>
      </c>
      <c r="CB49" s="218">
        <f t="shared" si="46"/>
        <v>1610.1225902875872</v>
      </c>
      <c r="CC49" s="201">
        <f t="shared" ref="CC49:CD51" si="47">CC17</f>
        <v>0.9</v>
      </c>
      <c r="CD49" s="200">
        <f t="shared" si="47"/>
        <v>0</v>
      </c>
      <c r="CE49" s="200"/>
      <c r="CF49" s="218">
        <f t="shared" ref="CF49:CG51" si="48">CF17*($BW$27-SUM($CJ$8:$CJ$16))/SUM($CJ$17:$CJ$19)</f>
        <v>0</v>
      </c>
      <c r="CG49" s="218">
        <f t="shared" si="48"/>
        <v>0</v>
      </c>
      <c r="CH49" s="202">
        <f>CH17</f>
        <v>0</v>
      </c>
      <c r="CI49" s="35" t="s">
        <v>115</v>
      </c>
      <c r="CJ49" s="220">
        <f t="shared" si="35"/>
        <v>26002.924256544709</v>
      </c>
    </row>
    <row r="50" spans="2:88" ht="75" x14ac:dyDescent="0.2">
      <c r="B50" s="2"/>
      <c r="C50" s="443" t="s">
        <v>14</v>
      </c>
      <c r="D50" s="562" t="s">
        <v>287</v>
      </c>
      <c r="E50" s="416" t="s">
        <v>269</v>
      </c>
      <c r="Y50" s="562" t="s">
        <v>287</v>
      </c>
      <c r="Z50" s="416" t="s">
        <v>269</v>
      </c>
      <c r="AT50" s="392" t="s">
        <v>241</v>
      </c>
      <c r="AU50" s="415" t="s">
        <v>269</v>
      </c>
      <c r="BO50" s="457" t="s">
        <v>243</v>
      </c>
      <c r="BR50" s="35" t="s">
        <v>139</v>
      </c>
      <c r="BS50" s="37" t="s">
        <v>108</v>
      </c>
      <c r="BT50" s="38">
        <f>BT18</f>
        <v>509.72999999999996</v>
      </c>
      <c r="BU50" s="38"/>
      <c r="BV50" s="219">
        <f t="shared" si="44"/>
        <v>108189.67059000164</v>
      </c>
      <c r="BW50" s="219">
        <f t="shared" si="44"/>
        <v>94125.013413301422</v>
      </c>
      <c r="BX50" s="39">
        <f t="shared" si="45"/>
        <v>0.87</v>
      </c>
      <c r="BY50" s="38">
        <f t="shared" si="45"/>
        <v>34.42</v>
      </c>
      <c r="BZ50" s="38"/>
      <c r="CA50" s="219">
        <f t="shared" si="46"/>
        <v>8459.0430050840714</v>
      </c>
      <c r="CB50" s="219">
        <f t="shared" si="46"/>
        <v>7359.36741442314</v>
      </c>
      <c r="CC50" s="39">
        <f t="shared" si="47"/>
        <v>0.87</v>
      </c>
      <c r="CD50" s="38">
        <f t="shared" si="47"/>
        <v>12.7</v>
      </c>
      <c r="CE50" s="38"/>
      <c r="CF50" s="219">
        <f t="shared" si="48"/>
        <v>2602.5571205808014</v>
      </c>
      <c r="CG50" s="219">
        <f t="shared" si="48"/>
        <v>2264.2246949052974</v>
      </c>
      <c r="CH50" s="39">
        <f>CH18</f>
        <v>0.87</v>
      </c>
      <c r="CI50" s="35" t="s">
        <v>115</v>
      </c>
      <c r="CJ50" s="220">
        <f t="shared" si="35"/>
        <v>103748.60552262985</v>
      </c>
    </row>
    <row r="51" spans="2:88" x14ac:dyDescent="0.2">
      <c r="B51" s="40"/>
      <c r="C51" s="462" t="s">
        <v>355</v>
      </c>
      <c r="D51" s="575">
        <f>E41</f>
        <v>2045.3068462088922</v>
      </c>
      <c r="E51" s="551">
        <f>D51/MAX(D$51:D$58)</f>
        <v>1</v>
      </c>
      <c r="Y51" s="575">
        <f>Z41</f>
        <v>187.60158814232571</v>
      </c>
      <c r="Z51" s="551">
        <f>Y51/MAX(Y$51:Y$58)</f>
        <v>1</v>
      </c>
      <c r="AT51" s="576"/>
      <c r="AU51" s="577"/>
      <c r="BO51" s="578">
        <f t="shared" ref="BO51:BO58" si="49">SUM(D51,Y51,AT51)</f>
        <v>2232.9084343512181</v>
      </c>
      <c r="BR51" s="35" t="s">
        <v>141</v>
      </c>
      <c r="BS51" s="37" t="s">
        <v>109</v>
      </c>
      <c r="BT51" s="38">
        <f>BT19</f>
        <v>6959.4190000000026</v>
      </c>
      <c r="BU51" s="38"/>
      <c r="BV51" s="219">
        <f t="shared" si="44"/>
        <v>1522626.1793598628</v>
      </c>
      <c r="BW51" s="219">
        <f t="shared" si="44"/>
        <v>1324684.7760430805</v>
      </c>
      <c r="BX51" s="39">
        <f t="shared" si="45"/>
        <v>0.87</v>
      </c>
      <c r="BY51" s="38">
        <f t="shared" si="45"/>
        <v>755.32600000000025</v>
      </c>
      <c r="BZ51" s="38"/>
      <c r="CA51" s="219">
        <f t="shared" si="46"/>
        <v>168826.75453710288</v>
      </c>
      <c r="CB51" s="219">
        <f t="shared" si="46"/>
        <v>146879.27644727952</v>
      </c>
      <c r="CC51" s="39">
        <f t="shared" si="47"/>
        <v>0.87</v>
      </c>
      <c r="CD51" s="38">
        <f t="shared" si="47"/>
        <v>167.48414851900398</v>
      </c>
      <c r="CE51" s="38"/>
      <c r="CF51" s="219">
        <f t="shared" si="48"/>
        <v>34939.56060973015</v>
      </c>
      <c r="CG51" s="219">
        <f t="shared" si="48"/>
        <v>30397.417730465233</v>
      </c>
      <c r="CH51" s="39">
        <f>CH19</f>
        <v>0.87</v>
      </c>
      <c r="CI51" s="35" t="s">
        <v>115</v>
      </c>
      <c r="CJ51" s="220">
        <f t="shared" si="35"/>
        <v>1501961.4702208254</v>
      </c>
    </row>
    <row r="52" spans="2:88" x14ac:dyDescent="0.2">
      <c r="B52" s="40"/>
      <c r="C52" s="462" t="s">
        <v>360</v>
      </c>
      <c r="D52" s="579">
        <f>F41</f>
        <v>1430.6881845936871</v>
      </c>
      <c r="E52" s="549">
        <f t="shared" ref="E52:E58" si="50">D52/MAX(D$51:D$58)</f>
        <v>0.69949806663267156</v>
      </c>
      <c r="Y52" s="579">
        <f>AA41</f>
        <v>143.05209211386057</v>
      </c>
      <c r="Z52" s="549">
        <f t="shared" ref="Z52:Z58" si="51">Y52/MAX(Y$51:Y$58)</f>
        <v>0.76253134917670717</v>
      </c>
      <c r="AT52" s="580"/>
      <c r="AU52" s="581"/>
      <c r="BO52" s="582">
        <f t="shared" si="49"/>
        <v>1573.7402767075478</v>
      </c>
      <c r="BR52" s="35"/>
      <c r="BS52" s="35"/>
      <c r="BT52" s="36">
        <f>SUM(BT35:BT51)</f>
        <v>12475.177847966956</v>
      </c>
      <c r="BU52" s="36"/>
      <c r="BV52" s="36">
        <f>SUM(BV35:BV51)</f>
        <v>2691298.9629123723</v>
      </c>
      <c r="BW52" s="36">
        <f>SUM(BW35:BW51)</f>
        <v>2375286.0911226389</v>
      </c>
      <c r="BX52" s="35"/>
      <c r="BY52" s="36">
        <f>SUM(BY35:BY51)</f>
        <v>1211.6833724165188</v>
      </c>
      <c r="BZ52" s="36"/>
      <c r="CA52" s="36">
        <f>SUM(CA35:CA51)</f>
        <v>259644.82264250651</v>
      </c>
      <c r="CB52" s="36">
        <f>SUM(CB35:CB51)</f>
        <v>229052.26645199023</v>
      </c>
      <c r="CC52" s="35"/>
      <c r="CD52" s="36">
        <f>SUM(CD35:CD51)</f>
        <v>180.18414851900397</v>
      </c>
      <c r="CE52" s="36"/>
      <c r="CF52" s="36">
        <f>SUM(CF35:CF51)</f>
        <v>37542.117730310951</v>
      </c>
      <c r="CG52" s="36">
        <f>SUM(CG35:CG51)</f>
        <v>32661.64242537053</v>
      </c>
      <c r="CH52" s="35"/>
      <c r="CI52" s="35"/>
      <c r="CJ52" s="220">
        <f>SUM(CJ35:CJ51)</f>
        <v>2637000</v>
      </c>
    </row>
    <row r="53" spans="2:88" x14ac:dyDescent="0.2">
      <c r="B53" s="40"/>
      <c r="C53" s="462" t="s">
        <v>361</v>
      </c>
      <c r="D53" s="579">
        <f>G41</f>
        <v>1247.2369825936871</v>
      </c>
      <c r="E53" s="549">
        <f t="shared" si="50"/>
        <v>0.60980433566998571</v>
      </c>
      <c r="Y53" s="579">
        <f>AB41</f>
        <v>133.93033811386056</v>
      </c>
      <c r="Z53" s="549">
        <f t="shared" si="51"/>
        <v>0.71390833862372771</v>
      </c>
      <c r="AT53" s="580"/>
      <c r="AU53" s="581"/>
      <c r="BO53" s="582">
        <f t="shared" si="49"/>
        <v>1381.1673207075478</v>
      </c>
      <c r="BR53" s="35"/>
      <c r="BS53" s="35"/>
      <c r="BT53" s="36"/>
      <c r="BU53" s="36"/>
      <c r="BV53" s="36"/>
      <c r="BW53" s="36"/>
      <c r="BX53" s="35"/>
      <c r="BY53" s="36"/>
      <c r="BZ53" s="36"/>
      <c r="CA53" s="36"/>
      <c r="CB53" s="36"/>
      <c r="CC53" s="35"/>
      <c r="CD53" s="36"/>
      <c r="CE53" s="36"/>
      <c r="CF53" s="36"/>
      <c r="CG53" s="36"/>
      <c r="CH53" s="35"/>
      <c r="CI53" s="35"/>
    </row>
    <row r="54" spans="2:88" x14ac:dyDescent="0.2">
      <c r="B54" s="40"/>
      <c r="C54" s="462" t="s">
        <v>362</v>
      </c>
      <c r="D54" s="579">
        <f>H41</f>
        <v>1063.7857805936872</v>
      </c>
      <c r="E54" s="549">
        <f t="shared" si="50"/>
        <v>0.52011060470729975</v>
      </c>
      <c r="Y54" s="579">
        <f>AC41</f>
        <v>123.95725078052725</v>
      </c>
      <c r="Z54" s="549">
        <f t="shared" si="51"/>
        <v>0.6607473423225283</v>
      </c>
      <c r="AT54" s="580"/>
      <c r="AU54" s="581"/>
      <c r="BO54" s="582">
        <f t="shared" si="49"/>
        <v>1187.7430313742143</v>
      </c>
      <c r="BR54" s="35"/>
      <c r="BS54" s="35" t="s">
        <v>113</v>
      </c>
      <c r="BT54" s="36">
        <f>SUMIF($CI$8:$CI$19,$BS54,BT$8:BT$19)</f>
        <v>3625.0787930604597</v>
      </c>
      <c r="BU54" s="36"/>
      <c r="BV54" s="36">
        <f t="shared" ref="BV54:BW56" si="52">SUMIF($CI$8:$CI$19,$BS54,BV$8:BV$19)</f>
        <v>714910</v>
      </c>
      <c r="BW54" s="36">
        <f t="shared" si="52"/>
        <v>645460.5</v>
      </c>
      <c r="BX54" s="35"/>
      <c r="BY54" s="36">
        <f>SUMIF($CI$8:$CI$19,$BS54,BY$8:BY$19)</f>
        <v>379.89883426882153</v>
      </c>
      <c r="BZ54" s="36"/>
      <c r="CA54" s="36">
        <f t="shared" ref="CA54:CB56" si="53">SUMIF($CI$8:$CI$19,$BS54,CA$8:CA$19)</f>
        <v>72350</v>
      </c>
      <c r="CB54" s="36">
        <f t="shared" si="53"/>
        <v>65803</v>
      </c>
      <c r="CC54" s="35"/>
      <c r="CD54" s="36">
        <f>SUMIF($CI$8:$CI$19,$BS54,CD$8:CD$19)</f>
        <v>0</v>
      </c>
      <c r="CE54" s="36"/>
      <c r="CF54" s="36">
        <f t="shared" ref="CF54:CG56" si="54">SUMIF($CI$8:$CI$19,$BS54,CF$8:CF$19)</f>
        <v>0</v>
      </c>
      <c r="CG54" s="36">
        <f t="shared" si="54"/>
        <v>0</v>
      </c>
      <c r="CH54" s="35"/>
      <c r="CI54" s="35"/>
    </row>
    <row r="55" spans="2:88" x14ac:dyDescent="0.2">
      <c r="B55" s="40"/>
      <c r="C55" s="462" t="s">
        <v>357</v>
      </c>
      <c r="D55" s="579">
        <f>I41</f>
        <v>594.10783628187153</v>
      </c>
      <c r="E55" s="549">
        <f t="shared" si="50"/>
        <v>0.29047369463564288</v>
      </c>
      <c r="Y55" s="579">
        <f>AD41</f>
        <v>30.409162695131812</v>
      </c>
      <c r="Z55" s="549">
        <f t="shared" si="51"/>
        <v>0.16209437775154448</v>
      </c>
      <c r="AT55" s="580"/>
      <c r="AU55" s="581"/>
      <c r="BO55" s="582">
        <f t="shared" si="49"/>
        <v>624.51699897700337</v>
      </c>
      <c r="BR55" s="35"/>
      <c r="BS55" s="35" t="s">
        <v>114</v>
      </c>
      <c r="BT55" s="36">
        <f>SUMIF($CI$8:$CI$19,$BS55,BT$8:BT$19)</f>
        <v>1305.6400549064952</v>
      </c>
      <c r="BU55" s="36"/>
      <c r="BV55" s="36">
        <f t="shared" si="52"/>
        <v>318470</v>
      </c>
      <c r="BW55" s="36">
        <f t="shared" si="52"/>
        <v>286623</v>
      </c>
      <c r="BX55" s="35"/>
      <c r="BY55" s="36">
        <f>SUMIF($CI$8:$CI$19,$BS55,BY$8:BY$19)</f>
        <v>34.898538147697025</v>
      </c>
      <c r="BZ55" s="36"/>
      <c r="CA55" s="36">
        <f t="shared" si="53"/>
        <v>8220</v>
      </c>
      <c r="CB55" s="36">
        <f t="shared" si="53"/>
        <v>7400.5</v>
      </c>
      <c r="CC55" s="35"/>
      <c r="CD55" s="36">
        <f>SUMIF($CI$8:$CI$19,$BS55,CD$8:CD$19)</f>
        <v>0</v>
      </c>
      <c r="CE55" s="36"/>
      <c r="CF55" s="36">
        <f t="shared" si="54"/>
        <v>0</v>
      </c>
      <c r="CG55" s="36">
        <f t="shared" si="54"/>
        <v>0</v>
      </c>
      <c r="CH55" s="35"/>
      <c r="CI55" s="35"/>
    </row>
    <row r="56" spans="2:88" x14ac:dyDescent="0.2">
      <c r="B56" s="40"/>
      <c r="C56" s="462" t="s">
        <v>83</v>
      </c>
      <c r="D56" s="579">
        <f>J41</f>
        <v>1590.327116208892</v>
      </c>
      <c r="E56" s="549">
        <f t="shared" si="50"/>
        <v>0.77754940250489335</v>
      </c>
      <c r="H56" s="583"/>
      <c r="Y56" s="579">
        <f>AE41</f>
        <v>138.79390680899238</v>
      </c>
      <c r="Z56" s="549">
        <f t="shared" si="51"/>
        <v>0.73983332541777347</v>
      </c>
      <c r="AT56" s="580"/>
      <c r="AU56" s="581"/>
      <c r="BO56" s="582">
        <f t="shared" si="49"/>
        <v>1729.1210230178845</v>
      </c>
      <c r="BR56" s="35"/>
      <c r="BS56" s="35" t="s">
        <v>115</v>
      </c>
      <c r="BT56" s="36">
        <f>SUMIF($CI$8:$CI$19,$BS56,BT$8:BT$19)</f>
        <v>7544.4590000000026</v>
      </c>
      <c r="BU56" s="36"/>
      <c r="BV56" s="36">
        <f t="shared" si="52"/>
        <v>2468737.6216434692</v>
      </c>
      <c r="BW56" s="36">
        <f t="shared" si="52"/>
        <v>2149012.4741073423</v>
      </c>
      <c r="BX56" s="35"/>
      <c r="BY56" s="36">
        <f>SUMIF($CI$8:$CI$19,$BS56,BY$8:BY$19)</f>
        <v>796.88600000000019</v>
      </c>
      <c r="BZ56" s="36"/>
      <c r="CA56" s="36">
        <f t="shared" si="53"/>
        <v>266652.81092514633</v>
      </c>
      <c r="CB56" s="36">
        <f t="shared" si="53"/>
        <v>232067.86437310957</v>
      </c>
      <c r="CC56" s="35"/>
      <c r="CD56" s="36">
        <f>SUMIF($CI$8:$CI$19,$BS56,CD$8:CD$19)</f>
        <v>180.18414851900397</v>
      </c>
      <c r="CE56" s="36"/>
      <c r="CF56" s="36">
        <f t="shared" si="54"/>
        <v>55902.393609262057</v>
      </c>
      <c r="CG56" s="36">
        <f t="shared" si="54"/>
        <v>48635.082440057988</v>
      </c>
      <c r="CH56" s="35"/>
      <c r="CI56" s="35"/>
    </row>
    <row r="57" spans="2:88" x14ac:dyDescent="0.2">
      <c r="B57" s="40"/>
      <c r="C57" s="462" t="s">
        <v>84</v>
      </c>
      <c r="D57" s="579">
        <f>K41</f>
        <v>1492.9054270982035</v>
      </c>
      <c r="E57" s="549">
        <f t="shared" si="50"/>
        <v>0.72991758173860311</v>
      </c>
      <c r="H57" s="583"/>
      <c r="Y57" s="579">
        <f>AF41</f>
        <v>135.06335818208362</v>
      </c>
      <c r="Z57" s="549">
        <f t="shared" si="51"/>
        <v>0.71994784009832868</v>
      </c>
      <c r="AT57" s="579">
        <f>BA41</f>
        <v>32.546015994954672</v>
      </c>
      <c r="AU57" s="549">
        <f t="shared" ref="AU57:AU58" si="55">AT57/MAX(AT$51:AT$58)</f>
        <v>1</v>
      </c>
      <c r="BO57" s="582">
        <f t="shared" si="49"/>
        <v>1660.5148012752418</v>
      </c>
      <c r="BR57" s="35"/>
      <c r="BS57" s="35"/>
      <c r="BT57" s="36">
        <f>SUM(BT54:BT56)</f>
        <v>12475.177847966957</v>
      </c>
      <c r="BU57" s="36"/>
      <c r="BV57" s="36">
        <f t="shared" ref="BV57:BW57" si="56">SUM(BV54:BV56)</f>
        <v>3502117.6216434692</v>
      </c>
      <c r="BW57" s="36">
        <f t="shared" si="56"/>
        <v>3081095.9741073423</v>
      </c>
      <c r="BX57" s="35"/>
      <c r="BY57" s="36">
        <f>SUM(BY54:BY56)</f>
        <v>1211.6833724165188</v>
      </c>
      <c r="BZ57" s="36"/>
      <c r="CA57" s="36">
        <f t="shared" ref="CA57:CB57" si="57">SUM(CA54:CA56)</f>
        <v>347222.81092514633</v>
      </c>
      <c r="CB57" s="36">
        <f t="shared" si="57"/>
        <v>305271.36437310954</v>
      </c>
      <c r="CC57" s="35"/>
      <c r="CD57" s="36">
        <f>SUM(CD54:CD56)</f>
        <v>180.18414851900397</v>
      </c>
      <c r="CE57" s="36"/>
      <c r="CF57" s="36">
        <f t="shared" ref="CF57:CG57" si="58">SUM(CF54:CF56)</f>
        <v>55902.393609262057</v>
      </c>
      <c r="CG57" s="36">
        <f t="shared" si="58"/>
        <v>48635.082440057988</v>
      </c>
      <c r="CH57" s="35"/>
      <c r="CI57" s="35"/>
    </row>
    <row r="58" spans="2:88" x14ac:dyDescent="0.2">
      <c r="B58" s="40"/>
      <c r="C58" s="463" t="s">
        <v>0</v>
      </c>
      <c r="D58" s="584">
        <f>L41</f>
        <v>1393.8648478784555</v>
      </c>
      <c r="E58" s="552">
        <f t="shared" si="50"/>
        <v>0.68149424643156775</v>
      </c>
      <c r="H58" s="583"/>
      <c r="Y58" s="584">
        <f>AG41</f>
        <v>128.61892342694512</v>
      </c>
      <c r="Z58" s="552">
        <f t="shared" si="51"/>
        <v>0.68559613327669255</v>
      </c>
      <c r="AT58" s="584">
        <f>BB41</f>
        <v>30.289806947753849</v>
      </c>
      <c r="AU58" s="552">
        <f t="shared" si="55"/>
        <v>0.93067633692705787</v>
      </c>
      <c r="BO58" s="585">
        <f t="shared" si="49"/>
        <v>1552.7735782531547</v>
      </c>
      <c r="BR58" s="35"/>
      <c r="BS58" s="35"/>
      <c r="BT58" s="205">
        <f>BT57/(BT57+BY57+CD57)</f>
        <v>0.89962767958797818</v>
      </c>
      <c r="BU58" s="205"/>
      <c r="BV58" s="205">
        <f>BV57/(BV57+CA57+CF57)</f>
        <v>0.89677333203657572</v>
      </c>
      <c r="BW58" s="35"/>
      <c r="BX58" s="35"/>
      <c r="BY58" s="205">
        <f>BY57/(BT57+BY57+CD57)</f>
        <v>8.7378626101114326E-2</v>
      </c>
      <c r="BZ58" s="205"/>
      <c r="CA58" s="205">
        <f>CA57/(BV57+CA57+CF57)</f>
        <v>8.8911964346396033E-2</v>
      </c>
      <c r="CB58" s="35"/>
      <c r="CC58" s="35"/>
      <c r="CD58" s="205">
        <f>CD57/(BT57+CA57+CD57)</f>
        <v>5.0068095838154978E-4</v>
      </c>
      <c r="CE58" s="205"/>
      <c r="CF58" s="205">
        <f>CF57/(BV57+CB57+CF57)</f>
        <v>1.4470146855626559E-2</v>
      </c>
      <c r="CG58" s="35"/>
      <c r="CH58" s="35"/>
      <c r="CI58" s="35"/>
    </row>
    <row r="59" spans="2:88" ht="56.1" customHeight="1" x14ac:dyDescent="0.2">
      <c r="B59" s="40"/>
      <c r="C59" s="40"/>
      <c r="H59" s="583"/>
    </row>
    <row r="60" spans="2:88" ht="105" x14ac:dyDescent="0.2">
      <c r="B60" s="40"/>
      <c r="C60" s="443" t="s">
        <v>37</v>
      </c>
      <c r="D60" s="444" t="s">
        <v>363</v>
      </c>
      <c r="E60" s="415" t="s">
        <v>366</v>
      </c>
      <c r="F60" s="416" t="s">
        <v>367</v>
      </c>
      <c r="G60" s="416" t="s">
        <v>364</v>
      </c>
      <c r="H60" s="583"/>
      <c r="Y60" s="444" t="s">
        <v>363</v>
      </c>
      <c r="Z60" s="415" t="s">
        <v>366</v>
      </c>
      <c r="AA60" s="416" t="s">
        <v>367</v>
      </c>
      <c r="AB60" s="416" t="s">
        <v>364</v>
      </c>
      <c r="AT60" s="444" t="s">
        <v>363</v>
      </c>
      <c r="AU60" s="415" t="s">
        <v>366</v>
      </c>
      <c r="AV60" s="416" t="s">
        <v>367</v>
      </c>
      <c r="AW60" s="416" t="s">
        <v>364</v>
      </c>
      <c r="BR60" s="586" t="s">
        <v>181</v>
      </c>
      <c r="BS60" s="569"/>
      <c r="BT60" s="569"/>
      <c r="BU60" s="569"/>
      <c r="BV60" s="569"/>
      <c r="BW60" s="587"/>
      <c r="BX60" s="587"/>
      <c r="BY60" s="587"/>
      <c r="BZ60" s="587"/>
      <c r="CA60" s="587"/>
      <c r="CB60" s="587"/>
      <c r="CC60" s="569"/>
    </row>
    <row r="61" spans="2:88" x14ac:dyDescent="0.2">
      <c r="B61" s="40"/>
      <c r="C61" s="447" t="s">
        <v>353</v>
      </c>
      <c r="D61" s="400">
        <f t="shared" ref="D61:D71" si="59">K8</f>
        <v>20.510825333333333</v>
      </c>
      <c r="E61" s="588"/>
      <c r="F61" s="589"/>
      <c r="G61" s="590"/>
      <c r="H61" s="583"/>
      <c r="Y61" s="400">
        <f>Z30</f>
        <v>13.140333333333333</v>
      </c>
      <c r="Z61" s="588"/>
      <c r="AA61" s="589"/>
      <c r="AB61" s="590"/>
      <c r="AT61" s="458"/>
      <c r="AU61" s="588"/>
      <c r="AV61" s="589"/>
      <c r="AW61" s="590"/>
      <c r="BR61" s="591" t="s">
        <v>272</v>
      </c>
      <c r="BS61" s="592" t="s">
        <v>273</v>
      </c>
      <c r="BT61" s="593" t="s">
        <v>274</v>
      </c>
      <c r="BU61" s="953">
        <v>42779.770833333336</v>
      </c>
      <c r="BV61" s="953"/>
      <c r="BW61" s="953">
        <v>42778.8125</v>
      </c>
      <c r="BX61" s="953"/>
      <c r="BY61" s="953">
        <v>42780.8125</v>
      </c>
      <c r="BZ61" s="953"/>
      <c r="CA61" s="953" t="s">
        <v>275</v>
      </c>
      <c r="CB61" s="953"/>
      <c r="CC61" s="594" t="s">
        <v>276</v>
      </c>
    </row>
    <row r="62" spans="2:88" x14ac:dyDescent="0.2">
      <c r="B62" s="40"/>
      <c r="C62" s="448" t="s">
        <v>358</v>
      </c>
      <c r="D62" s="174">
        <f t="shared" si="59"/>
        <v>319.8898226666667</v>
      </c>
      <c r="E62" s="595"/>
      <c r="F62" s="572">
        <f>F31</f>
        <v>319.8898226666667</v>
      </c>
      <c r="G62" s="581"/>
      <c r="H62" s="583"/>
      <c r="Y62" s="174">
        <f>Z31</f>
        <v>18.243507999999999</v>
      </c>
      <c r="Z62" s="595"/>
      <c r="AA62" s="596">
        <f t="shared" ref="AA62:AA71" si="60">Y62-Z62</f>
        <v>18.243507999999999</v>
      </c>
      <c r="AB62" s="581"/>
      <c r="AT62" s="459"/>
      <c r="AU62" s="595"/>
      <c r="AV62" s="597"/>
      <c r="AW62" s="581"/>
      <c r="BR62" s="598"/>
      <c r="BS62" s="599"/>
      <c r="BT62" s="600"/>
      <c r="BU62" s="601" t="s">
        <v>277</v>
      </c>
      <c r="BV62" s="602" t="s">
        <v>278</v>
      </c>
      <c r="BW62" s="601" t="s">
        <v>277</v>
      </c>
      <c r="BX62" s="602" t="s">
        <v>278</v>
      </c>
      <c r="BY62" s="601" t="s">
        <v>277</v>
      </c>
      <c r="BZ62" s="602" t="s">
        <v>278</v>
      </c>
      <c r="CA62" s="601" t="s">
        <v>277</v>
      </c>
      <c r="CB62" s="602" t="s">
        <v>278</v>
      </c>
      <c r="CC62" s="603"/>
    </row>
    <row r="63" spans="2:88" x14ac:dyDescent="0.2">
      <c r="B63" s="40"/>
      <c r="C63" s="448" t="s">
        <v>234</v>
      </c>
      <c r="D63" s="174">
        <f t="shared" si="59"/>
        <v>24.968584000000003</v>
      </c>
      <c r="E63" s="604">
        <f>I32</f>
        <v>8.9475170567446618</v>
      </c>
      <c r="F63" s="572">
        <f>F32</f>
        <v>16.021066943255342</v>
      </c>
      <c r="G63" s="605">
        <f>H32</f>
        <v>16.021066943255342</v>
      </c>
      <c r="H63" s="583"/>
      <c r="Y63" s="174">
        <f>Z32</f>
        <v>15.572506666666664</v>
      </c>
      <c r="Z63" s="606">
        <f>$Z$73*Y63/(Y$63+Y$67+Y$68+Y$69+Y$70+Y$71)</f>
        <v>3.0676808389563424</v>
      </c>
      <c r="AA63" s="596">
        <f t="shared" si="60"/>
        <v>12.504825827710322</v>
      </c>
      <c r="AB63" s="607">
        <f>AA63</f>
        <v>12.504825827710322</v>
      </c>
      <c r="AT63" s="459"/>
      <c r="AU63" s="595"/>
      <c r="AV63" s="597"/>
      <c r="AW63" s="581"/>
      <c r="BR63" s="608" t="s">
        <v>279</v>
      </c>
      <c r="BS63" s="609"/>
      <c r="BT63" s="610"/>
      <c r="BU63" s="611">
        <v>2659</v>
      </c>
      <c r="BV63" s="612"/>
      <c r="BW63" s="611">
        <v>2556</v>
      </c>
      <c r="BX63" s="612"/>
      <c r="BY63" s="611">
        <v>2520</v>
      </c>
      <c r="BZ63" s="612"/>
      <c r="CA63" s="611">
        <v>2578.3333333333335</v>
      </c>
      <c r="CB63" s="612"/>
      <c r="CC63" s="613"/>
    </row>
    <row r="64" spans="2:88" x14ac:dyDescent="0.2">
      <c r="B64" s="40"/>
      <c r="C64" s="737" t="s">
        <v>285</v>
      </c>
      <c r="D64" s="174">
        <f t="shared" si="59"/>
        <v>0.67679333333333336</v>
      </c>
      <c r="E64" s="604">
        <f>I33</f>
        <v>0.2425295681121154</v>
      </c>
      <c r="F64" s="572">
        <f>F33</f>
        <v>0.43426376522121796</v>
      </c>
      <c r="G64" s="605">
        <f>H33</f>
        <v>0.43426376522121796</v>
      </c>
      <c r="H64" s="583"/>
      <c r="Y64" s="174"/>
      <c r="Z64" s="606"/>
      <c r="AA64" s="596"/>
      <c r="AB64" s="607"/>
      <c r="AT64" s="459"/>
      <c r="AU64" s="595"/>
      <c r="AV64" s="597"/>
      <c r="AW64" s="581"/>
      <c r="BR64" s="614"/>
      <c r="BS64" s="615"/>
      <c r="BT64" s="615"/>
      <c r="BU64" s="611"/>
      <c r="BV64" s="612"/>
      <c r="BW64" s="611"/>
      <c r="BX64" s="612"/>
      <c r="BY64" s="611"/>
      <c r="BZ64" s="612"/>
      <c r="CA64" s="611"/>
      <c r="CB64" s="612"/>
      <c r="CC64" s="616"/>
    </row>
    <row r="65" spans="2:81" x14ac:dyDescent="0.2">
      <c r="B65" s="40"/>
      <c r="C65" s="448" t="s">
        <v>354</v>
      </c>
      <c r="D65" s="174">
        <f t="shared" si="59"/>
        <v>0</v>
      </c>
      <c r="E65" s="595"/>
      <c r="F65" s="581"/>
      <c r="G65" s="581"/>
      <c r="H65" s="583"/>
      <c r="Y65" s="174">
        <f t="shared" ref="Y65:Y71" si="61">Z34</f>
        <v>1</v>
      </c>
      <c r="Z65" s="595"/>
      <c r="AA65" s="596">
        <f t="shared" si="60"/>
        <v>1</v>
      </c>
      <c r="AB65" s="581"/>
      <c r="AT65" s="459"/>
      <c r="AU65" s="595"/>
      <c r="AV65" s="597"/>
      <c r="AW65" s="581"/>
      <c r="BR65" s="617" t="s">
        <v>113</v>
      </c>
      <c r="BS65" s="617" t="s">
        <v>71</v>
      </c>
      <c r="BT65" s="618" t="s">
        <v>280</v>
      </c>
      <c r="BU65" s="619">
        <v>19.663536000000001</v>
      </c>
      <c r="BV65" s="620">
        <v>20.575200051918866</v>
      </c>
      <c r="BW65" s="619">
        <v>21.593880000000002</v>
      </c>
      <c r="BX65" s="620">
        <v>22.280976135669032</v>
      </c>
      <c r="BY65" s="619">
        <v>20.27506</v>
      </c>
      <c r="BZ65" s="620">
        <v>20.730857751110666</v>
      </c>
      <c r="CA65" s="619">
        <v>20.510825333333333</v>
      </c>
      <c r="CB65" s="620">
        <v>21.195677979566188</v>
      </c>
      <c r="CC65" s="621">
        <v>0.96768904269572831</v>
      </c>
    </row>
    <row r="66" spans="2:81" x14ac:dyDescent="0.2">
      <c r="B66" s="40"/>
      <c r="C66" s="448" t="s">
        <v>359</v>
      </c>
      <c r="D66" s="174">
        <f t="shared" si="59"/>
        <v>47.012581333333323</v>
      </c>
      <c r="E66" s="595"/>
      <c r="F66" s="572">
        <f t="shared" ref="F66:F71" si="62">F35</f>
        <v>47.012581333333323</v>
      </c>
      <c r="G66" s="581"/>
      <c r="H66" s="583"/>
      <c r="Y66" s="174">
        <f t="shared" si="61"/>
        <v>0.85133333333333339</v>
      </c>
      <c r="Z66" s="595"/>
      <c r="AA66" s="596">
        <f t="shared" si="60"/>
        <v>0.85133333333333339</v>
      </c>
      <c r="AB66" s="581"/>
      <c r="AT66" s="459"/>
      <c r="AU66" s="595"/>
      <c r="AV66" s="597"/>
      <c r="AW66" s="581"/>
      <c r="BR66" s="616" t="s">
        <v>113</v>
      </c>
      <c r="BS66" s="616" t="s">
        <v>71</v>
      </c>
      <c r="BT66" s="622" t="s">
        <v>281</v>
      </c>
      <c r="BU66" s="611">
        <v>278.75762800000001</v>
      </c>
      <c r="BV66" s="623">
        <v>347.79949332077786</v>
      </c>
      <c r="BW66" s="611">
        <v>322.18901599999998</v>
      </c>
      <c r="BX66" s="623">
        <v>391.6657175989402</v>
      </c>
      <c r="BY66" s="611">
        <v>299.136212</v>
      </c>
      <c r="BZ66" s="623">
        <v>358.74624336590495</v>
      </c>
      <c r="CA66" s="611">
        <v>300.02761866666668</v>
      </c>
      <c r="CB66" s="623">
        <v>366.0704847618743</v>
      </c>
      <c r="CC66" s="624">
        <v>0.81958975431147385</v>
      </c>
    </row>
    <row r="67" spans="2:81" x14ac:dyDescent="0.2">
      <c r="B67" s="40"/>
      <c r="C67" s="448" t="s">
        <v>235</v>
      </c>
      <c r="D67" s="174">
        <f t="shared" si="59"/>
        <v>42.597916666666663</v>
      </c>
      <c r="E67" s="604">
        <f>I36</f>
        <v>15.265006055481065</v>
      </c>
      <c r="F67" s="572">
        <f t="shared" si="62"/>
        <v>27.3329106111856</v>
      </c>
      <c r="G67" s="605">
        <f>H36</f>
        <v>27.3329106111856</v>
      </c>
      <c r="H67" s="583"/>
      <c r="Y67" s="174">
        <f t="shared" si="61"/>
        <v>0</v>
      </c>
      <c r="Z67" s="606">
        <f>$Z$73*Y67/(Y$63+Y$67+Y$68+Y$69+Y$70+Y$71)</f>
        <v>0</v>
      </c>
      <c r="AA67" s="596">
        <f t="shared" si="60"/>
        <v>0</v>
      </c>
      <c r="AB67" s="607">
        <f t="shared" ref="AB67:AB71" si="63">AA67</f>
        <v>0</v>
      </c>
      <c r="AT67" s="459"/>
      <c r="AU67" s="595"/>
      <c r="AV67" s="597"/>
      <c r="AW67" s="581"/>
      <c r="BR67" s="616" t="s">
        <v>113</v>
      </c>
      <c r="BS67" s="616" t="s">
        <v>71</v>
      </c>
      <c r="BT67" s="622" t="s">
        <v>282</v>
      </c>
      <c r="BU67" s="611">
        <v>13.908908</v>
      </c>
      <c r="BV67" s="623">
        <v>29.868561147810162</v>
      </c>
      <c r="BW67" s="611">
        <v>28.363752000000002</v>
      </c>
      <c r="BX67" s="623">
        <v>43.916019139045012</v>
      </c>
      <c r="BY67" s="611">
        <v>17.313952</v>
      </c>
      <c r="BZ67" s="623">
        <v>32.973627986485504</v>
      </c>
      <c r="CA67" s="611">
        <v>19.862204000000002</v>
      </c>
      <c r="CB67" s="623">
        <v>35.58606942444689</v>
      </c>
      <c r="CC67" s="624">
        <v>0.55814548561395994</v>
      </c>
    </row>
    <row r="68" spans="2:81" x14ac:dyDescent="0.2">
      <c r="B68" s="40"/>
      <c r="C68" s="448" t="s">
        <v>236</v>
      </c>
      <c r="D68" s="174">
        <f t="shared" si="59"/>
        <v>71.078209333333348</v>
      </c>
      <c r="E68" s="604">
        <f>I37</f>
        <v>25.470947426288475</v>
      </c>
      <c r="F68" s="572">
        <f t="shared" si="62"/>
        <v>45.607261907044872</v>
      </c>
      <c r="G68" s="605">
        <f>H37</f>
        <v>45.607261907044872</v>
      </c>
      <c r="H68" s="583"/>
      <c r="Y68" s="174">
        <f t="shared" si="61"/>
        <v>2.3206000000000002</v>
      </c>
      <c r="Z68" s="606">
        <f>$Z$73*Y68/(Y$63+Y$67+Y$68+Y$69+Y$70+Y$71)</f>
        <v>0.45714285485715572</v>
      </c>
      <c r="AA68" s="596">
        <f t="shared" si="60"/>
        <v>1.8634571451428446</v>
      </c>
      <c r="AB68" s="607">
        <f t="shared" si="63"/>
        <v>1.8634571451428446</v>
      </c>
      <c r="AT68" s="459"/>
      <c r="AU68" s="595"/>
      <c r="AV68" s="597"/>
      <c r="AW68" s="581"/>
      <c r="BR68" s="616" t="s">
        <v>113</v>
      </c>
      <c r="BS68" s="616" t="s">
        <v>71</v>
      </c>
      <c r="BT68" s="622" t="s">
        <v>283</v>
      </c>
      <c r="BU68" s="611">
        <v>27.375976000000001</v>
      </c>
      <c r="BV68" s="623">
        <v>32.970559437926248</v>
      </c>
      <c r="BW68" s="611">
        <v>26.128391999999998</v>
      </c>
      <c r="BX68" s="623">
        <v>31.702832682872177</v>
      </c>
      <c r="BY68" s="611">
        <v>21.401384000000004</v>
      </c>
      <c r="BZ68" s="623">
        <v>25.858531798400051</v>
      </c>
      <c r="CA68" s="611">
        <v>24.968584000000003</v>
      </c>
      <c r="CB68" s="623">
        <v>30.17730797306616</v>
      </c>
      <c r="CC68" s="624">
        <v>0.8273960030591514</v>
      </c>
    </row>
    <row r="69" spans="2:81" x14ac:dyDescent="0.2">
      <c r="B69" s="40"/>
      <c r="C69" s="448" t="s">
        <v>237</v>
      </c>
      <c r="D69" s="174">
        <f t="shared" si="59"/>
        <v>25.666686444021664</v>
      </c>
      <c r="E69" s="604">
        <f>I38</f>
        <v>9.197682765991086</v>
      </c>
      <c r="F69" s="572">
        <f t="shared" si="62"/>
        <v>16.469003678030578</v>
      </c>
      <c r="G69" s="605">
        <f>H38</f>
        <v>16.469003678030578</v>
      </c>
      <c r="H69" s="583"/>
      <c r="Y69" s="174">
        <f t="shared" si="61"/>
        <v>1.4099486269087584</v>
      </c>
      <c r="Z69" s="606">
        <f>$Z$73*Y69/(Y$63+Y$67+Y$68+Y$69+Y$70+Y$71)</f>
        <v>0.27775055610919441</v>
      </c>
      <c r="AA69" s="596">
        <f t="shared" si="60"/>
        <v>1.132198070799564</v>
      </c>
      <c r="AB69" s="607">
        <f t="shared" si="63"/>
        <v>1.132198070799564</v>
      </c>
      <c r="AT69" s="459"/>
      <c r="AU69" s="595"/>
      <c r="AV69" s="597"/>
      <c r="AW69" s="597"/>
      <c r="BR69" s="616" t="s">
        <v>113</v>
      </c>
      <c r="BS69" s="613" t="s">
        <v>71</v>
      </c>
      <c r="BT69" s="625" t="s">
        <v>284</v>
      </c>
      <c r="BU69" s="626">
        <v>0.78477999999999992</v>
      </c>
      <c r="BV69" s="627">
        <v>0.96711826132050693</v>
      </c>
      <c r="BW69" s="626">
        <v>0.31442000000000003</v>
      </c>
      <c r="BX69" s="627">
        <v>0.43428975212118098</v>
      </c>
      <c r="BY69" s="626">
        <v>0.9311799999999999</v>
      </c>
      <c r="BZ69" s="627">
        <v>1.1130000514087661</v>
      </c>
      <c r="CA69" s="626">
        <v>0.67679333333333336</v>
      </c>
      <c r="CB69" s="627">
        <v>0.83813602161681811</v>
      </c>
      <c r="CC69" s="628">
        <v>0.80749820539601158</v>
      </c>
    </row>
    <row r="70" spans="2:81" x14ac:dyDescent="0.2">
      <c r="B70" s="40"/>
      <c r="C70" s="448" t="s">
        <v>239</v>
      </c>
      <c r="D70" s="174">
        <f t="shared" si="59"/>
        <v>99.040579219748082</v>
      </c>
      <c r="E70" s="604">
        <f>I39</f>
        <v>35.491290650625871</v>
      </c>
      <c r="F70" s="572">
        <f t="shared" si="62"/>
        <v>63.549288569122211</v>
      </c>
      <c r="G70" s="605">
        <f>H39</f>
        <v>63.549288569122211</v>
      </c>
      <c r="H70" s="583"/>
      <c r="Y70" s="174">
        <f t="shared" si="61"/>
        <v>6.4444347551385084</v>
      </c>
      <c r="Z70" s="606">
        <f>$Z$73*Y70/(Y$63+Y$67+Y$68+Y$69+Y$70+Y$71)</f>
        <v>1.269511032450527</v>
      </c>
      <c r="AA70" s="596">
        <f t="shared" si="60"/>
        <v>5.1749237226879812</v>
      </c>
      <c r="AB70" s="607">
        <f t="shared" si="63"/>
        <v>5.1749237226879812</v>
      </c>
      <c r="AT70" s="174">
        <f>AU39</f>
        <v>2.2562090472008212</v>
      </c>
      <c r="AU70" s="595"/>
      <c r="AV70" s="597"/>
      <c r="AW70" s="596">
        <f>AT70</f>
        <v>2.2562090472008212</v>
      </c>
      <c r="BR70" s="616" t="s">
        <v>113</v>
      </c>
      <c r="BS70" s="617" t="s">
        <v>72</v>
      </c>
      <c r="BT70" s="618" t="s">
        <v>280</v>
      </c>
      <c r="BU70" s="619">
        <v>11.58042</v>
      </c>
      <c r="BV70" s="620">
        <v>35.406342929586565</v>
      </c>
      <c r="BW70" s="619">
        <v>15.365959999999999</v>
      </c>
      <c r="BX70" s="620">
        <v>29.081642434212672</v>
      </c>
      <c r="BY70" s="619">
        <v>12.474620000000002</v>
      </c>
      <c r="BZ70" s="620">
        <v>29.594499284548846</v>
      </c>
      <c r="CA70" s="619">
        <v>13.140333333333333</v>
      </c>
      <c r="CB70" s="620">
        <v>31.36082821611603</v>
      </c>
      <c r="CC70" s="621">
        <v>0.41900466539913128</v>
      </c>
    </row>
    <row r="71" spans="2:81" x14ac:dyDescent="0.2">
      <c r="B71" s="40"/>
      <c r="C71" s="449" t="s">
        <v>240</v>
      </c>
      <c r="D71" s="174">
        <f t="shared" si="59"/>
        <v>1393.8648478784555</v>
      </c>
      <c r="E71" s="604">
        <f>I40</f>
        <v>499.49286275862829</v>
      </c>
      <c r="F71" s="572">
        <f t="shared" si="62"/>
        <v>894.37198511982729</v>
      </c>
      <c r="G71" s="605">
        <f>H40</f>
        <v>894.37198511982729</v>
      </c>
      <c r="H71" s="583"/>
      <c r="Y71" s="174">
        <f t="shared" si="61"/>
        <v>128.61892342694512</v>
      </c>
      <c r="Z71" s="328">
        <f>$Z$73*Y71/(Y$63+Y$67+Y$68+Y$69+Y$70+Y$71)</f>
        <v>25.337077412758592</v>
      </c>
      <c r="AA71" s="629">
        <f t="shared" si="60"/>
        <v>103.28184601418653</v>
      </c>
      <c r="AB71" s="630">
        <f t="shared" si="63"/>
        <v>103.28184601418653</v>
      </c>
      <c r="AT71" s="174">
        <f>AU40</f>
        <v>30.289806947753849</v>
      </c>
      <c r="AU71" s="595"/>
      <c r="AV71" s="597"/>
      <c r="AW71" s="607">
        <f>AT71</f>
        <v>30.289806947753849</v>
      </c>
      <c r="BR71" s="616" t="s">
        <v>113</v>
      </c>
      <c r="BS71" s="616" t="s">
        <v>72</v>
      </c>
      <c r="BT71" s="622" t="s">
        <v>281</v>
      </c>
      <c r="BU71" s="611">
        <v>13.648712</v>
      </c>
      <c r="BV71" s="623">
        <v>14.342444776686071</v>
      </c>
      <c r="BW71" s="611">
        <v>12.115452000000001</v>
      </c>
      <c r="BX71" s="623">
        <v>12.945732298643259</v>
      </c>
      <c r="BY71" s="611">
        <v>8.9121600000000001</v>
      </c>
      <c r="BZ71" s="623">
        <v>8.9123006159855311</v>
      </c>
      <c r="CA71" s="611">
        <v>11.558774666666666</v>
      </c>
      <c r="CB71" s="623">
        <v>12.066825897104954</v>
      </c>
      <c r="CC71" s="624">
        <v>0.95789686245823957</v>
      </c>
    </row>
    <row r="72" spans="2:81" x14ac:dyDescent="0.2">
      <c r="B72" s="40"/>
      <c r="C72" s="40" t="s">
        <v>4</v>
      </c>
      <c r="D72" s="402">
        <f>SUM(D61:D71)</f>
        <v>2045.3068462088922</v>
      </c>
      <c r="E72" s="173">
        <f t="shared" ref="E72:G72" si="64">SUM(E61:E71)</f>
        <v>594.10783628187153</v>
      </c>
      <c r="F72" s="173">
        <f t="shared" si="64"/>
        <v>1430.6881845936871</v>
      </c>
      <c r="G72" s="173">
        <f t="shared" si="64"/>
        <v>1063.7857805936872</v>
      </c>
      <c r="H72" s="583"/>
      <c r="Y72" s="402">
        <f>SUM(Y61:Y71)</f>
        <v>187.60158814232571</v>
      </c>
      <c r="Z72" s="173">
        <f t="shared" ref="Z72" si="65">SUM(Z61:Z71)</f>
        <v>30.409162695131812</v>
      </c>
      <c r="AA72" s="173">
        <f t="shared" ref="AA72" si="66">SUM(AA61:AA71)</f>
        <v>144.05209211386057</v>
      </c>
      <c r="AB72" s="173">
        <f t="shared" ref="AB72" si="67">SUM(AB61:AB71)</f>
        <v>123.95725078052723</v>
      </c>
      <c r="AT72" s="402">
        <f>SUM(AT61:AT71)</f>
        <v>32.546015994954672</v>
      </c>
      <c r="AU72" s="173">
        <f t="shared" ref="AU72" si="68">SUM(AU61:AU71)</f>
        <v>0</v>
      </c>
      <c r="AV72" s="173">
        <f t="shared" ref="AV72" si="69">SUM(AV61:AV71)</f>
        <v>0</v>
      </c>
      <c r="AW72" s="173">
        <f t="shared" ref="AW72" si="70">SUM(AW61:AW71)</f>
        <v>32.546015994954672</v>
      </c>
      <c r="BR72" s="616" t="s">
        <v>113</v>
      </c>
      <c r="BS72" s="616" t="s">
        <v>72</v>
      </c>
      <c r="BT72" s="622" t="s">
        <v>282</v>
      </c>
      <c r="BU72" s="611">
        <v>6.4731199999999998</v>
      </c>
      <c r="BV72" s="623">
        <v>6.6044581482417701</v>
      </c>
      <c r="BW72" s="611">
        <v>7.3134799999999993</v>
      </c>
      <c r="BX72" s="623">
        <v>7.4575743557773952</v>
      </c>
      <c r="BY72" s="611">
        <v>6.2676000000000007</v>
      </c>
      <c r="BZ72" s="623">
        <v>6.3969669805885294</v>
      </c>
      <c r="CA72" s="611">
        <v>6.6847333333333339</v>
      </c>
      <c r="CB72" s="623">
        <v>6.8196664948692316</v>
      </c>
      <c r="CC72" s="624">
        <v>0.98021411140304082</v>
      </c>
    </row>
    <row r="73" spans="2:81" x14ac:dyDescent="0.2">
      <c r="B73" s="40"/>
      <c r="C73" s="631" t="s">
        <v>44</v>
      </c>
      <c r="D73" s="632">
        <f>K19</f>
        <v>2045.3068462088922</v>
      </c>
      <c r="E73" s="632">
        <f>D55</f>
        <v>594.10783628187153</v>
      </c>
      <c r="F73" s="632">
        <f>D52</f>
        <v>1430.6881845936871</v>
      </c>
      <c r="G73" s="632">
        <f>D54</f>
        <v>1063.7857805936872</v>
      </c>
      <c r="H73" s="583"/>
      <c r="Y73" s="632">
        <f>AF19</f>
        <v>187.60158814232571</v>
      </c>
      <c r="Z73" s="632">
        <f>Y55</f>
        <v>30.409162695131812</v>
      </c>
      <c r="AA73" s="632">
        <f>Y52</f>
        <v>143.05209211386057</v>
      </c>
      <c r="AB73" s="632">
        <f>Y54</f>
        <v>123.95725078052725</v>
      </c>
      <c r="AT73" s="632">
        <f>BA19</f>
        <v>32.546015994954672</v>
      </c>
      <c r="AU73" s="632">
        <f>AT55</f>
        <v>0</v>
      </c>
      <c r="AV73" s="632">
        <f>AT52</f>
        <v>0</v>
      </c>
      <c r="AW73" s="632">
        <f>AT54</f>
        <v>0</v>
      </c>
      <c r="BR73" s="616" t="s">
        <v>113</v>
      </c>
      <c r="BS73" s="616" t="s">
        <v>72</v>
      </c>
      <c r="BT73" s="622" t="s">
        <v>283</v>
      </c>
      <c r="BU73" s="611">
        <v>15.72888</v>
      </c>
      <c r="BV73" s="623">
        <v>21.061308494575698</v>
      </c>
      <c r="BW73" s="611">
        <v>13.715560000000002</v>
      </c>
      <c r="BX73" s="623">
        <v>15.903634982083304</v>
      </c>
      <c r="BY73" s="611">
        <v>17.273079999999997</v>
      </c>
      <c r="BZ73" s="623">
        <v>19.839204201209352</v>
      </c>
      <c r="CA73" s="611">
        <v>15.572506666666664</v>
      </c>
      <c r="CB73" s="623">
        <v>18.934715892622787</v>
      </c>
      <c r="CC73" s="624">
        <v>0.82243149329396148</v>
      </c>
    </row>
    <row r="74" spans="2:81" x14ac:dyDescent="0.2">
      <c r="B74" s="40"/>
      <c r="AT74" s="632"/>
      <c r="BR74" s="613" t="s">
        <v>113</v>
      </c>
      <c r="BS74" s="613" t="s">
        <v>72</v>
      </c>
      <c r="BT74" s="625" t="s">
        <v>284</v>
      </c>
      <c r="BU74" s="633">
        <v>0</v>
      </c>
      <c r="BV74" s="634">
        <v>0</v>
      </c>
      <c r="BW74" s="633">
        <v>0</v>
      </c>
      <c r="BX74" s="634">
        <v>0</v>
      </c>
      <c r="BY74" s="633">
        <v>0</v>
      </c>
      <c r="BZ74" s="634">
        <v>0</v>
      </c>
      <c r="CA74" s="633">
        <v>0</v>
      </c>
      <c r="CB74" s="634">
        <v>0</v>
      </c>
      <c r="CC74" s="635"/>
    </row>
    <row r="75" spans="2:81" x14ac:dyDescent="0.2">
      <c r="BR75" s="617" t="s">
        <v>114</v>
      </c>
      <c r="BS75" s="617" t="s">
        <v>71</v>
      </c>
      <c r="BT75" s="618" t="s">
        <v>280</v>
      </c>
      <c r="BU75" s="636">
        <v>0</v>
      </c>
      <c r="BV75" s="637">
        <v>0</v>
      </c>
      <c r="BW75" s="636">
        <v>0</v>
      </c>
      <c r="BX75" s="637">
        <v>0</v>
      </c>
      <c r="BY75" s="636">
        <v>0</v>
      </c>
      <c r="BZ75" s="637">
        <v>0</v>
      </c>
      <c r="CA75" s="636">
        <v>0</v>
      </c>
      <c r="CB75" s="637">
        <v>0</v>
      </c>
      <c r="CC75" s="638"/>
    </row>
    <row r="76" spans="2:81" ht="36" customHeight="1" x14ac:dyDescent="0.2">
      <c r="C76" s="443" t="s">
        <v>37</v>
      </c>
      <c r="D76" s="444" t="s">
        <v>355</v>
      </c>
      <c r="E76" s="416" t="s">
        <v>360</v>
      </c>
      <c r="F76" s="416" t="s">
        <v>361</v>
      </c>
      <c r="G76" s="416" t="s">
        <v>362</v>
      </c>
      <c r="H76" s="416" t="s">
        <v>357</v>
      </c>
      <c r="I76" s="416" t="s">
        <v>83</v>
      </c>
      <c r="J76" s="416" t="s">
        <v>84</v>
      </c>
      <c r="K76" s="416" t="s">
        <v>0</v>
      </c>
      <c r="Y76" s="444" t="s">
        <v>355</v>
      </c>
      <c r="Z76" s="416" t="s">
        <v>360</v>
      </c>
      <c r="AA76" s="416" t="s">
        <v>361</v>
      </c>
      <c r="AB76" s="416" t="s">
        <v>362</v>
      </c>
      <c r="AC76" s="416" t="s">
        <v>357</v>
      </c>
      <c r="AD76" s="416" t="s">
        <v>83</v>
      </c>
      <c r="AE76" s="416" t="s">
        <v>84</v>
      </c>
      <c r="AF76" s="416" t="s">
        <v>0</v>
      </c>
      <c r="AT76" s="444" t="s">
        <v>355</v>
      </c>
      <c r="AU76" s="416" t="s">
        <v>360</v>
      </c>
      <c r="AV76" s="416" t="s">
        <v>361</v>
      </c>
      <c r="AW76" s="416" t="s">
        <v>362</v>
      </c>
      <c r="AX76" s="416" t="s">
        <v>357</v>
      </c>
      <c r="AY76" s="416" t="s">
        <v>83</v>
      </c>
      <c r="AZ76" s="416" t="s">
        <v>84</v>
      </c>
      <c r="BA76" s="416" t="s">
        <v>0</v>
      </c>
      <c r="BD76" s="416"/>
      <c r="BE76" s="416" t="s">
        <v>0</v>
      </c>
      <c r="BF76" s="532"/>
      <c r="BG76" s="532"/>
      <c r="BH76" s="532"/>
      <c r="BI76" s="532"/>
      <c r="BJ76" s="532"/>
      <c r="BK76" s="532"/>
      <c r="BL76" s="532"/>
      <c r="BM76" s="532"/>
      <c r="BN76" s="532"/>
      <c r="BR76" s="616" t="s">
        <v>114</v>
      </c>
      <c r="BS76" s="616" t="s">
        <v>365</v>
      </c>
      <c r="BT76" s="622" t="s">
        <v>281</v>
      </c>
      <c r="BU76" s="611">
        <v>28.213003999999998</v>
      </c>
      <c r="BV76" s="623">
        <v>32.243670967305718</v>
      </c>
      <c r="BW76" s="611">
        <v>38.995156000000001</v>
      </c>
      <c r="BX76" s="623">
        <v>43.941789703376315</v>
      </c>
      <c r="BY76" s="611">
        <v>26.007095999999997</v>
      </c>
      <c r="BZ76" s="623">
        <v>29.186548973832728</v>
      </c>
      <c r="CA76" s="611">
        <v>31.071751999999993</v>
      </c>
      <c r="CB76" s="623">
        <v>35.124003214838254</v>
      </c>
      <c r="CC76" s="624">
        <v>0.88463014337937496</v>
      </c>
    </row>
    <row r="77" spans="2:81" x14ac:dyDescent="0.2">
      <c r="C77" s="639"/>
      <c r="D77" s="640">
        <f>D51</f>
        <v>2045.3068462088922</v>
      </c>
      <c r="E77" s="641">
        <f>D52</f>
        <v>1430.6881845936871</v>
      </c>
      <c r="F77" s="641">
        <f>D53</f>
        <v>1247.2369825936871</v>
      </c>
      <c r="G77" s="641">
        <f>D54</f>
        <v>1063.7857805936872</v>
      </c>
      <c r="H77" s="641">
        <f>D55</f>
        <v>594.10783628187153</v>
      </c>
      <c r="I77" s="641">
        <f>D56</f>
        <v>1590.327116208892</v>
      </c>
      <c r="J77" s="641">
        <f>D57</f>
        <v>1492.9054270982035</v>
      </c>
      <c r="K77" s="641">
        <f>D58</f>
        <v>1393.8648478784555</v>
      </c>
      <c r="Y77" s="640">
        <f>Y51</f>
        <v>187.60158814232571</v>
      </c>
      <c r="Z77" s="641">
        <f>Y52</f>
        <v>143.05209211386057</v>
      </c>
      <c r="AA77" s="641">
        <f>Y53</f>
        <v>133.93033811386056</v>
      </c>
      <c r="AB77" s="641">
        <f>Y54</f>
        <v>123.95725078052725</v>
      </c>
      <c r="AC77" s="641">
        <f>Y55</f>
        <v>30.409162695131812</v>
      </c>
      <c r="AD77" s="641">
        <f>Y56</f>
        <v>138.79390680899238</v>
      </c>
      <c r="AE77" s="641">
        <f>Y57</f>
        <v>135.06335818208362</v>
      </c>
      <c r="AF77" s="641">
        <f>Y58</f>
        <v>128.61892342694512</v>
      </c>
      <c r="AT77" s="640">
        <f>AT51</f>
        <v>0</v>
      </c>
      <c r="AU77" s="641">
        <f>AT52</f>
        <v>0</v>
      </c>
      <c r="AV77" s="641">
        <f>AT53</f>
        <v>0</v>
      </c>
      <c r="AW77" s="641">
        <f>AT54</f>
        <v>0</v>
      </c>
      <c r="AX77" s="641">
        <f>AT55</f>
        <v>0</v>
      </c>
      <c r="AY77" s="641">
        <f>AT56</f>
        <v>0</v>
      </c>
      <c r="AZ77" s="641">
        <f>AT57</f>
        <v>32.546015994954672</v>
      </c>
      <c r="BA77" s="641">
        <f>AT58</f>
        <v>30.289806947753849</v>
      </c>
      <c r="BD77" s="641"/>
      <c r="BE77" s="641">
        <f>AT58</f>
        <v>30.289806947753849</v>
      </c>
      <c r="BF77" s="899"/>
      <c r="BG77" s="899"/>
      <c r="BH77" s="899"/>
      <c r="BI77" s="899"/>
      <c r="BJ77" s="899"/>
      <c r="BK77" s="899"/>
      <c r="BL77" s="899"/>
      <c r="BM77" s="899"/>
      <c r="BN77" s="899"/>
      <c r="BR77" s="616" t="s">
        <v>114</v>
      </c>
      <c r="BS77" s="616" t="s">
        <v>71</v>
      </c>
      <c r="BT77" s="622" t="s">
        <v>282</v>
      </c>
      <c r="BU77" s="611">
        <v>13.790131999999996</v>
      </c>
      <c r="BV77" s="623">
        <v>14.954742169631469</v>
      </c>
      <c r="BW77" s="611">
        <v>20.044895999999994</v>
      </c>
      <c r="BX77" s="623">
        <v>21.837350520889068</v>
      </c>
      <c r="BY77" s="611">
        <v>13.987459999999997</v>
      </c>
      <c r="BZ77" s="623">
        <v>15.107175229994269</v>
      </c>
      <c r="CA77" s="611">
        <v>15.940829333333332</v>
      </c>
      <c r="CB77" s="623">
        <v>17.299755973504933</v>
      </c>
      <c r="CC77" s="624">
        <v>0.92144821913945862</v>
      </c>
    </row>
    <row r="78" spans="2:81" x14ac:dyDescent="0.2">
      <c r="C78" s="447" t="s">
        <v>353</v>
      </c>
      <c r="D78" s="642">
        <f t="shared" ref="D78:D88" si="71">E30/E$41</f>
        <v>1.0028238731685403E-2</v>
      </c>
      <c r="E78" s="643"/>
      <c r="F78" s="643"/>
      <c r="G78" s="643"/>
      <c r="H78" s="643"/>
      <c r="I78" s="643"/>
      <c r="J78" s="643"/>
      <c r="K78" s="643"/>
      <c r="Y78" s="642">
        <f t="shared" ref="Y78:Y88" si="72">Z30/Z$41</f>
        <v>7.0043827791928359E-2</v>
      </c>
      <c r="Z78" s="643"/>
      <c r="AA78" s="643"/>
      <c r="AB78" s="643"/>
      <c r="AC78" s="643"/>
      <c r="AD78" s="643"/>
      <c r="AE78" s="643"/>
      <c r="AF78" s="643"/>
      <c r="AT78" s="642">
        <f t="shared" ref="AT78:AT88" si="73">AU30/AU$41</f>
        <v>0</v>
      </c>
      <c r="AU78" s="643"/>
      <c r="AV78" s="643"/>
      <c r="AW78" s="643"/>
      <c r="AX78" s="643"/>
      <c r="AY78" s="643"/>
      <c r="AZ78" s="643"/>
      <c r="BA78" s="643"/>
      <c r="BD78" s="643"/>
      <c r="BE78" s="643"/>
      <c r="BF78" s="900"/>
      <c r="BG78" s="900"/>
      <c r="BH78" s="900"/>
      <c r="BI78" s="900"/>
      <c r="BJ78" s="900"/>
      <c r="BK78" s="900"/>
      <c r="BL78" s="900"/>
      <c r="BM78" s="900"/>
      <c r="BN78" s="900"/>
      <c r="BR78" s="616" t="s">
        <v>114</v>
      </c>
      <c r="BS78" s="616" t="s">
        <v>71</v>
      </c>
      <c r="BT78" s="622" t="s">
        <v>283</v>
      </c>
      <c r="BU78" s="611">
        <v>47.184065999999994</v>
      </c>
      <c r="BV78" s="623">
        <v>51.072275220506654</v>
      </c>
      <c r="BW78" s="611">
        <v>37.306161999999993</v>
      </c>
      <c r="BX78" s="623">
        <v>40.149827172846393</v>
      </c>
      <c r="BY78" s="611">
        <v>43.303521999999994</v>
      </c>
      <c r="BZ78" s="623">
        <v>46.929458698708927</v>
      </c>
      <c r="CA78" s="611">
        <v>42.597916666666663</v>
      </c>
      <c r="CB78" s="623">
        <v>46.050520364020656</v>
      </c>
      <c r="CC78" s="624">
        <v>0.92502573977314884</v>
      </c>
    </row>
    <row r="79" spans="2:81" x14ac:dyDescent="0.2">
      <c r="C79" s="448" t="s">
        <v>358</v>
      </c>
      <c r="D79" s="644">
        <f t="shared" si="71"/>
        <v>0.15640187351819757</v>
      </c>
      <c r="E79" s="645">
        <f t="shared" ref="E79:F81" si="74">F31/F$41</f>
        <v>0.22359157369955834</v>
      </c>
      <c r="F79" s="645">
        <f t="shared" si="74"/>
        <v>0.12823939120272115</v>
      </c>
      <c r="G79" s="646"/>
      <c r="H79" s="646"/>
      <c r="I79" s="646"/>
      <c r="J79" s="646"/>
      <c r="K79" s="646"/>
      <c r="Y79" s="644">
        <f t="shared" si="72"/>
        <v>9.7246021105958813E-2</v>
      </c>
      <c r="Z79" s="645">
        <f t="shared" ref="Z79:AA81" si="75">AA31/AA$41</f>
        <v>0.12753052213650465</v>
      </c>
      <c r="AA79" s="645">
        <f t="shared" si="75"/>
        <v>6.8108198101054312E-2</v>
      </c>
      <c r="AB79" s="646"/>
      <c r="AC79" s="646"/>
      <c r="AD79" s="646"/>
      <c r="AE79" s="646"/>
      <c r="AF79" s="646"/>
      <c r="AT79" s="644">
        <f t="shared" si="73"/>
        <v>0</v>
      </c>
      <c r="AU79" s="647"/>
      <c r="AV79" s="647"/>
      <c r="AW79" s="646"/>
      <c r="AX79" s="646"/>
      <c r="AY79" s="646"/>
      <c r="AZ79" s="646"/>
      <c r="BA79" s="646"/>
      <c r="BD79" s="646"/>
      <c r="BE79" s="646"/>
      <c r="BF79" s="901"/>
      <c r="BG79" s="901"/>
      <c r="BH79" s="901"/>
      <c r="BI79" s="901"/>
      <c r="BJ79" s="901"/>
      <c r="BK79" s="901"/>
      <c r="BL79" s="901"/>
      <c r="BM79" s="901"/>
      <c r="BN79" s="901"/>
      <c r="BR79" s="616" t="s">
        <v>114</v>
      </c>
      <c r="BS79" s="613" t="s">
        <v>71</v>
      </c>
      <c r="BT79" s="625" t="s">
        <v>284</v>
      </c>
      <c r="BU79" s="626">
        <v>78.319360000000003</v>
      </c>
      <c r="BV79" s="627">
        <v>84.987614422341494</v>
      </c>
      <c r="BW79" s="626">
        <v>58.800366000000004</v>
      </c>
      <c r="BX79" s="627">
        <v>63.770854253752915</v>
      </c>
      <c r="BY79" s="626">
        <v>76.114902000000015</v>
      </c>
      <c r="BZ79" s="627">
        <v>82.648003831550824</v>
      </c>
      <c r="CA79" s="626">
        <v>71.078209333333348</v>
      </c>
      <c r="CB79" s="627">
        <v>77.135490835881754</v>
      </c>
      <c r="CC79" s="628">
        <v>0.92147218567084443</v>
      </c>
    </row>
    <row r="80" spans="2:81" x14ac:dyDescent="0.2">
      <c r="C80" s="448" t="s">
        <v>234</v>
      </c>
      <c r="D80" s="644">
        <f t="shared" si="71"/>
        <v>1.220774479207405E-2</v>
      </c>
      <c r="E80" s="645">
        <f t="shared" si="74"/>
        <v>1.1198154227998532E-2</v>
      </c>
      <c r="F80" s="645">
        <f t="shared" si="74"/>
        <v>1.2845246867150131E-2</v>
      </c>
      <c r="G80" s="645">
        <f>H32/H$41</f>
        <v>1.5060425919882253E-2</v>
      </c>
      <c r="H80" s="645">
        <f>I32/I$41</f>
        <v>1.5060425919882256E-2</v>
      </c>
      <c r="I80" s="646"/>
      <c r="J80" s="646"/>
      <c r="K80" s="646"/>
      <c r="Y80" s="644">
        <f t="shared" si="72"/>
        <v>8.3008394656299153E-2</v>
      </c>
      <c r="Z80" s="645">
        <f t="shared" si="75"/>
        <v>8.708719424681699E-2</v>
      </c>
      <c r="AA80" s="645">
        <f t="shared" si="75"/>
        <v>9.3018546124644205E-2</v>
      </c>
      <c r="AB80" s="645">
        <f>AC32/AC$41</f>
        <v>0.10050243333801327</v>
      </c>
      <c r="AC80" s="645">
        <f>AD32/AD$41</f>
        <v>0.10241983196176369</v>
      </c>
      <c r="AD80" s="646"/>
      <c r="AE80" s="646"/>
      <c r="AF80" s="646"/>
      <c r="AT80" s="644">
        <f t="shared" si="73"/>
        <v>0</v>
      </c>
      <c r="AU80" s="647"/>
      <c r="AV80" s="647"/>
      <c r="AW80" s="647"/>
      <c r="AX80" s="647"/>
      <c r="AY80" s="647"/>
      <c r="AZ80" s="646"/>
      <c r="BA80" s="647"/>
      <c r="BD80" s="646"/>
      <c r="BE80" s="646"/>
      <c r="BF80" s="901"/>
      <c r="BG80" s="901"/>
      <c r="BH80" s="901"/>
      <c r="BI80" s="901"/>
      <c r="BJ80" s="901"/>
      <c r="BK80" s="901"/>
      <c r="BL80" s="901"/>
      <c r="BM80" s="901"/>
      <c r="BN80" s="901"/>
      <c r="BR80" s="616" t="s">
        <v>114</v>
      </c>
      <c r="BS80" s="617" t="s">
        <v>72</v>
      </c>
      <c r="BT80" s="618" t="s">
        <v>280</v>
      </c>
      <c r="BU80" s="636">
        <v>0</v>
      </c>
      <c r="BV80" s="637">
        <v>0</v>
      </c>
      <c r="BW80" s="636">
        <v>0</v>
      </c>
      <c r="BX80" s="637">
        <v>0</v>
      </c>
      <c r="BY80" s="636">
        <v>0</v>
      </c>
      <c r="BZ80" s="637">
        <v>0</v>
      </c>
      <c r="CA80" s="636">
        <v>0</v>
      </c>
      <c r="CB80" s="637">
        <v>0</v>
      </c>
      <c r="CC80" s="638"/>
    </row>
    <row r="81" spans="3:81" x14ac:dyDescent="0.2">
      <c r="C81" s="737" t="s">
        <v>285</v>
      </c>
      <c r="D81" s="648">
        <f t="shared" si="71"/>
        <v>3.3090063458586342E-4</v>
      </c>
      <c r="E81" s="649">
        <f t="shared" si="74"/>
        <v>3.0353487915645862E-4</v>
      </c>
      <c r="F81" s="649">
        <f t="shared" si="74"/>
        <v>3.481806355021211E-4</v>
      </c>
      <c r="G81" s="649">
        <f>H33/H$41</f>
        <v>4.0822482603486215E-4</v>
      </c>
      <c r="H81" s="649">
        <f>I33/I$41</f>
        <v>4.082248260348622E-4</v>
      </c>
      <c r="I81" s="649">
        <f>J33/J$41</f>
        <v>4.255686307774906E-4</v>
      </c>
      <c r="J81" s="646"/>
      <c r="K81" s="646"/>
      <c r="Y81" s="648">
        <f t="shared" si="72"/>
        <v>0</v>
      </c>
      <c r="Z81" s="649">
        <f t="shared" si="75"/>
        <v>0</v>
      </c>
      <c r="AA81" s="649">
        <f t="shared" si="75"/>
        <v>0</v>
      </c>
      <c r="AB81" s="649">
        <f>AC33/AC$41</f>
        <v>0</v>
      </c>
      <c r="AC81" s="649">
        <f>AD33/AD$41</f>
        <v>0</v>
      </c>
      <c r="AD81" s="649">
        <f>AE33/AE$41</f>
        <v>0</v>
      </c>
      <c r="AE81" s="646"/>
      <c r="AF81" s="646"/>
      <c r="AT81" s="648">
        <f t="shared" si="73"/>
        <v>0</v>
      </c>
      <c r="AU81" s="647"/>
      <c r="AV81" s="647"/>
      <c r="AW81" s="647"/>
      <c r="AX81" s="647"/>
      <c r="AY81" s="647"/>
      <c r="AZ81" s="646"/>
      <c r="BA81" s="647"/>
      <c r="BD81" s="646"/>
      <c r="BE81" s="646"/>
      <c r="BF81" s="901"/>
      <c r="BG81" s="901"/>
      <c r="BH81" s="901"/>
      <c r="BI81" s="901"/>
      <c r="BJ81" s="901"/>
      <c r="BK81" s="901"/>
      <c r="BL81" s="901"/>
      <c r="BM81" s="901"/>
      <c r="BN81" s="901"/>
      <c r="BR81" s="616" t="s">
        <v>114</v>
      </c>
      <c r="BS81" s="616" t="s">
        <v>72</v>
      </c>
      <c r="BT81" s="622" t="s">
        <v>281</v>
      </c>
      <c r="BU81" s="611">
        <v>0.78027999999999997</v>
      </c>
      <c r="BV81" s="623">
        <v>0.83347115055051491</v>
      </c>
      <c r="BW81" s="611">
        <v>0.81820000000000004</v>
      </c>
      <c r="BX81" s="623">
        <v>0.87986828559733898</v>
      </c>
      <c r="BY81" s="611">
        <v>0.79700000000000004</v>
      </c>
      <c r="BZ81" s="623">
        <v>0.85878950831970502</v>
      </c>
      <c r="CA81" s="611">
        <v>0.79849333333333339</v>
      </c>
      <c r="CB81" s="623">
        <v>0.85737631482251953</v>
      </c>
      <c r="CC81" s="624">
        <v>0.93132189393245002</v>
      </c>
    </row>
    <row r="82" spans="3:81" x14ac:dyDescent="0.2">
      <c r="C82" s="448" t="s">
        <v>354</v>
      </c>
      <c r="D82" s="644">
        <f t="shared" si="71"/>
        <v>0</v>
      </c>
      <c r="E82" s="650"/>
      <c r="F82" s="650"/>
      <c r="G82" s="650"/>
      <c r="H82" s="650"/>
      <c r="I82" s="646"/>
      <c r="J82" s="646"/>
      <c r="K82" s="646"/>
      <c r="Y82" s="644">
        <f t="shared" si="72"/>
        <v>5.3304452798200227E-3</v>
      </c>
      <c r="Z82" s="650"/>
      <c r="AA82" s="650"/>
      <c r="AB82" s="650"/>
      <c r="AC82" s="650"/>
      <c r="AD82" s="646"/>
      <c r="AE82" s="646"/>
      <c r="AF82" s="646"/>
      <c r="AT82" s="644">
        <f t="shared" si="73"/>
        <v>0</v>
      </c>
      <c r="AU82" s="650"/>
      <c r="AV82" s="650"/>
      <c r="AW82" s="650"/>
      <c r="AX82" s="650"/>
      <c r="AY82" s="650"/>
      <c r="AZ82" s="646"/>
      <c r="BA82" s="650"/>
      <c r="BD82" s="646"/>
      <c r="BE82" s="646"/>
      <c r="BF82" s="901"/>
      <c r="BG82" s="901"/>
      <c r="BH82" s="901"/>
      <c r="BI82" s="901"/>
      <c r="BJ82" s="901"/>
      <c r="BK82" s="901"/>
      <c r="BL82" s="901"/>
      <c r="BM82" s="901"/>
      <c r="BN82" s="901"/>
      <c r="BR82" s="616" t="s">
        <v>114</v>
      </c>
      <c r="BS82" s="616" t="s">
        <v>72</v>
      </c>
      <c r="BT82" s="622" t="s">
        <v>282</v>
      </c>
      <c r="BU82" s="611">
        <v>5.9220000000000009E-2</v>
      </c>
      <c r="BV82" s="623">
        <v>6.2165190852980404E-2</v>
      </c>
      <c r="BW82" s="611">
        <v>4.9379999999999993E-2</v>
      </c>
      <c r="BX82" s="623">
        <v>4.9562625718678685E-2</v>
      </c>
      <c r="BY82" s="611">
        <v>4.9919999999999999E-2</v>
      </c>
      <c r="BZ82" s="623">
        <v>5.0482556555214921E-2</v>
      </c>
      <c r="CA82" s="611">
        <v>5.2839999999999998E-2</v>
      </c>
      <c r="CB82" s="623">
        <v>5.4070124375624667E-2</v>
      </c>
      <c r="CC82" s="624">
        <v>0.97724946280724256</v>
      </c>
    </row>
    <row r="83" spans="3:81" x14ac:dyDescent="0.2">
      <c r="C83" s="448" t="s">
        <v>359</v>
      </c>
      <c r="D83" s="644">
        <f t="shared" si="71"/>
        <v>2.2985588407174292E-2</v>
      </c>
      <c r="E83" s="645">
        <f t="shared" ref="E83:G88" si="76">F35/F$41</f>
        <v>3.2860117137742922E-2</v>
      </c>
      <c r="F83" s="645">
        <f t="shared" si="76"/>
        <v>1.8846691522716268E-2</v>
      </c>
      <c r="G83" s="645">
        <f t="shared" si="76"/>
        <v>0</v>
      </c>
      <c r="H83" s="650"/>
      <c r="I83" s="646"/>
      <c r="J83" s="646"/>
      <c r="K83" s="646"/>
      <c r="Y83" s="644">
        <f t="shared" si="72"/>
        <v>4.5379857482201131E-3</v>
      </c>
      <c r="Z83" s="645">
        <f t="shared" ref="Z83:AB85" si="77">AA35/AA$41</f>
        <v>5.9512120427831633E-3</v>
      </c>
      <c r="AA83" s="645">
        <f t="shared" si="77"/>
        <v>6.3565383715344197E-3</v>
      </c>
      <c r="AB83" s="645">
        <f t="shared" si="77"/>
        <v>0</v>
      </c>
      <c r="AC83" s="650"/>
      <c r="AD83" s="646"/>
      <c r="AE83" s="646"/>
      <c r="AF83" s="646"/>
      <c r="AT83" s="644">
        <f t="shared" si="73"/>
        <v>0</v>
      </c>
      <c r="AU83" s="647"/>
      <c r="AV83" s="647"/>
      <c r="AW83" s="647"/>
      <c r="AX83" s="650"/>
      <c r="AY83" s="650"/>
      <c r="AZ83" s="646"/>
      <c r="BA83" s="650"/>
      <c r="BD83" s="646"/>
      <c r="BE83" s="646"/>
      <c r="BF83" s="901"/>
      <c r="BG83" s="901"/>
      <c r="BH83" s="901"/>
      <c r="BI83" s="901"/>
      <c r="BJ83" s="901"/>
      <c r="BK83" s="901"/>
      <c r="BL83" s="901"/>
      <c r="BM83" s="901"/>
      <c r="BN83" s="901"/>
      <c r="BR83" s="616" t="s">
        <v>114</v>
      </c>
      <c r="BS83" s="616" t="s">
        <v>72</v>
      </c>
      <c r="BT83" s="622" t="s">
        <v>283</v>
      </c>
      <c r="BU83" s="651">
        <v>0</v>
      </c>
      <c r="BV83" s="652">
        <v>0</v>
      </c>
      <c r="BW83" s="651">
        <v>0</v>
      </c>
      <c r="BX83" s="652">
        <v>0</v>
      </c>
      <c r="BY83" s="651">
        <v>0</v>
      </c>
      <c r="BZ83" s="652">
        <v>0</v>
      </c>
      <c r="CA83" s="651">
        <v>0</v>
      </c>
      <c r="CB83" s="652">
        <v>0</v>
      </c>
      <c r="CC83" s="653"/>
    </row>
    <row r="84" spans="3:81" x14ac:dyDescent="0.2">
      <c r="C84" s="448" t="s">
        <v>235</v>
      </c>
      <c r="D84" s="644">
        <f t="shared" si="71"/>
        <v>2.0827152045975225E-2</v>
      </c>
      <c r="E84" s="645">
        <f t="shared" si="76"/>
        <v>1.9104729392133826E-2</v>
      </c>
      <c r="F84" s="645">
        <f t="shared" si="76"/>
        <v>2.1914769199952319E-2</v>
      </c>
      <c r="G84" s="645">
        <f t="shared" si="76"/>
        <v>2.5693998838686678E-2</v>
      </c>
      <c r="H84" s="645">
        <f>I36/I$41</f>
        <v>2.5693998838686682E-2</v>
      </c>
      <c r="I84" s="646"/>
      <c r="J84" s="646"/>
      <c r="K84" s="646"/>
      <c r="Y84" s="644">
        <f t="shared" si="72"/>
        <v>0</v>
      </c>
      <c r="Z84" s="645">
        <f t="shared" si="77"/>
        <v>0</v>
      </c>
      <c r="AA84" s="645">
        <f t="shared" si="77"/>
        <v>0</v>
      </c>
      <c r="AB84" s="645">
        <f t="shared" si="77"/>
        <v>0</v>
      </c>
      <c r="AC84" s="645">
        <f>AD36/AD$41</f>
        <v>0</v>
      </c>
      <c r="AD84" s="645">
        <f t="shared" ref="AD84" si="78">AE36/AE$41</f>
        <v>0</v>
      </c>
      <c r="AE84" s="646"/>
      <c r="AF84" s="646"/>
      <c r="AT84" s="644">
        <f t="shared" si="73"/>
        <v>0</v>
      </c>
      <c r="AU84" s="647"/>
      <c r="AV84" s="647"/>
      <c r="AW84" s="647"/>
      <c r="AX84" s="647"/>
      <c r="AY84" s="647"/>
      <c r="AZ84" s="646"/>
      <c r="BA84" s="647"/>
      <c r="BD84" s="646"/>
      <c r="BE84" s="646"/>
      <c r="BF84" s="901"/>
      <c r="BG84" s="901"/>
      <c r="BH84" s="901"/>
      <c r="BI84" s="901"/>
      <c r="BJ84" s="901"/>
      <c r="BK84" s="901"/>
      <c r="BL84" s="901"/>
      <c r="BM84" s="901"/>
      <c r="BN84" s="901"/>
      <c r="BR84" s="613" t="s">
        <v>114</v>
      </c>
      <c r="BS84" s="613" t="s">
        <v>72</v>
      </c>
      <c r="BT84" s="625" t="s">
        <v>284</v>
      </c>
      <c r="BU84" s="626">
        <v>3.0808</v>
      </c>
      <c r="BV84" s="627">
        <v>3.6055348732578678</v>
      </c>
      <c r="BW84" s="626">
        <v>0.23679999999999998</v>
      </c>
      <c r="BX84" s="627">
        <v>0.26647582349853388</v>
      </c>
      <c r="BY84" s="626">
        <v>3.6441999999999997</v>
      </c>
      <c r="BZ84" s="627">
        <v>4.2131545380919695</v>
      </c>
      <c r="CA84" s="626">
        <v>2.3206000000000002</v>
      </c>
      <c r="CB84" s="627">
        <v>2.6950550782827905</v>
      </c>
      <c r="CC84" s="628">
        <v>0.86105846915700812</v>
      </c>
    </row>
    <row r="85" spans="3:81" x14ac:dyDescent="0.2">
      <c r="C85" s="448" t="s">
        <v>236</v>
      </c>
      <c r="D85" s="644">
        <f t="shared" si="71"/>
        <v>3.4751856165289516E-2</v>
      </c>
      <c r="E85" s="645">
        <f t="shared" si="76"/>
        <v>3.1877848994746015E-2</v>
      </c>
      <c r="F85" s="645">
        <f t="shared" si="76"/>
        <v>3.656663692909623E-2</v>
      </c>
      <c r="G85" s="645">
        <f t="shared" si="76"/>
        <v>4.2872599670952513E-2</v>
      </c>
      <c r="H85" s="645">
        <f>I37/I$41</f>
        <v>4.2872599670952513E-2</v>
      </c>
      <c r="I85" s="645">
        <f>J37/J$41</f>
        <v>4.4694081242086493E-2</v>
      </c>
      <c r="J85" s="646"/>
      <c r="K85" s="646"/>
      <c r="Y85" s="644">
        <f t="shared" si="72"/>
        <v>1.2369831316350345E-2</v>
      </c>
      <c r="Z85" s="645">
        <f t="shared" si="77"/>
        <v>1.6222062646612304E-2</v>
      </c>
      <c r="AA85" s="645">
        <f t="shared" si="77"/>
        <v>1.7326918102955492E-2</v>
      </c>
      <c r="AB85" s="645">
        <f t="shared" si="77"/>
        <v>1.8720970216649473E-2</v>
      </c>
      <c r="AC85" s="645">
        <f>AD37/AD$41</f>
        <v>0</v>
      </c>
      <c r="AD85" s="645">
        <f t="shared" ref="AD85" si="79">AE37/AE$41</f>
        <v>1.6719754154579717E-2</v>
      </c>
      <c r="AE85" s="646"/>
      <c r="AF85" s="646"/>
      <c r="AT85" s="644">
        <f t="shared" si="73"/>
        <v>0</v>
      </c>
      <c r="AU85" s="647"/>
      <c r="AV85" s="647"/>
      <c r="AW85" s="647"/>
      <c r="AX85" s="647"/>
      <c r="AY85" s="647"/>
      <c r="AZ85" s="646"/>
      <c r="BA85" s="647"/>
      <c r="BD85" s="646"/>
      <c r="BE85" s="646"/>
      <c r="BF85" s="901"/>
      <c r="BG85" s="901"/>
      <c r="BH85" s="901"/>
      <c r="BI85" s="901"/>
      <c r="BJ85" s="901"/>
      <c r="BK85" s="901"/>
      <c r="BL85" s="901"/>
      <c r="BM85" s="901"/>
      <c r="BN85" s="901"/>
      <c r="BR85" s="569"/>
      <c r="BS85" s="569"/>
      <c r="BT85" s="569"/>
      <c r="BU85" s="611">
        <v>559.34882199999981</v>
      </c>
      <c r="BV85" s="623">
        <v>697.35496056329032</v>
      </c>
      <c r="BW85" s="611">
        <v>603.35087200000009</v>
      </c>
      <c r="BX85" s="623">
        <v>726.2841477650436</v>
      </c>
      <c r="BY85" s="611">
        <v>567.88934800000004</v>
      </c>
      <c r="BZ85" s="623">
        <v>683.15884537269574</v>
      </c>
      <c r="CA85" s="654">
        <v>576.86301400000002</v>
      </c>
      <c r="CB85" s="655">
        <v>702.26598456700992</v>
      </c>
      <c r="CC85" s="628">
        <v>0.82143094878170908</v>
      </c>
    </row>
    <row r="86" spans="3:81" x14ac:dyDescent="0.2">
      <c r="C86" s="448" t="s">
        <v>237</v>
      </c>
      <c r="D86" s="644">
        <f t="shared" si="71"/>
        <v>1.2549063966414878E-2</v>
      </c>
      <c r="E86" s="645">
        <f t="shared" si="76"/>
        <v>1.1511246025078307E-2</v>
      </c>
      <c r="F86" s="645">
        <f t="shared" si="76"/>
        <v>1.3204390110195837E-2</v>
      </c>
      <c r="G86" s="645">
        <f t="shared" si="76"/>
        <v>1.548150386898329E-2</v>
      </c>
      <c r="H86" s="645">
        <f>I38/I$41</f>
        <v>1.5481503868983292E-2</v>
      </c>
      <c r="I86" s="645">
        <f>J38/J$41</f>
        <v>1.6139249706819628E-2</v>
      </c>
      <c r="J86" s="646"/>
      <c r="K86" s="646"/>
      <c r="Y86" s="644">
        <f t="shared" si="72"/>
        <v>7.5156540030945134E-3</v>
      </c>
      <c r="Z86" s="645">
        <f t="shared" ref="Z86:AD88" si="80">AA38/AA$41</f>
        <v>7.8849521517603653E-3</v>
      </c>
      <c r="AA86" s="645">
        <f t="shared" si="80"/>
        <v>8.4219820349297949E-3</v>
      </c>
      <c r="AB86" s="645">
        <f t="shared" si="80"/>
        <v>9.0995798505092429E-3</v>
      </c>
      <c r="AC86" s="645">
        <f t="shared" si="80"/>
        <v>9.2731828300848061E-3</v>
      </c>
      <c r="AD86" s="645">
        <f t="shared" si="80"/>
        <v>1.0158577269887821E-2</v>
      </c>
      <c r="AE86" s="646"/>
      <c r="AF86" s="646"/>
      <c r="AT86" s="644">
        <f t="shared" si="73"/>
        <v>0</v>
      </c>
      <c r="AU86" s="647"/>
      <c r="AV86" s="647"/>
      <c r="AW86" s="647"/>
      <c r="AX86" s="647"/>
      <c r="AY86" s="647"/>
      <c r="AZ86" s="646"/>
      <c r="BA86" s="647"/>
      <c r="BD86" s="646"/>
      <c r="BE86" s="646"/>
      <c r="BF86" s="901"/>
      <c r="BG86" s="901"/>
      <c r="BH86" s="901"/>
      <c r="BI86" s="901"/>
      <c r="BJ86" s="901"/>
      <c r="BK86" s="901"/>
      <c r="BL86" s="901"/>
      <c r="BM86" s="901"/>
      <c r="BN86" s="901"/>
      <c r="BR86" s="569"/>
      <c r="BS86" s="569"/>
      <c r="BT86" s="569"/>
      <c r="BU86" s="626">
        <v>560.42005999999992</v>
      </c>
      <c r="BV86" s="627">
        <v>698.45515892974254</v>
      </c>
      <c r="BW86" s="626">
        <v>604.30489799999987</v>
      </c>
      <c r="BX86" s="627">
        <v>727.26464533683668</v>
      </c>
      <c r="BY86" s="626">
        <v>568.972172</v>
      </c>
      <c r="BZ86" s="627">
        <v>684.27227737423516</v>
      </c>
      <c r="CA86" s="569"/>
      <c r="CB86" s="569"/>
      <c r="CC86" s="569"/>
    </row>
    <row r="87" spans="3:81" x14ac:dyDescent="0.2">
      <c r="C87" s="448" t="s">
        <v>239</v>
      </c>
      <c r="D87" s="644">
        <f t="shared" si="71"/>
        <v>4.8423335307035305E-2</v>
      </c>
      <c r="E87" s="645">
        <f t="shared" si="76"/>
        <v>4.4418685534311657E-2</v>
      </c>
      <c r="F87" s="645">
        <f t="shared" si="76"/>
        <v>5.0952055989366606E-2</v>
      </c>
      <c r="G87" s="645">
        <f t="shared" si="76"/>
        <v>5.9738802424728829E-2</v>
      </c>
      <c r="H87" s="645">
        <f>I39/I$41</f>
        <v>5.9738802424728836E-2</v>
      </c>
      <c r="I87" s="645">
        <f>J39/J$41</f>
        <v>6.2276860031064793E-2</v>
      </c>
      <c r="J87" s="645">
        <f>K39/K$41</f>
        <v>6.6340826030926586E-2</v>
      </c>
      <c r="K87" s="647"/>
      <c r="Y87" s="644">
        <f t="shared" si="72"/>
        <v>3.4351706821636165E-2</v>
      </c>
      <c r="Z87" s="645">
        <f t="shared" si="80"/>
        <v>3.6039653303408602E-2</v>
      </c>
      <c r="AA87" s="645">
        <f t="shared" si="80"/>
        <v>3.8494249150090476E-2</v>
      </c>
      <c r="AB87" s="645">
        <f t="shared" si="80"/>
        <v>4.1591337107330428E-2</v>
      </c>
      <c r="AC87" s="645">
        <f t="shared" si="80"/>
        <v>4.2384822099493027E-2</v>
      </c>
      <c r="AD87" s="645">
        <f t="shared" si="80"/>
        <v>4.6431683517687228E-2</v>
      </c>
      <c r="AE87" s="645">
        <f>AF39/AF$41</f>
        <v>4.7714160538275242E-2</v>
      </c>
      <c r="AF87" s="647"/>
      <c r="AT87" s="644">
        <f t="shared" si="73"/>
        <v>6.9323663072942077E-2</v>
      </c>
      <c r="AU87" s="647"/>
      <c r="AV87" s="647"/>
      <c r="AW87" s="647"/>
      <c r="AX87" s="647"/>
      <c r="AY87" s="647"/>
      <c r="AZ87" s="645">
        <f>BA39/BA$41</f>
        <v>6.9323663072942077E-2</v>
      </c>
      <c r="BA87" s="647"/>
      <c r="BD87" s="645"/>
      <c r="BE87" s="647"/>
      <c r="BF87" s="900"/>
      <c r="BG87" s="900"/>
      <c r="BH87" s="900"/>
      <c r="BI87" s="900"/>
      <c r="BJ87" s="900"/>
      <c r="BK87" s="900"/>
      <c r="BL87" s="900"/>
      <c r="BM87" s="900"/>
      <c r="BN87" s="900"/>
    </row>
    <row r="88" spans="3:81" x14ac:dyDescent="0.2">
      <c r="C88" s="449" t="s">
        <v>240</v>
      </c>
      <c r="D88" s="656">
        <f t="shared" si="71"/>
        <v>0.68149424643156775</v>
      </c>
      <c r="E88" s="657">
        <f t="shared" si="76"/>
        <v>0.625134110109274</v>
      </c>
      <c r="F88" s="657">
        <f t="shared" si="76"/>
        <v>0.71708263754329937</v>
      </c>
      <c r="G88" s="657">
        <f t="shared" si="76"/>
        <v>0.84074444445073149</v>
      </c>
      <c r="H88" s="657">
        <f>I40/I$41</f>
        <v>0.8407444444507316</v>
      </c>
      <c r="I88" s="657">
        <f>J40/J$41</f>
        <v>0.87646424038925153</v>
      </c>
      <c r="J88" s="657">
        <f>K40/K$41</f>
        <v>0.9336591739690735</v>
      </c>
      <c r="K88" s="657">
        <f>L40/L$41</f>
        <v>1</v>
      </c>
      <c r="Y88" s="656">
        <f t="shared" si="72"/>
        <v>0.68559613327669255</v>
      </c>
      <c r="Z88" s="657">
        <f t="shared" si="80"/>
        <v>0.71928440347211398</v>
      </c>
      <c r="AA88" s="657">
        <f t="shared" si="80"/>
        <v>0.76827356811479142</v>
      </c>
      <c r="AB88" s="657">
        <f t="shared" si="80"/>
        <v>0.83008567948749756</v>
      </c>
      <c r="AC88" s="657">
        <f t="shared" si="80"/>
        <v>0.84592216310865842</v>
      </c>
      <c r="AD88" s="657">
        <f t="shared" si="80"/>
        <v>0.92668998505784528</v>
      </c>
      <c r="AE88" s="657">
        <f>AF40/AF$41</f>
        <v>0.95228583946172485</v>
      </c>
      <c r="AF88" s="657">
        <f>AG40/AG$41</f>
        <v>1</v>
      </c>
      <c r="AT88" s="656">
        <f t="shared" si="73"/>
        <v>0.93067633692705787</v>
      </c>
      <c r="AU88" s="658"/>
      <c r="AV88" s="658"/>
      <c r="AW88" s="658"/>
      <c r="AX88" s="658"/>
      <c r="AY88" s="658"/>
      <c r="AZ88" s="657">
        <f>BA40/BA$41</f>
        <v>0.93067633692705787</v>
      </c>
      <c r="BA88" s="657">
        <f>BB40/BB$41</f>
        <v>1</v>
      </c>
      <c r="BD88" s="657"/>
      <c r="BE88" s="657">
        <v>1</v>
      </c>
      <c r="BF88" s="902"/>
      <c r="BG88" s="902"/>
      <c r="BH88" s="902"/>
      <c r="BI88" s="902"/>
      <c r="BJ88" s="902"/>
      <c r="BK88" s="902"/>
      <c r="BL88" s="902"/>
      <c r="BM88" s="902"/>
      <c r="BN88" s="902"/>
    </row>
    <row r="89" spans="3:81" x14ac:dyDescent="0.2">
      <c r="D89" s="563">
        <f>SUM(D78:D88)</f>
        <v>0.99999999999999978</v>
      </c>
      <c r="E89" s="564">
        <f>SUM(E78:E88)</f>
        <v>1</v>
      </c>
      <c r="F89" s="564">
        <f t="shared" ref="F89:I89" si="81">SUM(F78:F88)</f>
        <v>1</v>
      </c>
      <c r="G89" s="564">
        <f t="shared" si="81"/>
        <v>0.99999999999999989</v>
      </c>
      <c r="H89" s="564">
        <f t="shared" si="81"/>
        <v>1</v>
      </c>
      <c r="I89" s="564">
        <f t="shared" si="81"/>
        <v>0.99999999999999989</v>
      </c>
      <c r="J89" s="564">
        <f>SUM(J78:J88)</f>
        <v>1</v>
      </c>
      <c r="K89" s="460">
        <f>SUM(K78:K88)</f>
        <v>1</v>
      </c>
      <c r="Y89" s="563">
        <f>SUM(Y78:Y88)</f>
        <v>1</v>
      </c>
      <c r="Z89" s="564">
        <f>SUM(Z78:Z88)</f>
        <v>1</v>
      </c>
      <c r="AA89" s="564">
        <f t="shared" ref="AA89:AD89" si="82">SUM(AA78:AA88)</f>
        <v>1</v>
      </c>
      <c r="AB89" s="564">
        <f t="shared" si="82"/>
        <v>1</v>
      </c>
      <c r="AC89" s="564">
        <f t="shared" si="82"/>
        <v>1</v>
      </c>
      <c r="AD89" s="564">
        <f t="shared" si="82"/>
        <v>1</v>
      </c>
      <c r="AE89" s="564">
        <f>SUM(AE78:AE88)</f>
        <v>1</v>
      </c>
      <c r="AF89" s="460">
        <f>SUM(AF78:AF88)</f>
        <v>1</v>
      </c>
      <c r="AT89" s="563">
        <f>SUM(AT78:AT88)</f>
        <v>1</v>
      </c>
      <c r="AU89" s="460"/>
      <c r="AV89" s="460"/>
      <c r="AW89" s="460"/>
      <c r="AX89" s="460"/>
      <c r="AY89" s="460"/>
      <c r="AZ89" s="564">
        <f>SUM(AZ78:AZ88)</f>
        <v>1</v>
      </c>
      <c r="BA89" s="460">
        <f>SUM(BA78:BA88)</f>
        <v>1</v>
      </c>
      <c r="BD89" s="460"/>
      <c r="BE89" s="460">
        <f t="shared" ref="BE89" si="83">SUM(BE78:BE88)</f>
        <v>1</v>
      </c>
      <c r="BF89" s="460"/>
      <c r="BG89" s="460"/>
      <c r="BH89" s="460"/>
      <c r="BI89" s="460"/>
      <c r="BJ89" s="460"/>
      <c r="BK89" s="460"/>
      <c r="BL89" s="460"/>
      <c r="BM89" s="460"/>
      <c r="BN89" s="460"/>
    </row>
    <row r="90" spans="3:81" x14ac:dyDescent="0.2">
      <c r="H90" s="25"/>
      <c r="I90" s="25"/>
    </row>
  </sheetData>
  <mergeCells count="8">
    <mergeCell ref="BW61:BX61"/>
    <mergeCell ref="BY61:BZ61"/>
    <mergeCell ref="CA61:CB61"/>
    <mergeCell ref="D6:O6"/>
    <mergeCell ref="Y6:AJ6"/>
    <mergeCell ref="BO6:BP6"/>
    <mergeCell ref="BU61:BV61"/>
    <mergeCell ref="AT6:BN6"/>
  </mergeCells>
  <pageMargins left="0.7" right="0.7" top="0.75" bottom="0.75" header="0.3" footer="0.3"/>
  <pageSetup paperSize="9" scale="24" orientation="landscape" r:id="rId1"/>
  <headerFooter>
    <oddFooter>&amp;C&amp;"Arial,Bold"MODEL FOR DEMONSTRATION ONLY
The data contained in this model is for demonstration only.  Network and tariff data may not neccesarily represent the Energex network.</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V62"/>
  <sheetViews>
    <sheetView showGridLines="0" zoomScale="140" zoomScaleNormal="140" workbookViewId="0">
      <selection activeCell="I5" sqref="I5"/>
    </sheetView>
  </sheetViews>
  <sheetFormatPr defaultColWidth="8.85546875" defaultRowHeight="15" x14ac:dyDescent="0.25"/>
  <cols>
    <col min="1" max="1" width="6.85546875" style="48" customWidth="1"/>
    <col min="2" max="2" width="5.140625" style="48" customWidth="1"/>
    <col min="3" max="3" width="8.42578125" style="48" customWidth="1"/>
    <col min="4" max="4" width="22.7109375" style="48" customWidth="1"/>
    <col min="5" max="5" width="29.140625" style="48" customWidth="1"/>
    <col min="6" max="6" width="15.7109375" style="48" customWidth="1"/>
    <col min="7" max="7" width="10.140625" style="48" bestFit="1" customWidth="1"/>
    <col min="8" max="8" width="11.140625" bestFit="1" customWidth="1"/>
    <col min="9" max="9" width="15" style="48" customWidth="1"/>
    <col min="10" max="10" width="11.42578125" style="48" customWidth="1"/>
    <col min="11" max="11" width="10.85546875" style="48" customWidth="1"/>
    <col min="12" max="12" width="8.7109375" style="48" customWidth="1"/>
    <col min="13" max="13" width="8.85546875" style="48"/>
    <col min="14" max="14" width="15" style="48" bestFit="1" customWidth="1"/>
    <col min="15" max="15" width="20.42578125" style="48" bestFit="1" customWidth="1"/>
    <col min="16" max="16" width="64.140625" style="48" customWidth="1"/>
    <col min="17" max="17" width="14.28515625" style="48" customWidth="1"/>
    <col min="18" max="18" width="27.7109375" style="48" customWidth="1"/>
    <col min="19" max="19" width="16" style="48" customWidth="1"/>
    <col min="20" max="20" width="9" style="48" bestFit="1" customWidth="1"/>
    <col min="21" max="21" width="11.7109375" style="48" bestFit="1" customWidth="1"/>
    <col min="22" max="24" width="8.85546875" style="48"/>
    <col min="25" max="25" width="70" style="48" bestFit="1" customWidth="1"/>
    <col min="26" max="16384" width="8.85546875" style="48"/>
  </cols>
  <sheetData>
    <row r="1" spans="2:21" x14ac:dyDescent="0.25">
      <c r="Q1" s="754"/>
      <c r="R1" s="754"/>
      <c r="S1" s="754"/>
    </row>
    <row r="2" spans="2:21" ht="18.75" x14ac:dyDescent="0.25">
      <c r="B2" s="168" t="s">
        <v>64</v>
      </c>
      <c r="C2" s="141"/>
      <c r="J2" s="47"/>
      <c r="Q2" s="754"/>
      <c r="R2" s="754"/>
      <c r="S2" s="754"/>
    </row>
    <row r="3" spans="2:21" x14ac:dyDescent="0.25">
      <c r="B3" s="1" t="str">
        <f ca="1">"Filename:  "&amp;MID(CELL("filename",C2),FIND("[",CELL("filename",C2))+1,FIND("]",CELL("filename",C2))-FIND("[",CELL("filename",C2))-1)</f>
        <v>Filename:  ERG 14.009 2020-25 LRMC Model JAN19 PUBLIC.xlsx</v>
      </c>
      <c r="Q3" s="754"/>
      <c r="R3" s="754"/>
      <c r="S3" s="754"/>
    </row>
    <row r="4" spans="2:21" x14ac:dyDescent="0.25">
      <c r="C4" s="52"/>
      <c r="S4" s="754" t="s">
        <v>268</v>
      </c>
      <c r="T4" s="754"/>
      <c r="U4" s="755"/>
    </row>
    <row r="5" spans="2:21" x14ac:dyDescent="0.25">
      <c r="C5" s="115" t="s">
        <v>412</v>
      </c>
      <c r="D5" s="116" t="s">
        <v>131</v>
      </c>
      <c r="E5" s="116" t="s">
        <v>2</v>
      </c>
      <c r="F5" s="780" t="s">
        <v>411</v>
      </c>
      <c r="G5" s="781" t="s">
        <v>412</v>
      </c>
      <c r="H5" s="781" t="s">
        <v>414</v>
      </c>
      <c r="I5" s="116" t="s">
        <v>480</v>
      </c>
      <c r="J5" s="963" t="s">
        <v>17</v>
      </c>
      <c r="K5" s="964"/>
      <c r="L5" s="965"/>
      <c r="O5" s="781" t="s">
        <v>415</v>
      </c>
      <c r="P5" s="115" t="s">
        <v>417</v>
      </c>
      <c r="Q5" s="781" t="s">
        <v>418</v>
      </c>
      <c r="S5" s="754" t="s">
        <v>259</v>
      </c>
      <c r="T5" s="754" t="s">
        <v>260</v>
      </c>
      <c r="U5" s="755">
        <v>1974343.4416</v>
      </c>
    </row>
    <row r="6" spans="2:21" x14ac:dyDescent="0.25">
      <c r="C6" s="805" t="s">
        <v>432</v>
      </c>
      <c r="D6" s="117"/>
      <c r="E6" s="117"/>
      <c r="F6" s="117"/>
      <c r="G6" s="781" t="s">
        <v>413</v>
      </c>
      <c r="H6" s="791">
        <f>'Inputs - network configuration'!D9</f>
        <v>43647</v>
      </c>
      <c r="I6" s="782"/>
      <c r="J6" s="118" t="s">
        <v>6</v>
      </c>
      <c r="K6" s="119" t="s">
        <v>136</v>
      </c>
      <c r="L6" s="120" t="s">
        <v>7</v>
      </c>
      <c r="O6" s="791" t="s">
        <v>416</v>
      </c>
      <c r="P6" s="805" t="s">
        <v>419</v>
      </c>
      <c r="Q6" s="791" t="s">
        <v>416</v>
      </c>
      <c r="S6" s="754" t="s">
        <v>245</v>
      </c>
      <c r="T6" s="754" t="s">
        <v>246</v>
      </c>
      <c r="U6" s="755">
        <v>16314025.561600002</v>
      </c>
    </row>
    <row r="7" spans="2:21" x14ac:dyDescent="0.25">
      <c r="C7" s="49">
        <v>1</v>
      </c>
      <c r="D7" s="811" t="s">
        <v>377</v>
      </c>
      <c r="E7" s="806" t="s">
        <v>404</v>
      </c>
      <c r="F7" s="917">
        <v>20543360</v>
      </c>
      <c r="G7" s="792">
        <v>43282</v>
      </c>
      <c r="H7" s="795">
        <f>(1+'Inputs - network configuration'!$D$8)^((H$6-G$7)/365.25)</f>
        <v>1.0249826764448853</v>
      </c>
      <c r="I7" s="788">
        <f>F7*H7</f>
        <v>21056588.115970798</v>
      </c>
      <c r="J7" s="717">
        <v>160</v>
      </c>
      <c r="K7" s="716">
        <v>0.6</v>
      </c>
      <c r="L7" s="508">
        <f>J7/2*(M7+1)</f>
        <v>96</v>
      </c>
      <c r="M7" s="333">
        <v>0.2</v>
      </c>
      <c r="O7" s="925">
        <f t="shared" ref="O7:O12" si="0">AVERAGE(Q$12:Q$14)</f>
        <v>50</v>
      </c>
      <c r="P7" s="798" t="s">
        <v>420</v>
      </c>
      <c r="Q7" s="802">
        <v>55</v>
      </c>
      <c r="S7" s="754" t="s">
        <v>247</v>
      </c>
      <c r="T7" s="754" t="s">
        <v>248</v>
      </c>
      <c r="U7" s="755">
        <v>119835.99840000001</v>
      </c>
    </row>
    <row r="8" spans="2:21" x14ac:dyDescent="0.25">
      <c r="C8" s="50">
        <f>C7+1</f>
        <v>2</v>
      </c>
      <c r="D8" s="306" t="s">
        <v>378</v>
      </c>
      <c r="E8" s="306" t="s">
        <v>404</v>
      </c>
      <c r="F8" s="918">
        <v>20543360</v>
      </c>
      <c r="G8" s="793">
        <v>43282</v>
      </c>
      <c r="H8" s="796">
        <f>(1+'Inputs - network configuration'!$D$8)^((H$6-G$7)/365.25)</f>
        <v>1.0249826764448853</v>
      </c>
      <c r="I8" s="789">
        <f t="shared" ref="I8:I27" si="1">F8*H8</f>
        <v>21056588.115970798</v>
      </c>
      <c r="J8" s="784">
        <v>160</v>
      </c>
      <c r="K8" s="716">
        <v>0.6</v>
      </c>
      <c r="L8" s="508">
        <f t="shared" ref="L8:L12" si="2">J8/2*(M8+1)</f>
        <v>96</v>
      </c>
      <c r="M8" s="333">
        <v>0.2</v>
      </c>
      <c r="O8" s="925">
        <f t="shared" si="0"/>
        <v>50</v>
      </c>
      <c r="P8" s="799" t="s">
        <v>421</v>
      </c>
      <c r="Q8" s="508">
        <v>45</v>
      </c>
      <c r="S8" s="754" t="s">
        <v>249</v>
      </c>
      <c r="T8" s="754" t="s">
        <v>250</v>
      </c>
      <c r="U8" s="755">
        <v>91100.902400000006</v>
      </c>
    </row>
    <row r="9" spans="2:21" x14ac:dyDescent="0.25">
      <c r="C9" s="50">
        <f t="shared" ref="C9:C18" si="3">C8+1</f>
        <v>3</v>
      </c>
      <c r="D9" s="306" t="s">
        <v>370</v>
      </c>
      <c r="E9" s="306" t="s">
        <v>405</v>
      </c>
      <c r="F9" s="918">
        <v>18737961</v>
      </c>
      <c r="G9" s="793">
        <v>43282</v>
      </c>
      <c r="H9" s="796">
        <f>(1+'Inputs - network configuration'!$D$8)^((H$6-G$7)/365.25)</f>
        <v>1.0249826764448853</v>
      </c>
      <c r="I9" s="789">
        <f t="shared" si="1"/>
        <v>19206085.416899879</v>
      </c>
      <c r="J9" s="717">
        <f>63*2</f>
        <v>126</v>
      </c>
      <c r="K9" s="716">
        <v>0.6</v>
      </c>
      <c r="L9" s="508">
        <f t="shared" si="2"/>
        <v>75.599999999999994</v>
      </c>
      <c r="M9" s="333">
        <v>0.2</v>
      </c>
      <c r="O9" s="925">
        <f t="shared" si="0"/>
        <v>50</v>
      </c>
      <c r="P9" s="799" t="s">
        <v>422</v>
      </c>
      <c r="Q9" s="508">
        <v>50</v>
      </c>
      <c r="S9" s="754" t="s">
        <v>251</v>
      </c>
      <c r="T9" s="754" t="s">
        <v>252</v>
      </c>
      <c r="U9" s="755">
        <v>87881.436000000002</v>
      </c>
    </row>
    <row r="10" spans="2:21" x14ac:dyDescent="0.25">
      <c r="C10" s="50">
        <f t="shared" si="3"/>
        <v>4</v>
      </c>
      <c r="D10" s="306" t="s">
        <v>371</v>
      </c>
      <c r="E10" s="306" t="s">
        <v>406</v>
      </c>
      <c r="F10" s="918">
        <v>16335998</v>
      </c>
      <c r="G10" s="793">
        <v>43282</v>
      </c>
      <c r="H10" s="796">
        <f>(1+'Inputs - network configuration'!$D$8)^((H$6-G$7)/365.25)</f>
        <v>1.0249826764448853</v>
      </c>
      <c r="I10" s="789">
        <f t="shared" si="1"/>
        <v>16744114.952438293</v>
      </c>
      <c r="J10" s="717">
        <v>64</v>
      </c>
      <c r="K10" s="716">
        <v>0.6</v>
      </c>
      <c r="L10" s="508">
        <f t="shared" si="2"/>
        <v>38.4</v>
      </c>
      <c r="M10" s="333">
        <v>0.2</v>
      </c>
      <c r="O10" s="925">
        <f t="shared" si="0"/>
        <v>50</v>
      </c>
      <c r="P10" s="799" t="s">
        <v>423</v>
      </c>
      <c r="Q10" s="508">
        <v>60</v>
      </c>
      <c r="S10" s="754" t="s">
        <v>261</v>
      </c>
      <c r="T10" s="754"/>
      <c r="U10" s="755">
        <v>559779.99908999994</v>
      </c>
    </row>
    <row r="11" spans="2:21" x14ac:dyDescent="0.25">
      <c r="C11" s="50">
        <f t="shared" si="3"/>
        <v>5</v>
      </c>
      <c r="D11" s="306" t="s">
        <v>379</v>
      </c>
      <c r="E11" s="306" t="s">
        <v>128</v>
      </c>
      <c r="F11" s="918">
        <v>15864470</v>
      </c>
      <c r="G11" s="793">
        <v>43282</v>
      </c>
      <c r="H11" s="796">
        <f>(1+'Inputs - network configuration'!$D$8)^((H$6-G$7)/365.25)</f>
        <v>1.0249826764448853</v>
      </c>
      <c r="I11" s="789">
        <f t="shared" si="1"/>
        <v>16260806.920979589</v>
      </c>
      <c r="J11" s="717">
        <v>40</v>
      </c>
      <c r="K11" s="716">
        <v>0.6</v>
      </c>
      <c r="L11" s="508">
        <f t="shared" si="2"/>
        <v>24</v>
      </c>
      <c r="M11" s="333">
        <v>0.2</v>
      </c>
      <c r="O11" s="925">
        <f t="shared" si="0"/>
        <v>50</v>
      </c>
      <c r="P11" s="799" t="s">
        <v>424</v>
      </c>
      <c r="Q11" s="508">
        <v>35</v>
      </c>
      <c r="S11" s="754" t="s">
        <v>262</v>
      </c>
      <c r="T11" s="754"/>
      <c r="U11" s="755">
        <v>628375.3397120001</v>
      </c>
    </row>
    <row r="12" spans="2:21" x14ac:dyDescent="0.25">
      <c r="C12" s="50">
        <f t="shared" si="3"/>
        <v>6</v>
      </c>
      <c r="D12" s="306" t="s">
        <v>380</v>
      </c>
      <c r="E12" s="306" t="s">
        <v>306</v>
      </c>
      <c r="F12" s="918">
        <v>11203050</v>
      </c>
      <c r="G12" s="793">
        <v>43282</v>
      </c>
      <c r="H12" s="796">
        <f>(1+'Inputs - network configuration'!$D$8)^((H$6-G$7)/365.25)</f>
        <v>1.0249826764448853</v>
      </c>
      <c r="I12" s="789">
        <f t="shared" si="1"/>
        <v>11482932.173345871</v>
      </c>
      <c r="J12" s="717">
        <v>12</v>
      </c>
      <c r="K12" s="716">
        <v>0.6</v>
      </c>
      <c r="L12" s="508">
        <f t="shared" si="2"/>
        <v>7.1999999999999993</v>
      </c>
      <c r="M12" s="333">
        <v>0.2</v>
      </c>
      <c r="O12" s="925">
        <f t="shared" si="0"/>
        <v>50</v>
      </c>
      <c r="P12" s="799" t="s">
        <v>425</v>
      </c>
      <c r="Q12" s="508">
        <v>45</v>
      </c>
      <c r="S12" s="754" t="s">
        <v>263</v>
      </c>
      <c r="T12" s="754"/>
      <c r="U12" s="755">
        <v>524345.31581333338</v>
      </c>
    </row>
    <row r="13" spans="2:21" x14ac:dyDescent="0.25">
      <c r="C13" s="50">
        <f t="shared" si="3"/>
        <v>7</v>
      </c>
      <c r="D13" s="306" t="s">
        <v>121</v>
      </c>
      <c r="E13" s="306" t="s">
        <v>11</v>
      </c>
      <c r="F13" s="919">
        <v>413126</v>
      </c>
      <c r="G13" s="793">
        <v>43282</v>
      </c>
      <c r="H13" s="796">
        <f>(1+'Inputs - network configuration'!$D$8)^((H$6-G$7)/365.25)</f>
        <v>1.0249826764448853</v>
      </c>
      <c r="I13" s="789">
        <f t="shared" si="1"/>
        <v>423446.99318896967</v>
      </c>
      <c r="J13" s="785">
        <v>0.75</v>
      </c>
      <c r="K13" s="510">
        <v>0.6</v>
      </c>
      <c r="L13" s="182">
        <f t="shared" ref="L13:L15" si="4">J13*K13</f>
        <v>0.44999999999999996</v>
      </c>
      <c r="O13" s="925">
        <f>Q$14</f>
        <v>45</v>
      </c>
      <c r="P13" s="799" t="s">
        <v>426</v>
      </c>
      <c r="Q13" s="508">
        <v>60</v>
      </c>
      <c r="S13" s="754" t="s">
        <v>264</v>
      </c>
      <c r="T13" s="754" t="s">
        <v>265</v>
      </c>
      <c r="U13" s="755">
        <v>2976231.9424000005</v>
      </c>
    </row>
    <row r="14" spans="2:21" x14ac:dyDescent="0.25">
      <c r="B14" s="189"/>
      <c r="C14" s="50">
        <f t="shared" si="3"/>
        <v>8</v>
      </c>
      <c r="D14" s="306" t="s">
        <v>122</v>
      </c>
      <c r="E14" s="306" t="s">
        <v>10</v>
      </c>
      <c r="F14" s="920">
        <v>32969</v>
      </c>
      <c r="G14" s="793">
        <v>43282</v>
      </c>
      <c r="H14" s="796">
        <f>(1+'Inputs - network configuration'!$D$8)^((H$6-G$7)/365.25)</f>
        <v>1.0249826764448853</v>
      </c>
      <c r="I14" s="789">
        <f t="shared" si="1"/>
        <v>33792.653859711419</v>
      </c>
      <c r="J14" s="785">
        <v>0.315</v>
      </c>
      <c r="K14" s="510">
        <v>0.6</v>
      </c>
      <c r="L14" s="182">
        <f t="shared" si="4"/>
        <v>0.189</v>
      </c>
      <c r="O14" s="925">
        <f>Q$14</f>
        <v>45</v>
      </c>
      <c r="P14" s="799" t="s">
        <v>427</v>
      </c>
      <c r="Q14" s="508">
        <v>45</v>
      </c>
      <c r="S14" s="754"/>
      <c r="T14" s="754"/>
      <c r="U14" s="755"/>
    </row>
    <row r="15" spans="2:21" x14ac:dyDescent="0.25">
      <c r="B15" s="189"/>
      <c r="C15" s="51">
        <f t="shared" si="3"/>
        <v>9</v>
      </c>
      <c r="D15" s="307" t="s">
        <v>142</v>
      </c>
      <c r="E15" s="307" t="s">
        <v>143</v>
      </c>
      <c r="F15" s="921">
        <v>20487</v>
      </c>
      <c r="G15" s="793">
        <v>43282</v>
      </c>
      <c r="H15" s="796">
        <f>(1+'Inputs - network configuration'!$D$8)^((H$6-G$7)/365.25)</f>
        <v>1.0249826764448853</v>
      </c>
      <c r="I15" s="789">
        <f t="shared" si="1"/>
        <v>20998.820092326365</v>
      </c>
      <c r="J15" s="786">
        <v>0.05</v>
      </c>
      <c r="K15" s="511">
        <v>0.6</v>
      </c>
      <c r="L15" s="509">
        <f t="shared" si="4"/>
        <v>0.03</v>
      </c>
      <c r="O15" s="925">
        <f>Q$14</f>
        <v>45</v>
      </c>
      <c r="P15" s="799" t="s">
        <v>428</v>
      </c>
      <c r="Q15" s="508">
        <v>50</v>
      </c>
      <c r="S15" s="754" t="s">
        <v>253</v>
      </c>
      <c r="T15" s="754" t="s">
        <v>254</v>
      </c>
      <c r="U15" s="755">
        <v>38076.591999999997</v>
      </c>
    </row>
    <row r="16" spans="2:21" x14ac:dyDescent="0.25">
      <c r="C16" s="50">
        <f t="shared" si="3"/>
        <v>10</v>
      </c>
      <c r="D16" s="306" t="s">
        <v>384</v>
      </c>
      <c r="E16" s="306" t="s">
        <v>118</v>
      </c>
      <c r="F16" s="920">
        <v>366826</v>
      </c>
      <c r="G16" s="793">
        <v>43282</v>
      </c>
      <c r="H16" s="796">
        <f>(1+'Inputs - network configuration'!$D$8)^((H$6-G$7)/365.25)</f>
        <v>1.0249826764448853</v>
      </c>
      <c r="I16" s="789">
        <f t="shared" si="1"/>
        <v>375990.29526957148</v>
      </c>
      <c r="J16" s="181"/>
      <c r="K16" s="181"/>
      <c r="L16" s="182"/>
      <c r="O16" s="925">
        <f>Q$7</f>
        <v>55</v>
      </c>
      <c r="P16" s="799" t="s">
        <v>429</v>
      </c>
      <c r="Q16" s="508">
        <v>45</v>
      </c>
      <c r="S16" s="754" t="s">
        <v>255</v>
      </c>
      <c r="T16" s="754" t="s">
        <v>256</v>
      </c>
      <c r="U16" s="755">
        <v>41343.824800000002</v>
      </c>
    </row>
    <row r="17" spans="3:22" x14ac:dyDescent="0.25">
      <c r="C17" s="50">
        <f t="shared" si="3"/>
        <v>11</v>
      </c>
      <c r="D17" s="306" t="s">
        <v>385</v>
      </c>
      <c r="E17" s="306" t="s">
        <v>127</v>
      </c>
      <c r="F17" s="920">
        <v>2810212</v>
      </c>
      <c r="G17" s="793">
        <v>43282</v>
      </c>
      <c r="H17" s="796">
        <f>(1+'Inputs - network configuration'!$D$8)^((H$6-G$7)/365.25)</f>
        <v>1.0249826764448853</v>
      </c>
      <c r="I17" s="789">
        <f t="shared" si="1"/>
        <v>2880418.6171375341</v>
      </c>
      <c r="J17" s="181"/>
      <c r="K17" s="181"/>
      <c r="L17" s="182"/>
      <c r="O17" s="925">
        <f>Q$8</f>
        <v>45</v>
      </c>
      <c r="P17" s="800" t="s">
        <v>430</v>
      </c>
      <c r="Q17" s="803">
        <v>35</v>
      </c>
      <c r="S17" s="754" t="s">
        <v>257</v>
      </c>
      <c r="T17" s="754" t="s">
        <v>258</v>
      </c>
      <c r="U17" s="755">
        <v>44603.458399999996</v>
      </c>
    </row>
    <row r="18" spans="3:22" x14ac:dyDescent="0.25">
      <c r="C18" s="50">
        <f t="shared" si="3"/>
        <v>12</v>
      </c>
      <c r="D18" s="306" t="s">
        <v>381</v>
      </c>
      <c r="E18" s="306" t="s">
        <v>120</v>
      </c>
      <c r="F18" s="920">
        <v>368267</v>
      </c>
      <c r="G18" s="793">
        <v>43282</v>
      </c>
      <c r="H18" s="796">
        <f>(1+'Inputs - network configuration'!$D$8)^((H$6-G$7)/365.25)</f>
        <v>1.0249826764448853</v>
      </c>
      <c r="I18" s="789">
        <f t="shared" si="1"/>
        <v>377467.29530632857</v>
      </c>
      <c r="J18" s="181"/>
      <c r="K18" s="181"/>
      <c r="L18" s="182"/>
      <c r="O18" s="925">
        <f>Q$7</f>
        <v>55</v>
      </c>
      <c r="P18" s="801" t="s">
        <v>431</v>
      </c>
      <c r="Q18" s="804">
        <v>40</v>
      </c>
      <c r="S18" s="754" t="s">
        <v>266</v>
      </c>
      <c r="T18" s="754" t="s">
        <v>267</v>
      </c>
      <c r="U18" s="755">
        <v>131920.4192</v>
      </c>
    </row>
    <row r="19" spans="3:22" x14ac:dyDescent="0.25">
      <c r="C19" s="50">
        <f t="shared" ref="C19:C23" si="5">C18+1</f>
        <v>13</v>
      </c>
      <c r="D19" s="306" t="s">
        <v>382</v>
      </c>
      <c r="E19" s="306" t="s">
        <v>119</v>
      </c>
      <c r="F19" s="920">
        <v>887676</v>
      </c>
      <c r="G19" s="793">
        <v>43282</v>
      </c>
      <c r="H19" s="796">
        <f>(1+'Inputs - network configuration'!$D$8)^((H$6-G$7)/365.25)</f>
        <v>1.0249826764448853</v>
      </c>
      <c r="I19" s="789">
        <f t="shared" si="1"/>
        <v>909852.52229589003</v>
      </c>
      <c r="J19" s="181"/>
      <c r="K19" s="181"/>
      <c r="L19" s="182"/>
      <c r="O19" s="925">
        <f>Q$8</f>
        <v>45</v>
      </c>
    </row>
    <row r="20" spans="3:22" x14ac:dyDescent="0.25">
      <c r="C20" s="50">
        <f t="shared" si="5"/>
        <v>14</v>
      </c>
      <c r="D20" s="306" t="s">
        <v>383</v>
      </c>
      <c r="E20" s="306" t="s">
        <v>117</v>
      </c>
      <c r="F20" s="920">
        <v>366826</v>
      </c>
      <c r="G20" s="793">
        <v>43282</v>
      </c>
      <c r="H20" s="796">
        <f>(1+'Inputs - network configuration'!$D$8)^((H$6-G$7)/365.25)</f>
        <v>1.0249826764448853</v>
      </c>
      <c r="I20" s="789">
        <f t="shared" si="1"/>
        <v>375990.29526957148</v>
      </c>
      <c r="J20" s="181"/>
      <c r="K20" s="181"/>
      <c r="L20" s="182"/>
      <c r="O20" s="925">
        <f>Q$7</f>
        <v>55</v>
      </c>
    </row>
    <row r="21" spans="3:22" x14ac:dyDescent="0.25">
      <c r="C21" s="50">
        <f t="shared" si="5"/>
        <v>15</v>
      </c>
      <c r="D21" s="308" t="s">
        <v>123</v>
      </c>
      <c r="E21" s="308" t="s">
        <v>96</v>
      </c>
      <c r="F21" s="920">
        <v>129885</v>
      </c>
      <c r="G21" s="793">
        <v>43282</v>
      </c>
      <c r="H21" s="796">
        <f>(1+'Inputs - network configuration'!$D$8)^((H$6-G$7)/365.25)</f>
        <v>1.0249826764448853</v>
      </c>
      <c r="I21" s="789">
        <f t="shared" si="1"/>
        <v>133129.87493004394</v>
      </c>
      <c r="J21" s="787">
        <v>5</v>
      </c>
      <c r="K21" s="334">
        <v>0.49099999999999999</v>
      </c>
      <c r="L21" s="746">
        <f>J21</f>
        <v>5</v>
      </c>
      <c r="O21" s="925">
        <f>Q$9</f>
        <v>50</v>
      </c>
      <c r="S21" s="670" t="s">
        <v>292</v>
      </c>
      <c r="T21" s="671"/>
      <c r="U21" s="671"/>
    </row>
    <row r="22" spans="3:22" x14ac:dyDescent="0.25">
      <c r="C22" s="50">
        <f t="shared" si="5"/>
        <v>16</v>
      </c>
      <c r="D22" s="306" t="s">
        <v>124</v>
      </c>
      <c r="E22" s="306" t="s">
        <v>97</v>
      </c>
      <c r="F22" s="918">
        <v>200000</v>
      </c>
      <c r="G22" s="793">
        <v>43282</v>
      </c>
      <c r="H22" s="796">
        <f>(1+'Inputs - network configuration'!$D$8)^((H$6-G$7)/365.25)</f>
        <v>1.0249826764448853</v>
      </c>
      <c r="I22" s="789">
        <f t="shared" si="1"/>
        <v>204996.53528897706</v>
      </c>
      <c r="J22" s="787">
        <v>4</v>
      </c>
      <c r="K22" s="334">
        <v>0.48</v>
      </c>
      <c r="L22" s="746">
        <f>J22</f>
        <v>4</v>
      </c>
      <c r="O22" s="925">
        <f>Q$10</f>
        <v>60</v>
      </c>
    </row>
    <row r="23" spans="3:22" x14ac:dyDescent="0.25">
      <c r="C23" s="50">
        <f t="shared" si="5"/>
        <v>17</v>
      </c>
      <c r="D23" s="306" t="s">
        <v>125</v>
      </c>
      <c r="E23" s="306" t="s">
        <v>95</v>
      </c>
      <c r="F23" s="920">
        <v>102938</v>
      </c>
      <c r="G23" s="793">
        <v>43282</v>
      </c>
      <c r="H23" s="796">
        <f>(1+'Inputs - network configuration'!$D$8)^((H$6-G$7)/365.25)</f>
        <v>1.0249826764448853</v>
      </c>
      <c r="I23" s="789">
        <f t="shared" si="1"/>
        <v>105509.6667478836</v>
      </c>
      <c r="J23" s="181"/>
      <c r="K23" s="181"/>
      <c r="L23" s="182"/>
      <c r="O23" s="925">
        <f>Q$9</f>
        <v>50</v>
      </c>
      <c r="R23" s="747" t="s">
        <v>393</v>
      </c>
      <c r="S23" s="748" t="s">
        <v>83</v>
      </c>
      <c r="T23" s="748" t="s">
        <v>0</v>
      </c>
      <c r="U23" s="748" t="s">
        <v>394</v>
      </c>
      <c r="V23" s="749"/>
    </row>
    <row r="24" spans="3:22" x14ac:dyDescent="0.25">
      <c r="C24" s="50">
        <f>C23+1</f>
        <v>18</v>
      </c>
      <c r="D24" s="306" t="s">
        <v>126</v>
      </c>
      <c r="E24" s="306" t="s">
        <v>94</v>
      </c>
      <c r="F24" s="918">
        <v>120000</v>
      </c>
      <c r="G24" s="793">
        <v>43282</v>
      </c>
      <c r="H24" s="796">
        <f>(1+'Inputs - network configuration'!$D$8)^((H$6-G$7)/365.25)</f>
        <v>1.0249826764448853</v>
      </c>
      <c r="I24" s="789">
        <f t="shared" si="1"/>
        <v>122997.92117338623</v>
      </c>
      <c r="J24" s="181"/>
      <c r="K24" s="181"/>
      <c r="L24" s="182"/>
      <c r="O24" s="925">
        <f>Q$10</f>
        <v>60</v>
      </c>
      <c r="R24" s="749" t="s">
        <v>395</v>
      </c>
      <c r="S24" s="750">
        <v>0.55830334355638722</v>
      </c>
      <c r="T24" s="750">
        <v>3.6027397147540483E-2</v>
      </c>
      <c r="U24" s="750">
        <v>0.40566925929607223</v>
      </c>
      <c r="V24" s="749"/>
    </row>
    <row r="25" spans="3:22" x14ac:dyDescent="0.25">
      <c r="C25" s="807">
        <f t="shared" ref="C25:C27" si="6">C24+1</f>
        <v>19</v>
      </c>
      <c r="D25" s="808" t="s">
        <v>391</v>
      </c>
      <c r="E25" s="754" t="s">
        <v>392</v>
      </c>
      <c r="F25" s="922">
        <f>60%*F16</f>
        <v>220095.6</v>
      </c>
      <c r="G25" s="793">
        <v>43282</v>
      </c>
      <c r="H25" s="796">
        <f>(1+'Inputs - network configuration'!$D$8)^((H$6-G$7)/365.25)</f>
        <v>1.0249826764448853</v>
      </c>
      <c r="I25" s="789">
        <f t="shared" si="1"/>
        <v>225594.1771617429</v>
      </c>
      <c r="J25" s="741"/>
      <c r="K25" s="741"/>
      <c r="L25" s="742"/>
      <c r="O25" s="925">
        <f>Q$7</f>
        <v>55</v>
      </c>
      <c r="R25" s="749" t="s">
        <v>396</v>
      </c>
      <c r="S25" s="750">
        <v>0.71592727482457474</v>
      </c>
      <c r="T25" s="750">
        <v>0.11831792763729282</v>
      </c>
      <c r="U25" s="750">
        <v>0.16575479753813252</v>
      </c>
      <c r="V25" s="749"/>
    </row>
    <row r="26" spans="3:22" x14ac:dyDescent="0.25">
      <c r="C26" s="807">
        <f t="shared" si="6"/>
        <v>20</v>
      </c>
      <c r="D26" s="808" t="s">
        <v>123</v>
      </c>
      <c r="E26" s="306" t="s">
        <v>389</v>
      </c>
      <c r="F26" s="923">
        <f>U39</f>
        <v>56778.507844021544</v>
      </c>
      <c r="G26" s="793">
        <v>43282</v>
      </c>
      <c r="H26" s="796">
        <f>(1+'Inputs - network configuration'!$D$8)^((H$6-G$7)/365.25)</f>
        <v>1.0249826764448853</v>
      </c>
      <c r="I26" s="789">
        <f t="shared" si="1"/>
        <v>58196.986934512111</v>
      </c>
      <c r="J26" s="787">
        <v>5</v>
      </c>
      <c r="K26" s="334">
        <v>0.49099999999999999</v>
      </c>
      <c r="L26" s="746">
        <f>J26</f>
        <v>5</v>
      </c>
      <c r="O26" s="925">
        <f>Q$9</f>
        <v>50</v>
      </c>
      <c r="R26" s="749" t="s">
        <v>397</v>
      </c>
      <c r="S26" s="750">
        <v>0.5604642967581549</v>
      </c>
      <c r="T26" s="750">
        <v>0.1632176289143428</v>
      </c>
      <c r="U26" s="750">
        <v>0.27631807432750227</v>
      </c>
      <c r="V26" s="749"/>
    </row>
    <row r="27" spans="3:22" x14ac:dyDescent="0.25">
      <c r="C27" s="809">
        <f t="shared" si="6"/>
        <v>21</v>
      </c>
      <c r="D27" s="810" t="s">
        <v>125</v>
      </c>
      <c r="E27" s="307" t="s">
        <v>390</v>
      </c>
      <c r="F27" s="924">
        <f>60%*F23</f>
        <v>61762.799999999996</v>
      </c>
      <c r="G27" s="794">
        <v>43282</v>
      </c>
      <c r="H27" s="797">
        <f>(1+'Inputs - network configuration'!$D$8)^((H$6-G$7)/365.25)</f>
        <v>1.0249826764448853</v>
      </c>
      <c r="I27" s="790">
        <f t="shared" si="1"/>
        <v>63305.800048730154</v>
      </c>
      <c r="J27" s="743"/>
      <c r="K27" s="743"/>
      <c r="L27" s="744"/>
      <c r="O27" s="926">
        <f>Q$9</f>
        <v>50</v>
      </c>
      <c r="R27" s="749" t="s">
        <v>398</v>
      </c>
      <c r="S27" s="750">
        <v>0.94092485937784964</v>
      </c>
      <c r="T27" s="750">
        <v>6.0561796107479818E-3</v>
      </c>
      <c r="U27" s="750">
        <v>5.3018961011402285E-2</v>
      </c>
      <c r="V27" s="749"/>
    </row>
    <row r="28" spans="3:22" x14ac:dyDescent="0.25">
      <c r="H28" s="48"/>
      <c r="R28" s="749"/>
      <c r="S28" s="749"/>
      <c r="T28" s="749"/>
      <c r="U28" s="749"/>
      <c r="V28" s="749"/>
    </row>
    <row r="29" spans="3:22" x14ac:dyDescent="0.25">
      <c r="F29" s="48" t="s">
        <v>436</v>
      </c>
      <c r="R29" s="751" t="s">
        <v>399</v>
      </c>
      <c r="S29" s="749"/>
      <c r="T29" s="749"/>
      <c r="U29" s="749"/>
      <c r="V29" s="749"/>
    </row>
    <row r="30" spans="3:22" x14ac:dyDescent="0.25">
      <c r="R30" s="749" t="s">
        <v>400</v>
      </c>
      <c r="S30" s="749"/>
      <c r="T30" s="749"/>
      <c r="U30" s="752">
        <f>F21</f>
        <v>129885</v>
      </c>
      <c r="V30" s="749" t="s">
        <v>401</v>
      </c>
    </row>
    <row r="31" spans="3:22" x14ac:dyDescent="0.25">
      <c r="R31" s="749" t="s">
        <v>402</v>
      </c>
      <c r="S31" s="749"/>
      <c r="T31" s="749"/>
      <c r="U31" s="750">
        <v>0.6</v>
      </c>
      <c r="V31" s="749"/>
    </row>
    <row r="32" spans="3:22" x14ac:dyDescent="0.25">
      <c r="I32" s="48">
        <v>16432195</v>
      </c>
      <c r="R32" s="749" t="s">
        <v>403</v>
      </c>
      <c r="S32" s="749"/>
      <c r="T32" s="749"/>
      <c r="U32" s="752">
        <f>U30*U31</f>
        <v>77931</v>
      </c>
      <c r="V32" s="749" t="s">
        <v>401</v>
      </c>
    </row>
    <row r="33" spans="3:22" x14ac:dyDescent="0.25">
      <c r="I33" s="48">
        <v>5973905</v>
      </c>
      <c r="R33" s="749" t="s">
        <v>394</v>
      </c>
      <c r="S33" s="749"/>
      <c r="T33" s="749"/>
      <c r="U33" s="752">
        <v>11000</v>
      </c>
      <c r="V33" s="749" t="s">
        <v>401</v>
      </c>
    </row>
    <row r="34" spans="3:22" x14ac:dyDescent="0.25">
      <c r="I34" s="48">
        <f>AVERAGE(I32:I33)</f>
        <v>11203050</v>
      </c>
      <c r="R34" s="749"/>
      <c r="S34" s="749"/>
      <c r="T34" s="749"/>
      <c r="U34" s="749"/>
      <c r="V34" s="749"/>
    </row>
    <row r="35" spans="3:22" x14ac:dyDescent="0.25">
      <c r="R35" s="749"/>
      <c r="S35" s="748" t="s">
        <v>83</v>
      </c>
      <c r="T35" s="748" t="s">
        <v>394</v>
      </c>
      <c r="U35" s="748" t="s">
        <v>275</v>
      </c>
      <c r="V35" s="749"/>
    </row>
    <row r="36" spans="3:22" x14ac:dyDescent="0.25">
      <c r="R36" s="749" t="s">
        <v>395</v>
      </c>
      <c r="S36" s="753">
        <f>S24/SUM($S$24:$S$26,$U$24:$U$26)</f>
        <v>0.20813287839366348</v>
      </c>
      <c r="T36" s="753">
        <f>U24/SUM($S$24:$S$26,$U$24:$U$26)</f>
        <v>0.15123160480336512</v>
      </c>
      <c r="U36" s="752">
        <f>U$32*S36+U$33*T36</f>
        <v>17883.550998933606</v>
      </c>
      <c r="V36" s="749"/>
    </row>
    <row r="37" spans="3:22" x14ac:dyDescent="0.25">
      <c r="R37" s="749" t="s">
        <v>396</v>
      </c>
      <c r="S37" s="753">
        <f>S25/SUM($S$24:$S$26,$U$24:$U$26)</f>
        <v>0.26689434363869374</v>
      </c>
      <c r="T37" s="753">
        <f>U25/SUM($S$24:$S$26,$U$24:$U$26)</f>
        <v>6.1792614207559611E-2</v>
      </c>
      <c r="U37" s="752">
        <f>U$32*S37+U$33*T37</f>
        <v>21479.061850390201</v>
      </c>
      <c r="V37" s="749"/>
    </row>
    <row r="38" spans="3:22" x14ac:dyDescent="0.25">
      <c r="R38" s="749" t="s">
        <v>397</v>
      </c>
      <c r="S38" s="753">
        <f>S26/SUM($S$24:$S$26,$U$24:$U$26)</f>
        <v>0.20893847165250537</v>
      </c>
      <c r="T38" s="753">
        <f>U26/SUM($S$24:$S$26,$U$24:$U$26)</f>
        <v>0.10301008730421268</v>
      </c>
      <c r="U38" s="752">
        <f>U$32*S38+U$33*T38</f>
        <v>17415.894994697737</v>
      </c>
      <c r="V38" s="749"/>
    </row>
    <row r="39" spans="3:22" x14ac:dyDescent="0.25">
      <c r="R39" s="749"/>
      <c r="S39" s="749"/>
      <c r="T39" s="749"/>
      <c r="U39" s="752">
        <f>SUM(U36:U38)</f>
        <v>56778.507844021544</v>
      </c>
      <c r="V39" s="749"/>
    </row>
    <row r="40" spans="3:22" ht="15.75" thickBot="1" x14ac:dyDescent="0.3"/>
    <row r="41" spans="3:22" ht="75.75" thickBot="1" x14ac:dyDescent="0.3">
      <c r="C41" s="718" t="s">
        <v>341</v>
      </c>
      <c r="D41" s="719" t="s">
        <v>342</v>
      </c>
      <c r="E41" s="720"/>
      <c r="F41" s="720"/>
      <c r="G41" s="783"/>
      <c r="I41" s="721" t="s">
        <v>309</v>
      </c>
      <c r="J41" s="722" t="s">
        <v>343</v>
      </c>
      <c r="K41" s="721" t="s">
        <v>309</v>
      </c>
      <c r="L41" s="722" t="s">
        <v>343</v>
      </c>
      <c r="M41" s="722" t="s">
        <v>3</v>
      </c>
      <c r="N41" s="722" t="s">
        <v>344</v>
      </c>
      <c r="O41" s="722" t="s">
        <v>345</v>
      </c>
      <c r="P41" s="722" t="s">
        <v>346</v>
      </c>
      <c r="Q41" s="723" t="s">
        <v>347</v>
      </c>
      <c r="R41" s="724" t="s">
        <v>348</v>
      </c>
      <c r="S41" s="725" t="s">
        <v>349</v>
      </c>
      <c r="T41" s="726" t="s">
        <v>350</v>
      </c>
      <c r="U41" s="727" t="s">
        <v>351</v>
      </c>
    </row>
    <row r="42" spans="3:22" x14ac:dyDescent="0.25">
      <c r="C42" s="48" t="s">
        <v>307</v>
      </c>
      <c r="D42" s="48" t="s">
        <v>308</v>
      </c>
      <c r="I42" s="48" t="s">
        <v>309</v>
      </c>
      <c r="R42" s="48" t="s">
        <v>307</v>
      </c>
    </row>
    <row r="43" spans="3:22" x14ac:dyDescent="0.25">
      <c r="C43" s="48">
        <v>15</v>
      </c>
      <c r="D43" s="48" t="s">
        <v>310</v>
      </c>
      <c r="I43" s="48" t="s">
        <v>311</v>
      </c>
      <c r="M43" s="48" t="s">
        <v>312</v>
      </c>
      <c r="N43" s="729">
        <v>11566075.560000001</v>
      </c>
      <c r="O43" s="729">
        <v>8230000</v>
      </c>
      <c r="P43" s="730">
        <v>20543359.560000002</v>
      </c>
      <c r="Q43" s="48" t="s">
        <v>307</v>
      </c>
      <c r="R43" s="48">
        <v>15</v>
      </c>
      <c r="S43" s="48">
        <v>12.7</v>
      </c>
      <c r="T43" s="48">
        <v>10.7</v>
      </c>
      <c r="U43" s="729">
        <v>20543359.560000002</v>
      </c>
    </row>
    <row r="44" spans="3:22" x14ac:dyDescent="0.25">
      <c r="C44" s="48">
        <v>16</v>
      </c>
      <c r="D44" s="48" t="s">
        <v>313</v>
      </c>
      <c r="I44" s="48" t="s">
        <v>314</v>
      </c>
      <c r="M44" s="48" t="s">
        <v>312</v>
      </c>
      <c r="N44" s="729">
        <v>10894453.93</v>
      </c>
      <c r="O44" s="729">
        <v>7900000</v>
      </c>
      <c r="P44" s="730">
        <v>19511773.93</v>
      </c>
      <c r="Q44" s="48" t="s">
        <v>307</v>
      </c>
      <c r="R44" s="48">
        <v>16</v>
      </c>
      <c r="S44" s="48">
        <v>12</v>
      </c>
      <c r="T44" s="48">
        <v>6.5</v>
      </c>
      <c r="U44" s="729">
        <v>19511773.93</v>
      </c>
    </row>
    <row r="45" spans="3:22" x14ac:dyDescent="0.25">
      <c r="C45" s="48">
        <v>17</v>
      </c>
      <c r="D45" s="48" t="s">
        <v>315</v>
      </c>
      <c r="I45" s="48" t="s">
        <v>316</v>
      </c>
      <c r="M45" s="48" t="s">
        <v>312</v>
      </c>
      <c r="N45" s="729">
        <v>11123753</v>
      </c>
      <c r="O45" s="729">
        <v>8221806</v>
      </c>
      <c r="P45" s="730">
        <v>20092098.9848</v>
      </c>
      <c r="Q45" s="48" t="s">
        <v>307</v>
      </c>
      <c r="R45" s="48">
        <v>17</v>
      </c>
      <c r="S45" s="48">
        <v>5</v>
      </c>
      <c r="T45" s="48">
        <v>4</v>
      </c>
      <c r="U45" s="729">
        <v>20092098.9848</v>
      </c>
    </row>
    <row r="46" spans="3:22" x14ac:dyDescent="0.25">
      <c r="C46" s="48">
        <v>18</v>
      </c>
      <c r="D46" s="48" t="s">
        <v>317</v>
      </c>
      <c r="I46" s="48" t="s">
        <v>318</v>
      </c>
      <c r="M46" s="48" t="s">
        <v>312</v>
      </c>
      <c r="N46" s="729">
        <v>10579631</v>
      </c>
      <c r="O46" s="729">
        <v>7479217</v>
      </c>
      <c r="P46" s="731">
        <v>18737960.9036</v>
      </c>
      <c r="Q46" s="48" t="s">
        <v>307</v>
      </c>
      <c r="R46" s="48">
        <v>18</v>
      </c>
      <c r="S46" s="48">
        <v>3.8</v>
      </c>
      <c r="T46" s="48">
        <v>3.1</v>
      </c>
      <c r="U46" s="729">
        <v>18737960.9036</v>
      </c>
    </row>
    <row r="47" spans="3:22" x14ac:dyDescent="0.25">
      <c r="C47" s="48">
        <v>19</v>
      </c>
      <c r="D47" s="48" t="s">
        <v>319</v>
      </c>
      <c r="I47" s="48" t="s">
        <v>320</v>
      </c>
      <c r="M47" s="48" t="s">
        <v>312</v>
      </c>
      <c r="N47" s="729">
        <v>9112071</v>
      </c>
      <c r="O47" s="729">
        <v>6622595</v>
      </c>
      <c r="P47" s="732">
        <v>16335997.626</v>
      </c>
      <c r="Q47" s="48" t="s">
        <v>307</v>
      </c>
      <c r="R47" s="48">
        <v>19</v>
      </c>
      <c r="S47" s="48">
        <v>4.9000000000000004</v>
      </c>
      <c r="T47" s="48">
        <v>3.9</v>
      </c>
      <c r="U47" s="729">
        <v>16335997.626</v>
      </c>
    </row>
    <row r="48" spans="3:22" x14ac:dyDescent="0.25">
      <c r="C48" s="48">
        <v>20</v>
      </c>
      <c r="D48" s="48" t="s">
        <v>321</v>
      </c>
      <c r="I48" s="48" t="s">
        <v>322</v>
      </c>
      <c r="M48" s="48" t="s">
        <v>312</v>
      </c>
      <c r="N48" s="729">
        <v>8743360</v>
      </c>
      <c r="O48" s="729">
        <v>6528337</v>
      </c>
      <c r="P48" s="733">
        <v>15864469.999600001</v>
      </c>
      <c r="Q48" s="48" t="s">
        <v>307</v>
      </c>
      <c r="R48" s="48">
        <v>20</v>
      </c>
      <c r="S48" s="48">
        <v>21</v>
      </c>
      <c r="T48" s="48">
        <v>21</v>
      </c>
      <c r="U48" s="729">
        <v>15864469.999600001</v>
      </c>
    </row>
    <row r="49" spans="3:21" x14ac:dyDescent="0.25">
      <c r="C49" s="48">
        <v>21</v>
      </c>
      <c r="D49" s="48" t="s">
        <v>323</v>
      </c>
      <c r="I49" s="48" t="s">
        <v>324</v>
      </c>
      <c r="M49" s="48" t="s">
        <v>312</v>
      </c>
      <c r="N49" s="729">
        <v>9893134</v>
      </c>
      <c r="O49" s="729">
        <v>7200000</v>
      </c>
      <c r="P49" s="733">
        <v>17746894</v>
      </c>
      <c r="Q49" s="48" t="s">
        <v>307</v>
      </c>
      <c r="R49" s="48">
        <v>21</v>
      </c>
      <c r="S49" s="48">
        <v>29.7</v>
      </c>
      <c r="T49" s="48">
        <v>28.5</v>
      </c>
      <c r="U49" s="729">
        <v>17746894</v>
      </c>
    </row>
    <row r="50" spans="3:21" x14ac:dyDescent="0.25">
      <c r="C50" s="48">
        <v>22</v>
      </c>
      <c r="D50" s="48" t="s">
        <v>325</v>
      </c>
      <c r="I50" s="48" t="s">
        <v>326</v>
      </c>
      <c r="M50" s="48" t="s">
        <v>312</v>
      </c>
      <c r="N50" s="729">
        <v>9511872</v>
      </c>
      <c r="O50" s="729">
        <v>7186575</v>
      </c>
      <c r="P50" s="733">
        <v>17350988.009999998</v>
      </c>
      <c r="Q50" s="48" t="s">
        <v>307</v>
      </c>
      <c r="R50" s="48">
        <v>22</v>
      </c>
      <c r="S50" s="48">
        <v>4</v>
      </c>
      <c r="T50" s="48">
        <v>4</v>
      </c>
      <c r="U50" s="729">
        <v>17350988.009999998</v>
      </c>
    </row>
    <row r="51" spans="3:21" x14ac:dyDescent="0.25">
      <c r="C51" s="48">
        <v>23</v>
      </c>
      <c r="D51" s="48" t="s">
        <v>327</v>
      </c>
      <c r="I51" s="48" t="s">
        <v>328</v>
      </c>
      <c r="M51" s="48" t="s">
        <v>312</v>
      </c>
      <c r="N51" s="729">
        <v>9004793</v>
      </c>
      <c r="O51" s="729">
        <v>6973393</v>
      </c>
      <c r="P51" s="734">
        <v>16611370.0844</v>
      </c>
      <c r="Q51" s="48" t="s">
        <v>307</v>
      </c>
      <c r="R51" s="48">
        <v>23</v>
      </c>
      <c r="S51" s="48">
        <v>9.8000000000000007</v>
      </c>
      <c r="T51" s="48">
        <v>9.8000000000000007</v>
      </c>
      <c r="U51" s="729">
        <v>16611370.0844</v>
      </c>
    </row>
    <row r="52" spans="3:21" x14ac:dyDescent="0.25">
      <c r="C52" s="48">
        <v>24</v>
      </c>
      <c r="D52" s="48" t="s">
        <v>329</v>
      </c>
      <c r="I52" s="48" t="s">
        <v>330</v>
      </c>
      <c r="M52" s="48" t="s">
        <v>312</v>
      </c>
      <c r="N52" s="729">
        <v>8453260.4000000004</v>
      </c>
      <c r="O52" s="729">
        <v>6800000</v>
      </c>
      <c r="P52" s="732">
        <v>15870700.4</v>
      </c>
      <c r="Q52" s="48" t="s">
        <v>307</v>
      </c>
      <c r="R52" s="48">
        <v>24</v>
      </c>
      <c r="S52" s="48">
        <v>53.5</v>
      </c>
      <c r="T52" s="48">
        <v>40.5</v>
      </c>
      <c r="U52" s="729">
        <v>15870700.4</v>
      </c>
    </row>
    <row r="53" spans="3:21" x14ac:dyDescent="0.25">
      <c r="C53" s="48">
        <v>25</v>
      </c>
      <c r="D53" s="48" t="s">
        <v>331</v>
      </c>
      <c r="I53" s="48" t="s">
        <v>332</v>
      </c>
      <c r="M53" s="48" t="s">
        <v>312</v>
      </c>
      <c r="N53" s="729">
        <v>3149041.13</v>
      </c>
      <c r="O53" s="729">
        <v>2547540</v>
      </c>
      <c r="P53" s="733">
        <v>5927897.7620000001</v>
      </c>
      <c r="Q53" s="48" t="s">
        <v>307</v>
      </c>
      <c r="R53" s="48">
        <v>25</v>
      </c>
      <c r="S53" s="48">
        <v>20.599999999999998</v>
      </c>
      <c r="T53" s="48">
        <v>17.7</v>
      </c>
      <c r="U53" s="729">
        <v>5927897.7620000001</v>
      </c>
    </row>
    <row r="54" spans="3:21" x14ac:dyDescent="0.25">
      <c r="C54" s="48">
        <v>26</v>
      </c>
      <c r="D54" s="48" t="s">
        <v>333</v>
      </c>
      <c r="I54" s="48" t="s">
        <v>334</v>
      </c>
      <c r="M54" s="48" t="s">
        <v>312</v>
      </c>
      <c r="N54" s="729">
        <v>2352694</v>
      </c>
      <c r="O54" s="729">
        <v>1904058</v>
      </c>
      <c r="P54" s="733">
        <v>4429640.4664000003</v>
      </c>
      <c r="Q54" s="48" t="s">
        <v>307</v>
      </c>
      <c r="R54" s="48">
        <v>26</v>
      </c>
      <c r="S54" s="48">
        <v>47.79999999999999</v>
      </c>
      <c r="T54" s="48">
        <v>33.399999999999991</v>
      </c>
      <c r="U54" s="729">
        <v>4429640.4664000003</v>
      </c>
    </row>
    <row r="55" spans="3:21" x14ac:dyDescent="0.25">
      <c r="C55" s="48">
        <v>27</v>
      </c>
      <c r="D55" s="48" t="s">
        <v>335</v>
      </c>
      <c r="I55" s="48" t="s">
        <v>336</v>
      </c>
      <c r="M55" s="48" t="s">
        <v>312</v>
      </c>
      <c r="N55" s="729">
        <v>2436274</v>
      </c>
      <c r="O55" s="729">
        <v>1910000</v>
      </c>
      <c r="P55" s="733">
        <v>4519702</v>
      </c>
      <c r="Q55" s="48" t="s">
        <v>307</v>
      </c>
      <c r="R55" s="48">
        <v>27</v>
      </c>
      <c r="S55" s="48">
        <v>14</v>
      </c>
      <c r="T55" s="48">
        <v>10</v>
      </c>
      <c r="U55" s="729">
        <v>4519702</v>
      </c>
    </row>
    <row r="56" spans="3:21" x14ac:dyDescent="0.25">
      <c r="C56" s="48">
        <v>28</v>
      </c>
      <c r="D56" s="48" t="s">
        <v>337</v>
      </c>
      <c r="I56" s="48" t="s">
        <v>338</v>
      </c>
      <c r="M56" s="48" t="s">
        <v>312</v>
      </c>
      <c r="N56" s="729">
        <v>8731147.1400000006</v>
      </c>
      <c r="O56" s="729">
        <v>7060000</v>
      </c>
      <c r="P56" s="733">
        <v>16432195.140000001</v>
      </c>
      <c r="Q56" s="48" t="s">
        <v>307</v>
      </c>
      <c r="R56" s="48">
        <v>28</v>
      </c>
      <c r="S56" s="48">
        <v>13.3</v>
      </c>
      <c r="T56" s="48">
        <v>11.5</v>
      </c>
      <c r="U56" s="729">
        <v>16432195.140000001</v>
      </c>
    </row>
    <row r="57" spans="3:21" x14ac:dyDescent="0.25">
      <c r="C57" s="48">
        <v>29</v>
      </c>
      <c r="D57" s="48" t="s">
        <v>339</v>
      </c>
      <c r="I57" s="48" t="s">
        <v>340</v>
      </c>
      <c r="M57" s="48" t="s">
        <v>312</v>
      </c>
      <c r="N57" s="729">
        <v>3192365.05</v>
      </c>
      <c r="O57" s="729">
        <v>2550000</v>
      </c>
      <c r="P57" s="734">
        <v>5973905.0499999998</v>
      </c>
      <c r="Q57" s="48" t="s">
        <v>307</v>
      </c>
      <c r="R57" s="48">
        <v>29</v>
      </c>
      <c r="S57" s="48">
        <v>30.2</v>
      </c>
      <c r="T57" s="48">
        <v>21.5</v>
      </c>
      <c r="U57" s="729">
        <v>5973905.0499999998</v>
      </c>
    </row>
    <row r="59" spans="3:21" x14ac:dyDescent="0.25">
      <c r="C59" s="728" t="s">
        <v>352</v>
      </c>
    </row>
    <row r="60" spans="3:21" x14ac:dyDescent="0.25">
      <c r="P60" s="735">
        <f>ROUND(SUMPRODUCT(P47:P52,S47:S52)/SUM(S47:S52),-3)</f>
        <v>16449000</v>
      </c>
    </row>
    <row r="61" spans="3:21" x14ac:dyDescent="0.25">
      <c r="D61" s="717" t="s">
        <v>128</v>
      </c>
      <c r="F61" s="717"/>
      <c r="G61" s="717"/>
      <c r="P61" s="735">
        <f>ROUND(SUMPRODUCT(P52:P57,S52:S57)/SUM(S52:S57),-3)</f>
        <v>9170000</v>
      </c>
    </row>
    <row r="62" spans="3:21" x14ac:dyDescent="0.25">
      <c r="D62" s="717" t="s">
        <v>306</v>
      </c>
      <c r="F62" s="717"/>
      <c r="G62" s="717"/>
    </row>
  </sheetData>
  <mergeCells count="1">
    <mergeCell ref="J5:L5"/>
  </mergeCells>
  <pageMargins left="0.7" right="0.7" top="0.75" bottom="0.75" header="0.3" footer="0.3"/>
  <pageSetup paperSize="9" orientation="landscape" horizontalDpi="300" verticalDpi="300" r:id="rId1"/>
  <headerFooter>
    <oddFooter>&amp;C&amp;"Arial,Bold"MODEL FOR DEMONSTRATION ONLY
The data contained in this model is for demonstration only.  Network and tariff data may not neccesarily represent the Energex network.</oddFooter>
  </headerFooter>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FA87"/>
    <pageSetUpPr fitToPage="1"/>
  </sheetPr>
  <dimension ref="B2:BN63"/>
  <sheetViews>
    <sheetView showGridLines="0" zoomScale="125" zoomScaleNormal="125" workbookViewId="0">
      <pane xSplit="3" ySplit="5" topLeftCell="R13" activePane="bottomRight" state="frozen"/>
      <selection activeCell="B34" sqref="B34"/>
      <selection pane="topRight" activeCell="B34" sqref="B34"/>
      <selection pane="bottomLeft" activeCell="B34" sqref="B34"/>
      <selection pane="bottomRight" activeCell="AB37" sqref="AB37"/>
    </sheetView>
  </sheetViews>
  <sheetFormatPr defaultColWidth="8.85546875" defaultRowHeight="15" x14ac:dyDescent="0.2"/>
  <cols>
    <col min="1" max="1" width="5.140625" style="3" customWidth="1"/>
    <col min="2" max="2" width="17.28515625" style="3" bestFit="1" customWidth="1"/>
    <col min="3" max="3" width="25.42578125" style="3" customWidth="1"/>
    <col min="4" max="4" width="18.7109375" style="3" customWidth="1"/>
    <col min="5" max="5" width="29.28515625" style="3" customWidth="1"/>
    <col min="6" max="6" width="16" style="3" bestFit="1" customWidth="1"/>
    <col min="7" max="7" width="13.85546875" style="3" bestFit="1" customWidth="1"/>
    <col min="8" max="8" width="8.42578125" style="3" customWidth="1"/>
    <col min="9" max="10" width="10.140625" style="3" customWidth="1"/>
    <col min="11" max="11" width="12.7109375" style="3" bestFit="1" customWidth="1"/>
    <col min="12" max="12" width="11.7109375" style="3" bestFit="1" customWidth="1"/>
    <col min="13" max="14" width="8.42578125" style="3" customWidth="1"/>
    <col min="15" max="15" width="18.140625" style="3" bestFit="1" customWidth="1"/>
    <col min="16" max="16" width="9.85546875" style="3" customWidth="1"/>
    <col min="17" max="17" width="10.42578125" style="3" bestFit="1" customWidth="1"/>
    <col min="18" max="18" width="13.85546875" style="3" bestFit="1" customWidth="1"/>
    <col min="19" max="20" width="6.28515625" style="3" bestFit="1" customWidth="1"/>
    <col min="21" max="21" width="13.85546875" style="3" bestFit="1" customWidth="1"/>
    <col min="22" max="24" width="6.28515625" style="3" bestFit="1" customWidth="1"/>
    <col min="25" max="25" width="16.42578125" style="3" bestFit="1" customWidth="1"/>
    <col min="26" max="26" width="30.28515625" style="3" bestFit="1" customWidth="1"/>
    <col min="27" max="27" width="9.42578125" style="3" bestFit="1" customWidth="1"/>
    <col min="28" max="28" width="13.85546875" style="3" bestFit="1" customWidth="1"/>
    <col min="29" max="29" width="7.28515625" style="3" bestFit="1" customWidth="1"/>
    <col min="30" max="30" width="10.42578125" style="3" bestFit="1" customWidth="1"/>
    <col min="31" max="31" width="6.28515625" style="3" bestFit="1" customWidth="1"/>
    <col min="32" max="32" width="12.7109375" style="3" bestFit="1" customWidth="1"/>
    <col min="33" max="33" width="11.7109375" style="3" bestFit="1" customWidth="1"/>
    <col min="34" max="34" width="8.42578125" style="3" bestFit="1" customWidth="1"/>
    <col min="35" max="35" width="6.28515625" style="3" bestFit="1" customWidth="1"/>
    <col min="36" max="36" width="16" style="3" bestFit="1" customWidth="1"/>
    <col min="37" max="37" width="6.28515625" style="3" bestFit="1" customWidth="1"/>
    <col min="38" max="38" width="10.42578125" style="3" bestFit="1" customWidth="1"/>
    <col min="39" max="39" width="13.85546875" style="3" bestFit="1" customWidth="1"/>
    <col min="40" max="41" width="6.28515625" style="3" bestFit="1" customWidth="1"/>
    <col min="42" max="42" width="13.85546875" style="3" bestFit="1" customWidth="1"/>
    <col min="43" max="45" width="6.28515625" style="3" bestFit="1" customWidth="1"/>
    <col min="46" max="46" width="15.42578125" style="3" bestFit="1" customWidth="1"/>
    <col min="47" max="47" width="31.28515625" style="3" bestFit="1" customWidth="1"/>
    <col min="48" max="48" width="9.42578125" style="3" bestFit="1" customWidth="1"/>
    <col min="49" max="49" width="13.85546875" style="3" customWidth="1"/>
    <col min="50" max="50" width="7.28515625" style="3" bestFit="1" customWidth="1"/>
    <col min="51" max="51" width="10.42578125" style="3" bestFit="1" customWidth="1"/>
    <col min="52" max="52" width="6.28515625" style="3" bestFit="1" customWidth="1"/>
    <col min="53" max="53" width="12.7109375" style="3" bestFit="1" customWidth="1"/>
    <col min="54" max="54" width="11.7109375" style="3" bestFit="1" customWidth="1"/>
    <col min="55" max="55" width="5.140625" style="3" bestFit="1" customWidth="1"/>
    <col min="56" max="56" width="6.28515625" style="3" bestFit="1" customWidth="1"/>
    <col min="57" max="57" width="14.85546875" style="3" bestFit="1" customWidth="1"/>
    <col min="58" max="58" width="6.28515625" style="3" bestFit="1" customWidth="1"/>
    <col min="59" max="59" width="10.42578125" style="3" bestFit="1" customWidth="1"/>
    <col min="60" max="60" width="13.85546875" style="3" bestFit="1" customWidth="1"/>
    <col min="61" max="61" width="3.140625" style="3" bestFit="1" customWidth="1"/>
    <col min="62" max="62" width="6.28515625" style="3" bestFit="1" customWidth="1"/>
    <col min="63" max="63" width="13.85546875" style="3" bestFit="1" customWidth="1"/>
    <col min="64" max="66" width="6.28515625" style="3" bestFit="1" customWidth="1"/>
    <col min="67" max="16384" width="8.85546875" style="3"/>
  </cols>
  <sheetData>
    <row r="2" spans="2:66" ht="15" customHeight="1" x14ac:dyDescent="0.2">
      <c r="B2" s="2" t="s">
        <v>176</v>
      </c>
    </row>
    <row r="3" spans="2:66" ht="15" customHeight="1" x14ac:dyDescent="0.25">
      <c r="B3" s="1" t="str">
        <f ca="1">"Filename:  "&amp;MID(CELL("filename",C2),FIND("[",CELL("filename",C2))+1,FIND("]",CELL("filename",C2))-FIND("[",CELL("filename",C2))-1)</f>
        <v>Filename:  ERG 14.009 2020-25 LRMC Model JAN19 PUBLIC.xlsx</v>
      </c>
    </row>
    <row r="4" spans="2:66" ht="15" customHeight="1" x14ac:dyDescent="0.2">
      <c r="B4" s="2"/>
    </row>
    <row r="5" spans="2:66" ht="15" customHeight="1" x14ac:dyDescent="0.2">
      <c r="D5" s="970" t="s">
        <v>71</v>
      </c>
      <c r="E5" s="970"/>
      <c r="F5" s="970"/>
      <c r="G5" s="970"/>
      <c r="H5" s="970"/>
      <c r="I5" s="970"/>
      <c r="J5" s="970"/>
      <c r="K5" s="970"/>
      <c r="L5" s="970"/>
      <c r="M5" s="970"/>
      <c r="N5" s="970"/>
      <c r="O5" s="970"/>
      <c r="P5" s="970"/>
      <c r="Q5" s="970"/>
      <c r="R5" s="970"/>
      <c r="S5" s="970"/>
      <c r="T5" s="970"/>
      <c r="U5" s="970"/>
      <c r="V5" s="970"/>
      <c r="W5" s="970"/>
      <c r="X5" s="971"/>
      <c r="Y5" s="972" t="s">
        <v>72</v>
      </c>
      <c r="Z5" s="972"/>
      <c r="AA5" s="972"/>
      <c r="AB5" s="972"/>
      <c r="AC5" s="972"/>
      <c r="AD5" s="972"/>
      <c r="AE5" s="972"/>
      <c r="AF5" s="972"/>
      <c r="AG5" s="972"/>
      <c r="AH5" s="972"/>
      <c r="AI5" s="972"/>
      <c r="AJ5" s="972"/>
      <c r="AK5" s="972"/>
      <c r="AL5" s="972"/>
      <c r="AM5" s="972"/>
      <c r="AN5" s="972"/>
      <c r="AO5" s="972"/>
      <c r="AP5" s="972"/>
      <c r="AQ5" s="972"/>
      <c r="AR5" s="972"/>
      <c r="AS5" s="972"/>
      <c r="AT5" s="968" t="s">
        <v>73</v>
      </c>
      <c r="AU5" s="969"/>
      <c r="AV5" s="969"/>
      <c r="AW5" s="969"/>
      <c r="AX5" s="969"/>
      <c r="AY5" s="969"/>
      <c r="AZ5" s="969"/>
      <c r="BA5" s="969"/>
      <c r="BB5" s="969"/>
      <c r="BC5" s="969"/>
      <c r="BD5" s="969"/>
      <c r="BE5" s="969"/>
      <c r="BF5" s="969"/>
      <c r="BG5" s="969"/>
      <c r="BH5" s="969"/>
      <c r="BI5" s="969"/>
      <c r="BJ5" s="969"/>
      <c r="BK5" s="969"/>
      <c r="BL5" s="969"/>
      <c r="BM5" s="969"/>
      <c r="BN5" s="969"/>
    </row>
    <row r="6" spans="2:66" s="25" customFormat="1" ht="15" customHeight="1" x14ac:dyDescent="0.2">
      <c r="D6" s="299"/>
      <c r="E6" s="299"/>
      <c r="F6" s="299"/>
      <c r="G6" s="299"/>
      <c r="H6" s="299"/>
      <c r="I6" s="299"/>
      <c r="J6" s="299"/>
      <c r="K6" s="299"/>
      <c r="L6" s="299"/>
      <c r="M6" s="299"/>
      <c r="N6" s="299"/>
      <c r="O6" s="299"/>
      <c r="P6" s="299"/>
      <c r="Q6" s="299"/>
      <c r="R6" s="299"/>
      <c r="S6" s="299"/>
      <c r="T6" s="299"/>
      <c r="U6" s="299"/>
      <c r="V6" s="299"/>
      <c r="W6" s="299"/>
      <c r="X6" s="302"/>
      <c r="Y6" s="299"/>
      <c r="Z6" s="299"/>
      <c r="AA6" s="299"/>
      <c r="AB6" s="299"/>
      <c r="AC6" s="299"/>
      <c r="AD6" s="299"/>
      <c r="AE6" s="299"/>
      <c r="AF6" s="299"/>
      <c r="AG6" s="299"/>
      <c r="AH6" s="299"/>
      <c r="AI6" s="299"/>
      <c r="AJ6" s="299"/>
      <c r="AK6" s="299"/>
      <c r="AL6" s="299"/>
      <c r="AM6" s="299"/>
      <c r="AN6" s="299"/>
      <c r="AO6" s="299"/>
      <c r="AP6" s="299"/>
      <c r="AQ6" s="299"/>
      <c r="AR6" s="299"/>
      <c r="AS6" s="299"/>
      <c r="AT6" s="300"/>
      <c r="AU6" s="301"/>
      <c r="AV6" s="301"/>
      <c r="AW6" s="301"/>
      <c r="AX6" s="301"/>
      <c r="AY6" s="301"/>
      <c r="AZ6" s="301"/>
      <c r="BA6" s="301"/>
      <c r="BB6" s="301"/>
      <c r="BC6" s="301"/>
      <c r="BD6" s="301"/>
      <c r="BE6" s="301"/>
      <c r="BF6" s="301"/>
      <c r="BG6" s="301"/>
      <c r="BH6" s="301"/>
      <c r="BI6" s="301"/>
      <c r="BJ6" s="301"/>
      <c r="BK6" s="301"/>
      <c r="BL6" s="301"/>
      <c r="BM6" s="301"/>
      <c r="BN6" s="301"/>
    </row>
    <row r="7" spans="2:66" s="25" customFormat="1" ht="15" customHeight="1" x14ac:dyDescent="0.2">
      <c r="D7" s="299"/>
      <c r="E7" s="299"/>
      <c r="F7" s="299"/>
      <c r="G7" s="299"/>
      <c r="H7" s="299"/>
      <c r="I7" s="299"/>
      <c r="J7" s="299"/>
      <c r="K7" s="299"/>
      <c r="L7" s="299"/>
      <c r="M7" s="299"/>
      <c r="N7" s="299"/>
      <c r="O7" s="299"/>
      <c r="P7" s="299"/>
      <c r="Q7" s="299"/>
      <c r="R7" s="299"/>
      <c r="S7" s="299"/>
      <c r="T7" s="299"/>
      <c r="U7" s="299"/>
      <c r="V7" s="299"/>
      <c r="W7" s="299"/>
      <c r="X7" s="302"/>
      <c r="Y7" s="299"/>
      <c r="Z7" s="299"/>
      <c r="AA7" s="299"/>
      <c r="AB7" s="299"/>
      <c r="AC7" s="299"/>
      <c r="AD7" s="299"/>
      <c r="AE7" s="299"/>
      <c r="AF7" s="299"/>
      <c r="AG7" s="299"/>
      <c r="AH7" s="299"/>
      <c r="AI7" s="299"/>
      <c r="AJ7" s="299"/>
      <c r="AK7" s="299"/>
      <c r="AL7" s="299"/>
      <c r="AM7" s="299"/>
      <c r="AN7" s="299"/>
      <c r="AO7" s="299"/>
      <c r="AP7" s="299"/>
      <c r="AQ7" s="299"/>
      <c r="AR7" s="299"/>
      <c r="AS7" s="302"/>
      <c r="AT7" s="301"/>
      <c r="AU7" s="301"/>
      <c r="AV7" s="301"/>
      <c r="AW7" s="301"/>
      <c r="AX7" s="301"/>
      <c r="AY7" s="301"/>
      <c r="AZ7" s="301"/>
      <c r="BA7" s="301"/>
      <c r="BB7" s="301"/>
      <c r="BC7" s="301"/>
      <c r="BD7" s="301"/>
      <c r="BE7" s="301"/>
      <c r="BF7" s="301"/>
      <c r="BG7" s="301"/>
      <c r="BH7" s="301"/>
      <c r="BI7" s="301"/>
      <c r="BJ7" s="301"/>
      <c r="BK7" s="301"/>
      <c r="BL7" s="301"/>
      <c r="BM7" s="301"/>
      <c r="BN7" s="301"/>
    </row>
    <row r="8" spans="2:66" ht="15" customHeight="1" x14ac:dyDescent="0.2">
      <c r="C8" s="113" t="s">
        <v>14</v>
      </c>
      <c r="D8" s="951" t="s">
        <v>59</v>
      </c>
      <c r="E8" s="966"/>
      <c r="F8" s="966"/>
      <c r="G8" s="966"/>
      <c r="H8" s="299"/>
      <c r="I8" s="299"/>
      <c r="J8" s="299"/>
      <c r="K8" s="299"/>
      <c r="L8" s="299"/>
      <c r="M8" s="299"/>
      <c r="N8" s="299"/>
      <c r="O8" s="299"/>
      <c r="P8" s="299"/>
      <c r="Q8" s="16"/>
      <c r="R8" s="16"/>
      <c r="S8" s="16"/>
      <c r="T8" s="16"/>
      <c r="U8" s="16"/>
      <c r="V8" s="16"/>
      <c r="W8" s="16"/>
      <c r="X8" s="224"/>
      <c r="Y8" s="966" t="s">
        <v>59</v>
      </c>
      <c r="Z8" s="966"/>
      <c r="AA8" s="966"/>
      <c r="AB8" s="952"/>
      <c r="AC8" s="16"/>
      <c r="AD8" s="16"/>
      <c r="AE8" s="16"/>
      <c r="AF8" s="16"/>
      <c r="AG8" s="16"/>
      <c r="AH8" s="16"/>
      <c r="AI8" s="16"/>
      <c r="AJ8" s="16"/>
      <c r="AL8" s="16"/>
      <c r="AM8" s="16"/>
      <c r="AN8" s="16"/>
      <c r="AO8" s="16"/>
      <c r="AP8" s="16"/>
      <c r="AQ8" s="16"/>
      <c r="AR8" s="16"/>
      <c r="AS8" s="224"/>
      <c r="AT8" s="941" t="s">
        <v>59</v>
      </c>
      <c r="AU8" s="966"/>
      <c r="AV8" s="966"/>
      <c r="AW8" s="952"/>
    </row>
    <row r="9" spans="2:66" ht="15" customHeight="1" x14ac:dyDescent="0.2">
      <c r="C9" s="114"/>
      <c r="D9" s="765" t="s">
        <v>60</v>
      </c>
      <c r="E9" s="107" t="s">
        <v>61</v>
      </c>
      <c r="F9" s="107" t="s">
        <v>62</v>
      </c>
      <c r="G9" s="766" t="s">
        <v>134</v>
      </c>
      <c r="H9" s="299"/>
      <c r="I9" s="299"/>
      <c r="J9" s="299"/>
      <c r="K9" s="299"/>
      <c r="L9" s="299"/>
      <c r="M9" s="299"/>
      <c r="N9" s="299"/>
      <c r="O9" s="299"/>
      <c r="P9" s="299"/>
      <c r="Q9" s="16"/>
      <c r="R9" s="16"/>
      <c r="S9" s="16"/>
      <c r="T9" s="16"/>
      <c r="U9" s="16"/>
      <c r="V9" s="16"/>
      <c r="W9" s="16"/>
      <c r="X9" s="224"/>
      <c r="Y9" s="107" t="s">
        <v>60</v>
      </c>
      <c r="Z9" s="107" t="s">
        <v>61</v>
      </c>
      <c r="AA9" s="107" t="s">
        <v>62</v>
      </c>
      <c r="AB9" s="209" t="s">
        <v>134</v>
      </c>
      <c r="AC9" s="16"/>
      <c r="AD9" s="16"/>
      <c r="AE9" s="16"/>
      <c r="AF9" s="16"/>
      <c r="AG9" s="16"/>
      <c r="AH9" s="16"/>
      <c r="AI9" s="16"/>
      <c r="AJ9" s="16"/>
      <c r="AL9" s="16"/>
      <c r="AM9" s="16"/>
      <c r="AN9" s="16"/>
      <c r="AO9" s="16"/>
      <c r="AP9" s="16"/>
      <c r="AQ9" s="16"/>
      <c r="AR9" s="16"/>
      <c r="AS9" s="224"/>
      <c r="AT9" s="107" t="s">
        <v>60</v>
      </c>
      <c r="AU9" s="107" t="s">
        <v>61</v>
      </c>
      <c r="AV9" s="107" t="s">
        <v>62</v>
      </c>
      <c r="AW9" s="538" t="s">
        <v>134</v>
      </c>
    </row>
    <row r="10" spans="2:66" ht="15" customHeight="1" x14ac:dyDescent="0.2">
      <c r="C10" s="14" t="s">
        <v>355</v>
      </c>
      <c r="D10" s="862">
        <f>'Inputs - network configuration'!$D$42*'Inputs - tariff class'!E51</f>
        <v>451.41204359601204</v>
      </c>
      <c r="E10" s="843"/>
      <c r="F10" s="843"/>
      <c r="G10" s="863"/>
      <c r="H10" s="299"/>
      <c r="I10" s="299"/>
      <c r="J10" s="299"/>
      <c r="K10" s="299"/>
      <c r="L10" s="299"/>
      <c r="M10" s="299"/>
      <c r="N10" s="299"/>
      <c r="O10" s="299"/>
      <c r="P10" s="299"/>
      <c r="Q10" s="16"/>
      <c r="R10" s="16"/>
      <c r="S10" s="16"/>
      <c r="T10" s="16"/>
      <c r="U10" s="16"/>
      <c r="V10" s="16"/>
      <c r="W10" s="16"/>
      <c r="X10" s="224"/>
      <c r="Y10" s="858">
        <f>'Inputs - network configuration'!$Y$42*'Inputs - tariff class'!Z51</f>
        <v>41.404846633234946</v>
      </c>
      <c r="Z10" s="82"/>
      <c r="AA10" s="82"/>
      <c r="AB10" s="45"/>
      <c r="AC10" s="16"/>
      <c r="AD10" s="16"/>
      <c r="AE10" s="16"/>
      <c r="AF10" s="16"/>
      <c r="AG10" s="16"/>
      <c r="AH10" s="16"/>
      <c r="AI10" s="16"/>
      <c r="AJ10" s="16"/>
      <c r="AL10" s="16"/>
      <c r="AM10" s="16"/>
      <c r="AN10" s="16"/>
      <c r="AO10" s="16"/>
      <c r="AP10" s="16"/>
      <c r="AQ10" s="16"/>
      <c r="AR10" s="16"/>
      <c r="AS10" s="224"/>
      <c r="AT10" s="502"/>
      <c r="AU10" s="82"/>
      <c r="AV10" s="82"/>
      <c r="AW10" s="45"/>
    </row>
    <row r="11" spans="2:66" ht="15" customHeight="1" x14ac:dyDescent="0.2">
      <c r="C11" s="14" t="s">
        <v>360</v>
      </c>
      <c r="D11" s="225">
        <f>'Inputs - network configuration'!$D$42*'Inputs - tariff class'!E52</f>
        <v>315.76185175011369</v>
      </c>
      <c r="E11" s="227">
        <f>'Inputs - network configuration'!D67*D11</f>
        <v>113.99002848179104</v>
      </c>
      <c r="F11" s="227">
        <f>'Inputs - network configuration'!E67*D11</f>
        <v>201.77182326832266</v>
      </c>
      <c r="G11" s="228">
        <f>'Inputs - network configuration'!F78*D11</f>
        <v>0</v>
      </c>
      <c r="H11" s="299"/>
      <c r="I11" s="299"/>
      <c r="J11" s="299"/>
      <c r="K11" s="299"/>
      <c r="L11" s="299"/>
      <c r="M11" s="299"/>
      <c r="N11" s="299"/>
      <c r="O11" s="299"/>
      <c r="P11" s="299"/>
      <c r="Q11" s="16"/>
      <c r="R11" s="16"/>
      <c r="S11" s="16"/>
      <c r="T11" s="16"/>
      <c r="U11" s="16"/>
      <c r="V11" s="16"/>
      <c r="W11" s="16"/>
      <c r="X11" s="224"/>
      <c r="Y11" s="227">
        <f>'Inputs - network configuration'!$Y$42*'Inputs - tariff class'!Z52</f>
        <v>31.572493565695286</v>
      </c>
      <c r="Z11" s="745">
        <f>'Inputs - network configuration'!Y67*Y11</f>
        <v>7.3563910008070019</v>
      </c>
      <c r="AA11" s="227">
        <f>'Inputs - network configuration'!Z67*Y11</f>
        <v>24.216102564888285</v>
      </c>
      <c r="AB11" s="228">
        <f>'Inputs - network configuration'!AA78*Y11</f>
        <v>0</v>
      </c>
      <c r="AC11" s="16"/>
      <c r="AD11" s="16"/>
      <c r="AE11" s="16"/>
      <c r="AF11" s="16"/>
      <c r="AG11" s="16"/>
      <c r="AH11" s="16"/>
      <c r="AI11" s="16"/>
      <c r="AJ11" s="16"/>
      <c r="AL11" s="16"/>
      <c r="AM11" s="16"/>
      <c r="AN11" s="16"/>
      <c r="AO11" s="16"/>
      <c r="AP11" s="16"/>
      <c r="AQ11" s="16"/>
      <c r="AR11" s="16"/>
      <c r="AS11" s="224"/>
      <c r="AT11" s="503"/>
      <c r="AU11" s="229"/>
      <c r="AV11" s="229"/>
      <c r="AW11" s="230"/>
    </row>
    <row r="12" spans="2:66" ht="15" customHeight="1" x14ac:dyDescent="0.2">
      <c r="C12" s="14" t="s">
        <v>361</v>
      </c>
      <c r="D12" s="225">
        <f>'Inputs - network configuration'!$D$42*'Inputs - tariff class'!E53</f>
        <v>275.27302135849675</v>
      </c>
      <c r="E12" s="229"/>
      <c r="F12" s="229"/>
      <c r="G12" s="230"/>
      <c r="H12" s="299"/>
      <c r="I12" s="299"/>
      <c r="J12" s="299"/>
      <c r="K12" s="299"/>
      <c r="L12" s="299"/>
      <c r="M12" s="299"/>
      <c r="N12" s="299"/>
      <c r="O12" s="299"/>
      <c r="P12" s="299"/>
      <c r="Q12" s="16"/>
      <c r="R12" s="16"/>
      <c r="S12" s="16"/>
      <c r="T12" s="16"/>
      <c r="U12" s="16"/>
      <c r="V12" s="16"/>
      <c r="W12" s="16"/>
      <c r="X12" s="224"/>
      <c r="Y12" s="227">
        <f>'Inputs - network configuration'!$Y$42*'Inputs - tariff class'!Z53</f>
        <v>29.559265270903005</v>
      </c>
      <c r="Z12" s="229"/>
      <c r="AA12" s="229"/>
      <c r="AB12" s="230"/>
      <c r="AC12" s="16"/>
      <c r="AD12" s="16"/>
      <c r="AE12" s="16"/>
      <c r="AF12" s="16"/>
      <c r="AG12" s="16"/>
      <c r="AH12" s="16"/>
      <c r="AI12" s="16"/>
      <c r="AJ12" s="16"/>
      <c r="AL12" s="16"/>
      <c r="AM12" s="16"/>
      <c r="AN12" s="16"/>
      <c r="AO12" s="16"/>
      <c r="AP12" s="16"/>
      <c r="AQ12" s="16"/>
      <c r="AR12" s="16"/>
      <c r="AS12" s="224"/>
      <c r="AT12" s="503"/>
      <c r="AU12" s="229"/>
      <c r="AV12" s="229"/>
      <c r="AW12" s="230"/>
    </row>
    <row r="13" spans="2:66" ht="15" customHeight="1" x14ac:dyDescent="0.2">
      <c r="C13" s="14" t="s">
        <v>362</v>
      </c>
      <c r="D13" s="225">
        <f>'Inputs - network configuration'!$D$42*'Inputs - tariff class'!E54</f>
        <v>234.78419096687978</v>
      </c>
      <c r="E13" s="227">
        <f>'Inputs - network configuration'!D69*D13</f>
        <v>167.87069654131903</v>
      </c>
      <c r="F13" s="227">
        <f>'Inputs - network configuration'!E69*D13</f>
        <v>66.678710234593851</v>
      </c>
      <c r="G13" s="228">
        <f>'Inputs - network configuration'!F79*D13</f>
        <v>0</v>
      </c>
      <c r="H13" s="299"/>
      <c r="I13" s="299"/>
      <c r="J13" s="299"/>
      <c r="K13" s="299"/>
      <c r="L13" s="299"/>
      <c r="M13" s="299"/>
      <c r="N13" s="299"/>
      <c r="O13" s="299"/>
      <c r="P13" s="299"/>
      <c r="Q13" s="16"/>
      <c r="R13" s="16"/>
      <c r="S13" s="16"/>
      <c r="T13" s="16"/>
      <c r="U13" s="16"/>
      <c r="V13" s="16"/>
      <c r="W13" s="16"/>
      <c r="X13" s="224"/>
      <c r="Y13" s="227">
        <f>'Inputs - network configuration'!$Y$42*'Inputs - tariff class'!Z54</f>
        <v>27.358142372181874</v>
      </c>
      <c r="Z13" s="227">
        <f>'Inputs - network configuration'!Y69*Y13</f>
        <v>4.5523948907310636</v>
      </c>
      <c r="AA13" s="227">
        <f>'Inputs - network configuration'!Z69*Y13</f>
        <v>22.789332596027499</v>
      </c>
      <c r="AB13" s="228">
        <f>'Inputs - network configuration'!AA79*Y13</f>
        <v>0</v>
      </c>
      <c r="AC13" s="16"/>
      <c r="AD13" s="16"/>
      <c r="AE13" s="16"/>
      <c r="AF13" s="16"/>
      <c r="AG13" s="16"/>
      <c r="AH13" s="16"/>
      <c r="AI13" s="16"/>
      <c r="AJ13" s="16"/>
      <c r="AL13" s="16"/>
      <c r="AM13" s="16"/>
      <c r="AN13" s="16"/>
      <c r="AO13" s="16"/>
      <c r="AP13" s="16"/>
      <c r="AQ13" s="16"/>
      <c r="AR13" s="16"/>
      <c r="AS13" s="224"/>
      <c r="AT13" s="503"/>
      <c r="AU13" s="229"/>
      <c r="AV13" s="229"/>
      <c r="AW13" s="230"/>
    </row>
    <row r="14" spans="2:66" ht="15" customHeight="1" x14ac:dyDescent="0.2">
      <c r="C14" s="14" t="s">
        <v>357</v>
      </c>
      <c r="D14" s="225">
        <f>'Inputs - network configuration'!$D$42*'Inputs - tariff class'!E55</f>
        <v>131.12332410635952</v>
      </c>
      <c r="E14" s="227">
        <f>'Inputs - network configuration'!D70*D14</f>
        <v>89.16386039232448</v>
      </c>
      <c r="F14" s="227">
        <f>'Inputs - network configuration'!E70*D14</f>
        <v>41.880789719571233</v>
      </c>
      <c r="G14" s="228">
        <f>'Inputs - network configuration'!F80*D14</f>
        <v>0</v>
      </c>
      <c r="H14" s="299"/>
      <c r="I14" s="299"/>
      <c r="J14" s="299"/>
      <c r="K14" s="299"/>
      <c r="L14" s="299"/>
      <c r="M14" s="299"/>
      <c r="N14" s="299"/>
      <c r="O14" s="299"/>
      <c r="P14" s="299"/>
      <c r="Q14" s="16"/>
      <c r="R14" s="16"/>
      <c r="S14" s="16"/>
      <c r="T14" s="16"/>
      <c r="U14" s="16"/>
      <c r="V14" s="16"/>
      <c r="W14" s="16"/>
      <c r="X14" s="224"/>
      <c r="Y14" s="227">
        <f>'Inputs - network configuration'!$Y$42*'Inputs - tariff class'!Z55</f>
        <v>6.7114928509123501</v>
      </c>
      <c r="Z14" s="227">
        <f>'Inputs - network configuration'!Y70*Y14</f>
        <v>0</v>
      </c>
      <c r="AA14" s="227">
        <f>'Inputs - network configuration'!Z70*Y14</f>
        <v>6.7114928509123501</v>
      </c>
      <c r="AB14" s="228">
        <f>'Inputs - network configuration'!AA80*Y14</f>
        <v>0</v>
      </c>
      <c r="AC14" s="16"/>
      <c r="AD14" s="16"/>
      <c r="AE14" s="16"/>
      <c r="AF14" s="16"/>
      <c r="AG14" s="16"/>
      <c r="AH14" s="16"/>
      <c r="AI14" s="16"/>
      <c r="AJ14" s="16"/>
      <c r="AL14" s="16"/>
      <c r="AM14" s="16"/>
      <c r="AN14" s="16"/>
      <c r="AO14" s="16"/>
      <c r="AP14" s="16"/>
      <c r="AQ14" s="16"/>
      <c r="AR14" s="16"/>
      <c r="AS14" s="224"/>
      <c r="AT14" s="503"/>
      <c r="AU14" s="229"/>
      <c r="AV14" s="229"/>
      <c r="AW14" s="230"/>
    </row>
    <row r="15" spans="2:66" ht="15" customHeight="1" x14ac:dyDescent="0.2">
      <c r="C15" s="14" t="s">
        <v>83</v>
      </c>
      <c r="D15" s="225">
        <f>'Inputs - network configuration'!$D$42*'Inputs - tariff class'!E56</f>
        <v>350.99516478159205</v>
      </c>
      <c r="E15" s="229"/>
      <c r="F15" s="229"/>
      <c r="G15" s="230"/>
      <c r="H15" s="299"/>
      <c r="I15" s="299"/>
      <c r="J15" s="299"/>
      <c r="K15" s="299"/>
      <c r="L15" s="299"/>
      <c r="M15" s="299"/>
      <c r="N15" s="299"/>
      <c r="O15" s="299"/>
      <c r="P15" s="299"/>
      <c r="Q15" s="16"/>
      <c r="R15" s="16"/>
      <c r="S15" s="16"/>
      <c r="T15" s="16"/>
      <c r="U15" s="16"/>
      <c r="V15" s="16"/>
      <c r="W15" s="16"/>
      <c r="X15" s="224"/>
      <c r="Y15" s="227">
        <f>'Inputs - network configuration'!$Y$42*'Inputs - tariff class'!Z56</f>
        <v>30.632685373079113</v>
      </c>
      <c r="Z15" s="229"/>
      <c r="AA15" s="229"/>
      <c r="AB15" s="230"/>
      <c r="AC15" s="16"/>
      <c r="AD15" s="16"/>
      <c r="AE15" s="16"/>
      <c r="AF15" s="16"/>
      <c r="AG15" s="16"/>
      <c r="AH15" s="16"/>
      <c r="AI15" s="16"/>
      <c r="AJ15" s="16"/>
      <c r="AL15" s="16"/>
      <c r="AM15" s="16"/>
      <c r="AN15" s="16"/>
      <c r="AO15" s="16"/>
      <c r="AP15" s="16"/>
      <c r="AQ15" s="16"/>
      <c r="AR15" s="16"/>
      <c r="AS15" s="224"/>
      <c r="AT15" s="503"/>
      <c r="AU15" s="229"/>
      <c r="AV15" s="229"/>
      <c r="AW15" s="230"/>
    </row>
    <row r="16" spans="2:66" ht="15" customHeight="1" x14ac:dyDescent="0.2">
      <c r="C16" s="14" t="s">
        <v>84</v>
      </c>
      <c r="D16" s="225">
        <f>'Inputs - network configuration'!$D$42*'Inputs - tariff class'!E57</f>
        <v>329.49358722928201</v>
      </c>
      <c r="E16" s="227">
        <f>'Inputs - network configuration'!D72*D16</f>
        <v>149.91958218932331</v>
      </c>
      <c r="F16" s="227">
        <f>'Inputs - network configuration'!E72*D16</f>
        <v>156.83894752113824</v>
      </c>
      <c r="G16" s="228">
        <f>'Inputs - network configuration'!F72*D16</f>
        <v>22.405563931591178</v>
      </c>
      <c r="H16" s="299"/>
      <c r="I16" s="299"/>
      <c r="J16" s="299"/>
      <c r="K16" s="299"/>
      <c r="L16" s="299"/>
      <c r="M16" s="299"/>
      <c r="N16" s="299"/>
      <c r="O16" s="299"/>
      <c r="P16" s="299"/>
      <c r="Q16" s="16"/>
      <c r="R16" s="16"/>
      <c r="S16" s="16"/>
      <c r="T16" s="16"/>
      <c r="U16" s="16"/>
      <c r="V16" s="16"/>
      <c r="W16" s="16"/>
      <c r="X16" s="224"/>
      <c r="Y16" s="227">
        <f>'Inputs - network configuration'!$Y$42*'Inputs - tariff class'!Z57</f>
        <v>29.809329903200055</v>
      </c>
      <c r="Z16" s="227">
        <f>'Inputs - network configuration'!Y72*Y16</f>
        <v>6.4388152590912116</v>
      </c>
      <c r="AA16" s="227">
        <f>'Inputs - network configuration'!Z72*Y16</f>
        <v>11.372259358070821</v>
      </c>
      <c r="AB16" s="228">
        <f>'Inputs - network configuration'!AA72*Y16</f>
        <v>11.995274353047702</v>
      </c>
      <c r="AC16" s="16"/>
      <c r="AD16" s="16"/>
      <c r="AE16" s="16"/>
      <c r="AF16" s="16"/>
      <c r="AG16" s="16"/>
      <c r="AH16" s="16"/>
      <c r="AI16" s="16"/>
      <c r="AJ16" s="16"/>
      <c r="AL16" s="16"/>
      <c r="AM16" s="16"/>
      <c r="AN16" s="16"/>
      <c r="AO16" s="16"/>
      <c r="AP16" s="16"/>
      <c r="AQ16" s="16"/>
      <c r="AR16" s="16"/>
      <c r="AS16" s="224"/>
      <c r="AT16" s="225">
        <f>'Inputs - network configuration'!$AT$42*'Inputs - tariff class'!AU57</f>
        <v>7.1831097707529441</v>
      </c>
      <c r="AU16" s="227">
        <f>'Inputs - network configuration'!AT72*AT16</f>
        <v>3.7926819589575547</v>
      </c>
      <c r="AV16" s="227">
        <f>'Inputs - network configuration'!AU72*AT16</f>
        <v>2.0586792602977941</v>
      </c>
      <c r="AW16" s="228">
        <f>'Inputs - network configuration'!AV72*AT16</f>
        <v>1.3281569966122195</v>
      </c>
    </row>
    <row r="17" spans="2:66" ht="15" customHeight="1" x14ac:dyDescent="0.2">
      <c r="C17" s="15" t="s">
        <v>0</v>
      </c>
      <c r="D17" s="226">
        <f>'Inputs - network configuration'!$D$42*'Inputs - tariff class'!E58</f>
        <v>307.63471048059824</v>
      </c>
      <c r="E17" s="231"/>
      <c r="F17" s="231"/>
      <c r="G17" s="232"/>
      <c r="H17" s="299"/>
      <c r="I17" s="299"/>
      <c r="J17" s="299"/>
      <c r="K17" s="299"/>
      <c r="L17" s="299"/>
      <c r="M17" s="299"/>
      <c r="N17" s="299"/>
      <c r="O17" s="299"/>
      <c r="P17" s="299"/>
      <c r="Q17" s="16"/>
      <c r="R17" s="16"/>
      <c r="S17" s="16"/>
      <c r="T17" s="16"/>
      <c r="U17" s="16"/>
      <c r="V17" s="16"/>
      <c r="W17" s="16"/>
      <c r="X17" s="224"/>
      <c r="Y17" s="859">
        <f>'Inputs - network configuration'!$Y$42*'Inputs - tariff class'!Z58</f>
        <v>28.387002750660361</v>
      </c>
      <c r="Z17" s="84"/>
      <c r="AA17" s="84"/>
      <c r="AB17" s="85"/>
      <c r="AC17" s="16"/>
      <c r="AD17" s="16"/>
      <c r="AE17" s="16"/>
      <c r="AF17" s="16"/>
      <c r="AG17" s="16"/>
      <c r="AH17" s="16"/>
      <c r="AI17" s="16"/>
      <c r="AJ17" s="16"/>
      <c r="AL17" s="16"/>
      <c r="AM17" s="16"/>
      <c r="AN17" s="16"/>
      <c r="AO17" s="16"/>
      <c r="AP17" s="16"/>
      <c r="AQ17" s="16"/>
      <c r="AR17" s="16"/>
      <c r="AS17" s="224"/>
      <c r="AT17" s="226">
        <f>'Inputs - network configuration'!$AT$42*'Inputs - tariff class'!AU58</f>
        <v>6.6851502891893082</v>
      </c>
      <c r="AU17" s="84"/>
      <c r="AV17" s="84"/>
      <c r="AW17" s="85"/>
    </row>
    <row r="18" spans="2:66" ht="15" customHeight="1" x14ac:dyDescent="0.2">
      <c r="D18" s="16"/>
      <c r="E18" s="16"/>
      <c r="F18" s="16"/>
      <c r="G18" s="16"/>
      <c r="H18" s="299"/>
      <c r="I18" s="299"/>
      <c r="J18" s="299"/>
      <c r="K18" s="299"/>
      <c r="L18" s="299"/>
      <c r="M18" s="299"/>
      <c r="N18" s="299"/>
      <c r="O18" s="299"/>
      <c r="P18" s="299"/>
      <c r="Q18" s="16"/>
      <c r="R18" s="16"/>
      <c r="S18" s="16"/>
      <c r="T18" s="16"/>
      <c r="U18" s="16"/>
      <c r="V18" s="16"/>
      <c r="W18" s="16"/>
      <c r="X18" s="224"/>
      <c r="Y18" s="304"/>
      <c r="Z18" s="16"/>
      <c r="AA18" s="16"/>
      <c r="AB18" s="16"/>
      <c r="AC18" s="16"/>
      <c r="AD18" s="16"/>
      <c r="AE18" s="16"/>
      <c r="AF18" s="16"/>
      <c r="AG18" s="16"/>
      <c r="AH18" s="16"/>
      <c r="AI18" s="16"/>
      <c r="AJ18" s="16"/>
      <c r="AK18" s="16"/>
      <c r="AL18" s="16"/>
      <c r="AM18" s="16"/>
      <c r="AN18" s="16"/>
      <c r="AO18" s="16"/>
      <c r="AP18" s="16"/>
      <c r="AQ18" s="16"/>
      <c r="AR18" s="16"/>
      <c r="AS18" s="224"/>
    </row>
    <row r="19" spans="2:66" ht="15" customHeight="1" x14ac:dyDescent="0.2">
      <c r="D19" s="16"/>
      <c r="E19" s="16"/>
      <c r="F19" s="16"/>
      <c r="G19" s="16"/>
      <c r="H19" s="16"/>
      <c r="I19" s="16"/>
      <c r="J19" s="16"/>
      <c r="K19" s="16"/>
      <c r="L19" s="16"/>
      <c r="M19" s="16"/>
      <c r="N19" s="16"/>
      <c r="O19" s="16"/>
      <c r="P19" s="16"/>
      <c r="Q19" s="16"/>
      <c r="R19" s="16"/>
      <c r="S19" s="16"/>
      <c r="T19" s="16"/>
      <c r="U19" s="16"/>
      <c r="V19" s="16"/>
      <c r="W19" s="16"/>
      <c r="X19" s="224"/>
      <c r="Y19" s="16"/>
      <c r="Z19" s="16"/>
      <c r="AA19" s="16"/>
      <c r="AB19" s="16"/>
      <c r="AC19" s="16"/>
      <c r="AD19" s="16"/>
      <c r="AE19" s="16"/>
      <c r="AF19" s="16"/>
      <c r="AG19" s="16"/>
      <c r="AH19" s="16"/>
      <c r="AI19" s="16"/>
      <c r="AJ19" s="16"/>
      <c r="AK19" s="16"/>
      <c r="AL19" s="16"/>
      <c r="AM19" s="16"/>
      <c r="AN19" s="16"/>
      <c r="AO19" s="16"/>
      <c r="AP19" s="16"/>
      <c r="AQ19" s="16"/>
      <c r="AR19" s="16"/>
      <c r="AS19" s="303"/>
    </row>
    <row r="20" spans="2:66" s="2" customFormat="1" ht="15" customHeight="1" x14ac:dyDescent="0.2">
      <c r="C20" s="106" t="s">
        <v>14</v>
      </c>
      <c r="D20" s="845" t="s">
        <v>9</v>
      </c>
      <c r="E20" s="851" t="s">
        <v>47</v>
      </c>
      <c r="F20" s="864"/>
      <c r="G20" s="845"/>
      <c r="H20" s="865"/>
      <c r="I20" s="951" t="s">
        <v>438</v>
      </c>
      <c r="J20" s="952"/>
      <c r="K20" s="857" t="s">
        <v>57</v>
      </c>
      <c r="L20" s="857" t="s">
        <v>8</v>
      </c>
      <c r="M20" s="951" t="s">
        <v>12</v>
      </c>
      <c r="N20" s="952"/>
      <c r="O20" s="760" t="s">
        <v>22</v>
      </c>
      <c r="P20" s="857" t="s">
        <v>415</v>
      </c>
      <c r="Q20" s="951" t="s">
        <v>433</v>
      </c>
      <c r="R20" s="966"/>
      <c r="S20" s="966"/>
      <c r="T20" s="966"/>
      <c r="U20" s="966"/>
      <c r="V20" s="966"/>
      <c r="W20" s="966"/>
      <c r="X20" s="967"/>
      <c r="Y20" s="845" t="s">
        <v>9</v>
      </c>
      <c r="Z20" s="851" t="s">
        <v>47</v>
      </c>
      <c r="AA20" s="864"/>
      <c r="AB20" s="845"/>
      <c r="AC20" s="865"/>
      <c r="AD20" s="951" t="s">
        <v>438</v>
      </c>
      <c r="AE20" s="952"/>
      <c r="AF20" s="857" t="s">
        <v>57</v>
      </c>
      <c r="AG20" s="857" t="s">
        <v>8</v>
      </c>
      <c r="AH20" s="951" t="s">
        <v>12</v>
      </c>
      <c r="AI20" s="952"/>
      <c r="AJ20" s="760" t="s">
        <v>22</v>
      </c>
      <c r="AK20" s="857" t="s">
        <v>415</v>
      </c>
      <c r="AL20" s="951" t="s">
        <v>433</v>
      </c>
      <c r="AM20" s="966"/>
      <c r="AN20" s="966"/>
      <c r="AO20" s="966"/>
      <c r="AP20" s="966"/>
      <c r="AQ20" s="966"/>
      <c r="AR20" s="966"/>
      <c r="AS20" s="967"/>
      <c r="AT20" s="845" t="s">
        <v>9</v>
      </c>
      <c r="AU20" s="851" t="s">
        <v>47</v>
      </c>
      <c r="AV20" s="864"/>
      <c r="AW20" s="845"/>
      <c r="AX20" s="865"/>
      <c r="AY20" s="951" t="s">
        <v>438</v>
      </c>
      <c r="AZ20" s="952"/>
      <c r="BA20" s="857" t="s">
        <v>57</v>
      </c>
      <c r="BB20" s="857" t="s">
        <v>8</v>
      </c>
      <c r="BC20" s="951" t="s">
        <v>12</v>
      </c>
      <c r="BD20" s="952"/>
      <c r="BE20" s="760" t="s">
        <v>22</v>
      </c>
      <c r="BF20" s="857" t="s">
        <v>415</v>
      </c>
      <c r="BG20" s="951" t="s">
        <v>433</v>
      </c>
      <c r="BH20" s="966"/>
      <c r="BI20" s="966"/>
      <c r="BJ20" s="966"/>
      <c r="BK20" s="966"/>
      <c r="BL20" s="966"/>
      <c r="BM20" s="966"/>
      <c r="BN20" s="967"/>
    </row>
    <row r="21" spans="2:66" s="2" customFormat="1" ht="15" customHeight="1" x14ac:dyDescent="0.2">
      <c r="C21" s="110"/>
      <c r="D21" s="111"/>
      <c r="E21" s="112"/>
      <c r="F21" s="765" t="s">
        <v>437</v>
      </c>
      <c r="G21" s="107" t="s">
        <v>13</v>
      </c>
      <c r="H21" s="108" t="s">
        <v>3</v>
      </c>
      <c r="I21" s="765" t="s">
        <v>6</v>
      </c>
      <c r="J21" s="766" t="s">
        <v>4</v>
      </c>
      <c r="K21" s="764" t="s">
        <v>58</v>
      </c>
      <c r="L21" s="764"/>
      <c r="M21" s="765"/>
      <c r="N21" s="766"/>
      <c r="O21" s="765"/>
      <c r="P21" s="764" t="s">
        <v>416</v>
      </c>
      <c r="Q21" s="765" t="s">
        <v>355</v>
      </c>
      <c r="R21" s="107" t="s">
        <v>356</v>
      </c>
      <c r="S21" s="107" t="s">
        <v>82</v>
      </c>
      <c r="T21" s="107" t="s">
        <v>85</v>
      </c>
      <c r="U21" s="107" t="s">
        <v>357</v>
      </c>
      <c r="V21" s="107" t="s">
        <v>83</v>
      </c>
      <c r="W21" s="107" t="s">
        <v>84</v>
      </c>
      <c r="X21" s="866" t="s">
        <v>0</v>
      </c>
      <c r="Y21" s="111"/>
      <c r="Z21" s="112"/>
      <c r="AA21" s="765" t="s">
        <v>437</v>
      </c>
      <c r="AB21" s="107" t="s">
        <v>13</v>
      </c>
      <c r="AC21" s="108" t="s">
        <v>3</v>
      </c>
      <c r="AD21" s="765" t="s">
        <v>6</v>
      </c>
      <c r="AE21" s="766" t="s">
        <v>4</v>
      </c>
      <c r="AF21" s="764" t="s">
        <v>58</v>
      </c>
      <c r="AG21" s="764"/>
      <c r="AH21" s="765"/>
      <c r="AI21" s="766"/>
      <c r="AJ21" s="765"/>
      <c r="AK21" s="764" t="s">
        <v>416</v>
      </c>
      <c r="AL21" s="765" t="s">
        <v>355</v>
      </c>
      <c r="AM21" s="107" t="s">
        <v>356</v>
      </c>
      <c r="AN21" s="107" t="s">
        <v>82</v>
      </c>
      <c r="AO21" s="107" t="s">
        <v>85</v>
      </c>
      <c r="AP21" s="107" t="s">
        <v>357</v>
      </c>
      <c r="AQ21" s="107" t="s">
        <v>83</v>
      </c>
      <c r="AR21" s="107" t="s">
        <v>84</v>
      </c>
      <c r="AS21" s="866" t="s">
        <v>0</v>
      </c>
      <c r="AT21" s="111"/>
      <c r="AU21" s="112"/>
      <c r="AV21" s="765" t="s">
        <v>437</v>
      </c>
      <c r="AW21" s="107" t="s">
        <v>13</v>
      </c>
      <c r="AX21" s="108" t="s">
        <v>3</v>
      </c>
      <c r="AY21" s="765" t="s">
        <v>6</v>
      </c>
      <c r="AZ21" s="766" t="s">
        <v>4</v>
      </c>
      <c r="BA21" s="764" t="s">
        <v>58</v>
      </c>
      <c r="BB21" s="764"/>
      <c r="BC21" s="765"/>
      <c r="BD21" s="766"/>
      <c r="BE21" s="765"/>
      <c r="BF21" s="764" t="s">
        <v>416</v>
      </c>
      <c r="BG21" s="765" t="s">
        <v>355</v>
      </c>
      <c r="BH21" s="107" t="s">
        <v>356</v>
      </c>
      <c r="BI21" s="107" t="s">
        <v>82</v>
      </c>
      <c r="BJ21" s="107" t="s">
        <v>85</v>
      </c>
      <c r="BK21" s="107" t="s">
        <v>357</v>
      </c>
      <c r="BL21" s="107" t="s">
        <v>83</v>
      </c>
      <c r="BM21" s="107" t="s">
        <v>84</v>
      </c>
      <c r="BN21" s="866" t="s">
        <v>0</v>
      </c>
    </row>
    <row r="22" spans="2:66" ht="15" customHeight="1" x14ac:dyDescent="0.25">
      <c r="B22" s="305">
        <f>SUM(O22:O24)/L22/1000000</f>
        <v>31.984595651862787</v>
      </c>
      <c r="C22" s="12" t="str">
        <f>'Standard estimates'!D7</f>
        <v>132,110kV/66,33kV urban</v>
      </c>
      <c r="D22" s="6" t="s">
        <v>356</v>
      </c>
      <c r="E22" s="16" t="str">
        <f t="shared" ref="E22:E47" si="0">VLOOKUP(F22,std_est,3,FALSE)</f>
        <v>2 x 80MVA Sub</v>
      </c>
      <c r="F22" s="867">
        <f>'Standard estimates'!$C$7</f>
        <v>1</v>
      </c>
      <c r="G22" s="844">
        <v>1</v>
      </c>
      <c r="H22" s="868" t="s">
        <v>5</v>
      </c>
      <c r="I22" s="869">
        <f>VLOOKUP(F22,std_est,10,FALSE)*G22</f>
        <v>96</v>
      </c>
      <c r="J22" s="870">
        <f>SUM(I22:I24)</f>
        <v>96</v>
      </c>
      <c r="K22" s="871">
        <f>E11</f>
        <v>113.99002848179104</v>
      </c>
      <c r="L22" s="872">
        <f>K22/J22</f>
        <v>1.1873961300186566</v>
      </c>
      <c r="M22" s="873">
        <f>G22*L22</f>
        <v>1.1873961300186566</v>
      </c>
      <c r="N22" s="874" t="s">
        <v>63</v>
      </c>
      <c r="O22" s="875">
        <f t="shared" ref="O22:O43" si="1">VLOOKUP(F22,std_est,7,FALSE)*M22</f>
        <v>25002511.240300562</v>
      </c>
      <c r="P22" s="827">
        <f t="shared" ref="P22:P47" si="2">VLOOKUP(F22,std_est,13,FALSE)</f>
        <v>50</v>
      </c>
      <c r="Q22" s="812" t="str">
        <f t="shared" ref="Q22:X31" si="3">IF($D22=Q$21,$P22,"")</f>
        <v/>
      </c>
      <c r="R22" s="813">
        <f t="shared" si="3"/>
        <v>50</v>
      </c>
      <c r="S22" s="813" t="str">
        <f t="shared" si="3"/>
        <v/>
      </c>
      <c r="T22" s="813" t="str">
        <f t="shared" si="3"/>
        <v/>
      </c>
      <c r="U22" s="813" t="str">
        <f t="shared" si="3"/>
        <v/>
      </c>
      <c r="V22" s="813" t="str">
        <f t="shared" si="3"/>
        <v/>
      </c>
      <c r="W22" s="813" t="str">
        <f t="shared" si="3"/>
        <v/>
      </c>
      <c r="X22" s="876" t="str">
        <f t="shared" si="3"/>
        <v/>
      </c>
      <c r="Y22" s="6" t="s">
        <v>356</v>
      </c>
      <c r="Z22" s="16" t="str">
        <f t="shared" ref="Z22:Z47" si="4">VLOOKUP(AA22,std_est,3,FALSE)</f>
        <v>2 x 80MVA Sub</v>
      </c>
      <c r="AA22" s="148">
        <f>'Standard estimates'!$C$7</f>
        <v>1</v>
      </c>
      <c r="AB22" s="139">
        <v>1</v>
      </c>
      <c r="AC22" s="87" t="s">
        <v>5</v>
      </c>
      <c r="AD22" s="88">
        <f>VLOOKUP(AA22,std_est,10,FALSE)*AB22</f>
        <v>96</v>
      </c>
      <c r="AE22" s="89">
        <f>SUM(AD22:AD24)</f>
        <v>96</v>
      </c>
      <c r="AF22" s="522"/>
      <c r="AG22" s="515">
        <f>AF22/AE22</f>
        <v>0</v>
      </c>
      <c r="AH22" s="516">
        <f>AB22*AG22</f>
        <v>0</v>
      </c>
      <c r="AI22" s="525" t="s">
        <v>63</v>
      </c>
      <c r="AJ22" s="519">
        <f t="shared" ref="AJ22:AJ47" si="5">VLOOKUP(AA22,std_est,7,FALSE)*AH22</f>
        <v>0</v>
      </c>
      <c r="AK22" s="827">
        <f t="shared" ref="AK22:AK47" si="6">VLOOKUP(AA22,std_est,13,FALSE)</f>
        <v>50</v>
      </c>
      <c r="AL22" s="812" t="str">
        <f t="shared" ref="AL22:AS31" si="7">IF($Y22=AL$21,$AK22,"")</f>
        <v/>
      </c>
      <c r="AM22" s="813">
        <f t="shared" si="7"/>
        <v>50</v>
      </c>
      <c r="AN22" s="813" t="str">
        <f t="shared" si="7"/>
        <v/>
      </c>
      <c r="AO22" s="813" t="str">
        <f t="shared" si="7"/>
        <v/>
      </c>
      <c r="AP22" s="813" t="str">
        <f t="shared" si="7"/>
        <v/>
      </c>
      <c r="AQ22" s="813" t="str">
        <f t="shared" si="7"/>
        <v/>
      </c>
      <c r="AR22" s="813" t="str">
        <f t="shared" si="7"/>
        <v/>
      </c>
      <c r="AS22" s="814" t="str">
        <f t="shared" si="7"/>
        <v/>
      </c>
      <c r="AT22" s="233"/>
      <c r="AU22" s="83"/>
      <c r="AV22" s="234"/>
      <c r="AW22" s="235"/>
      <c r="AX22" s="236"/>
      <c r="AY22" s="237"/>
      <c r="AZ22" s="238"/>
      <c r="BA22" s="238"/>
      <c r="BB22" s="239"/>
      <c r="BC22" s="240"/>
      <c r="BD22" s="239"/>
      <c r="BE22" s="241"/>
      <c r="BF22" s="833"/>
      <c r="BG22" s="834"/>
      <c r="BH22" s="835"/>
      <c r="BI22" s="835"/>
      <c r="BJ22" s="835"/>
      <c r="BK22" s="835"/>
      <c r="BL22" s="835"/>
      <c r="BM22" s="835"/>
      <c r="BN22" s="836"/>
    </row>
    <row r="23" spans="2:66" ht="15" customHeight="1" x14ac:dyDescent="0.25">
      <c r="B23" s="305"/>
      <c r="C23" s="12"/>
      <c r="D23" s="16" t="s">
        <v>355</v>
      </c>
      <c r="E23" s="16" t="str">
        <f t="shared" si="0"/>
        <v>Trans SCOH Timber Poles</v>
      </c>
      <c r="F23" s="149">
        <f>'Standard estimates'!$C$16</f>
        <v>10</v>
      </c>
      <c r="G23" s="309">
        <f>VLOOKUP($C22,'Inputs - network configuration'!$C$54:$AY$59,5,FALSE)</f>
        <v>29.064599999999999</v>
      </c>
      <c r="H23" s="91" t="s">
        <v>1</v>
      </c>
      <c r="I23" s="92"/>
      <c r="J23" s="93"/>
      <c r="K23" s="315"/>
      <c r="L23" s="517"/>
      <c r="M23" s="321">
        <f>G23*L22</f>
        <v>34.511193560540242</v>
      </c>
      <c r="N23" s="311" t="s">
        <v>1</v>
      </c>
      <c r="O23" s="143">
        <f t="shared" si="1"/>
        <v>12975873.85693286</v>
      </c>
      <c r="P23" s="828">
        <f t="shared" si="2"/>
        <v>55</v>
      </c>
      <c r="Q23" s="815">
        <f t="shared" si="3"/>
        <v>55</v>
      </c>
      <c r="R23" s="816" t="str">
        <f t="shared" si="3"/>
        <v/>
      </c>
      <c r="S23" s="816" t="str">
        <f t="shared" si="3"/>
        <v/>
      </c>
      <c r="T23" s="816" t="str">
        <f t="shared" si="3"/>
        <v/>
      </c>
      <c r="U23" s="816" t="str">
        <f t="shared" si="3"/>
        <v/>
      </c>
      <c r="V23" s="816" t="str">
        <f t="shared" si="3"/>
        <v/>
      </c>
      <c r="W23" s="816" t="str">
        <f t="shared" si="3"/>
        <v/>
      </c>
      <c r="X23" s="877" t="str">
        <f t="shared" si="3"/>
        <v/>
      </c>
      <c r="Y23" s="16" t="s">
        <v>355</v>
      </c>
      <c r="Z23" s="16" t="str">
        <f t="shared" si="4"/>
        <v>Trans SCOH Timber Poles</v>
      </c>
      <c r="AA23" s="149">
        <f>'Standard estimates'!$C$16</f>
        <v>10</v>
      </c>
      <c r="AB23" s="309">
        <f>VLOOKUP($C22,'Inputs - network configuration'!$C$54:$AY$59,26,FALSE)</f>
        <v>0</v>
      </c>
      <c r="AC23" s="91" t="s">
        <v>1</v>
      </c>
      <c r="AD23" s="92"/>
      <c r="AE23" s="93"/>
      <c r="AF23" s="523"/>
      <c r="AG23" s="517"/>
      <c r="AH23" s="321">
        <f>AB23*AG22</f>
        <v>0</v>
      </c>
      <c r="AI23" s="526" t="s">
        <v>1</v>
      </c>
      <c r="AJ23" s="520">
        <f t="shared" si="5"/>
        <v>0</v>
      </c>
      <c r="AK23" s="828">
        <f t="shared" si="6"/>
        <v>55</v>
      </c>
      <c r="AL23" s="815">
        <f t="shared" si="7"/>
        <v>55</v>
      </c>
      <c r="AM23" s="816" t="str">
        <f t="shared" si="7"/>
        <v/>
      </c>
      <c r="AN23" s="816" t="str">
        <f t="shared" si="7"/>
        <v/>
      </c>
      <c r="AO23" s="816" t="str">
        <f t="shared" si="7"/>
        <v/>
      </c>
      <c r="AP23" s="816" t="str">
        <f t="shared" si="7"/>
        <v/>
      </c>
      <c r="AQ23" s="816" t="str">
        <f t="shared" si="7"/>
        <v/>
      </c>
      <c r="AR23" s="816" t="str">
        <f t="shared" si="7"/>
        <v/>
      </c>
      <c r="AS23" s="817" t="str">
        <f t="shared" si="7"/>
        <v/>
      </c>
      <c r="AT23" s="233"/>
      <c r="AU23" s="83"/>
      <c r="AV23" s="242"/>
      <c r="AW23" s="243"/>
      <c r="AX23" s="244"/>
      <c r="AY23" s="92"/>
      <c r="AZ23" s="245"/>
      <c r="BA23" s="245"/>
      <c r="BB23" s="246"/>
      <c r="BC23" s="247"/>
      <c r="BD23" s="246"/>
      <c r="BE23" s="248"/>
      <c r="BF23" s="837"/>
      <c r="BG23" s="838"/>
      <c r="BH23" s="839"/>
      <c r="BI23" s="839"/>
      <c r="BJ23" s="839"/>
      <c r="BK23" s="839"/>
      <c r="BL23" s="839"/>
      <c r="BM23" s="839"/>
      <c r="BN23" s="840"/>
    </row>
    <row r="24" spans="2:66" ht="15" customHeight="1" x14ac:dyDescent="0.25">
      <c r="B24" s="305"/>
      <c r="C24" s="13"/>
      <c r="D24" s="7" t="s">
        <v>355</v>
      </c>
      <c r="E24" s="7" t="str">
        <f t="shared" si="0"/>
        <v>Trans UG 1600mm2 cable</v>
      </c>
      <c r="F24" s="150">
        <f>'Standard estimates'!$C$17</f>
        <v>11</v>
      </c>
      <c r="G24" s="140">
        <f>VLOOKUP($C22,'Inputs - network configuration'!$C$54:$AY$59,6,FALSE)</f>
        <v>0</v>
      </c>
      <c r="H24" s="95" t="s">
        <v>1</v>
      </c>
      <c r="I24" s="96"/>
      <c r="J24" s="97"/>
      <c r="K24" s="316"/>
      <c r="L24" s="518"/>
      <c r="M24" s="322">
        <f>G24*L22</f>
        <v>0</v>
      </c>
      <c r="N24" s="312" t="s">
        <v>1</v>
      </c>
      <c r="O24" s="144">
        <f t="shared" si="1"/>
        <v>0</v>
      </c>
      <c r="P24" s="828">
        <f t="shared" si="2"/>
        <v>45</v>
      </c>
      <c r="Q24" s="815">
        <f t="shared" si="3"/>
        <v>45</v>
      </c>
      <c r="R24" s="816" t="str">
        <f t="shared" si="3"/>
        <v/>
      </c>
      <c r="S24" s="816" t="str">
        <f t="shared" si="3"/>
        <v/>
      </c>
      <c r="T24" s="816" t="str">
        <f t="shared" si="3"/>
        <v/>
      </c>
      <c r="U24" s="816" t="str">
        <f t="shared" si="3"/>
        <v/>
      </c>
      <c r="V24" s="816" t="str">
        <f t="shared" si="3"/>
        <v/>
      </c>
      <c r="W24" s="816" t="str">
        <f t="shared" si="3"/>
        <v/>
      </c>
      <c r="X24" s="877" t="str">
        <f t="shared" si="3"/>
        <v/>
      </c>
      <c r="Y24" s="7" t="s">
        <v>355</v>
      </c>
      <c r="Z24" s="7" t="str">
        <f t="shared" si="4"/>
        <v>Trans UG 1600mm2 cable</v>
      </c>
      <c r="AA24" s="150">
        <f>'Standard estimates'!$C$17</f>
        <v>11</v>
      </c>
      <c r="AB24" s="140">
        <f>VLOOKUP($C22,'Inputs - network configuration'!$C$54:$AY$59,18,FALSE)</f>
        <v>0</v>
      </c>
      <c r="AC24" s="95" t="s">
        <v>1</v>
      </c>
      <c r="AD24" s="96"/>
      <c r="AE24" s="97"/>
      <c r="AF24" s="524"/>
      <c r="AG24" s="518"/>
      <c r="AH24" s="322">
        <f>AB24*AG22</f>
        <v>0</v>
      </c>
      <c r="AI24" s="527" t="s">
        <v>1</v>
      </c>
      <c r="AJ24" s="521">
        <f t="shared" si="5"/>
        <v>0</v>
      </c>
      <c r="AK24" s="828">
        <f t="shared" si="6"/>
        <v>45</v>
      </c>
      <c r="AL24" s="815">
        <f t="shared" si="7"/>
        <v>45</v>
      </c>
      <c r="AM24" s="816" t="str">
        <f t="shared" si="7"/>
        <v/>
      </c>
      <c r="AN24" s="816" t="str">
        <f t="shared" si="7"/>
        <v/>
      </c>
      <c r="AO24" s="816" t="str">
        <f t="shared" si="7"/>
        <v/>
      </c>
      <c r="AP24" s="816" t="str">
        <f t="shared" si="7"/>
        <v/>
      </c>
      <c r="AQ24" s="816" t="str">
        <f t="shared" si="7"/>
        <v/>
      </c>
      <c r="AR24" s="816" t="str">
        <f t="shared" si="7"/>
        <v/>
      </c>
      <c r="AS24" s="817" t="str">
        <f t="shared" si="7"/>
        <v/>
      </c>
      <c r="AT24" s="249"/>
      <c r="AU24" s="125"/>
      <c r="AV24" s="250"/>
      <c r="AW24" s="251"/>
      <c r="AX24" s="252"/>
      <c r="AY24" s="96"/>
      <c r="AZ24" s="253"/>
      <c r="BA24" s="253"/>
      <c r="BB24" s="254"/>
      <c r="BC24" s="255"/>
      <c r="BD24" s="254"/>
      <c r="BE24" s="256"/>
      <c r="BF24" s="837"/>
      <c r="BG24" s="838"/>
      <c r="BH24" s="839"/>
      <c r="BI24" s="839"/>
      <c r="BJ24" s="839"/>
      <c r="BK24" s="839"/>
      <c r="BL24" s="839"/>
      <c r="BM24" s="839"/>
      <c r="BN24" s="840"/>
    </row>
    <row r="25" spans="2:66" ht="15" customHeight="1" x14ac:dyDescent="0.25">
      <c r="B25" s="305">
        <f>SUM(O25:O27)/L25/1000000</f>
        <v>48.209264954985137</v>
      </c>
      <c r="C25" s="41" t="str">
        <f>'Standard estimates'!D8</f>
        <v>132,110kV/66,33kV rural</v>
      </c>
      <c r="D25" s="860" t="s">
        <v>356</v>
      </c>
      <c r="E25" s="861" t="str">
        <f t="shared" si="0"/>
        <v>2 x 80MVA Sub</v>
      </c>
      <c r="F25" s="867">
        <f>'Standard estimates'!$C$8</f>
        <v>2</v>
      </c>
      <c r="G25" s="844">
        <v>1</v>
      </c>
      <c r="H25" s="868" t="s">
        <v>5</v>
      </c>
      <c r="I25" s="869">
        <f>VLOOKUP(F25,std_est,10,FALSE)*G25</f>
        <v>96</v>
      </c>
      <c r="J25" s="870">
        <f>SUM(I25:I27)</f>
        <v>96</v>
      </c>
      <c r="K25" s="871">
        <f>F11</f>
        <v>201.77182326832266</v>
      </c>
      <c r="L25" s="872">
        <f>K25/J25</f>
        <v>2.1017898257116943</v>
      </c>
      <c r="M25" s="873">
        <f>G25*L25</f>
        <v>2.1017898257116943</v>
      </c>
      <c r="N25" s="874" t="s">
        <v>63</v>
      </c>
      <c r="O25" s="875">
        <f t="shared" si="1"/>
        <v>44256522.666349195</v>
      </c>
      <c r="P25" s="828">
        <f t="shared" si="2"/>
        <v>50</v>
      </c>
      <c r="Q25" s="815" t="str">
        <f t="shared" si="3"/>
        <v/>
      </c>
      <c r="R25" s="816">
        <f t="shared" si="3"/>
        <v>50</v>
      </c>
      <c r="S25" s="816" t="str">
        <f t="shared" si="3"/>
        <v/>
      </c>
      <c r="T25" s="816" t="str">
        <f t="shared" si="3"/>
        <v/>
      </c>
      <c r="U25" s="816" t="str">
        <f t="shared" si="3"/>
        <v/>
      </c>
      <c r="V25" s="816" t="str">
        <f t="shared" si="3"/>
        <v/>
      </c>
      <c r="W25" s="816" t="str">
        <f t="shared" si="3"/>
        <v/>
      </c>
      <c r="X25" s="877" t="str">
        <f t="shared" si="3"/>
        <v/>
      </c>
      <c r="Y25" s="860" t="s">
        <v>356</v>
      </c>
      <c r="Z25" s="86" t="str">
        <f t="shared" si="4"/>
        <v>2 x 80MVA Sub</v>
      </c>
      <c r="AA25" s="148">
        <f>'Standard estimates'!$C$8</f>
        <v>2</v>
      </c>
      <c r="AB25" s="139">
        <v>1</v>
      </c>
      <c r="AC25" s="87" t="s">
        <v>5</v>
      </c>
      <c r="AD25" s="88">
        <f>VLOOKUP(AA25,std_est,10,FALSE)*AB25</f>
        <v>96</v>
      </c>
      <c r="AE25" s="89">
        <f>SUM(AD25:AD27)</f>
        <v>96</v>
      </c>
      <c r="AF25" s="522">
        <f>AA11+Z11</f>
        <v>31.572493565695286</v>
      </c>
      <c r="AG25" s="515">
        <f>AF25/AE25</f>
        <v>0.32888014130932591</v>
      </c>
      <c r="AH25" s="516">
        <f>AB25*AG25</f>
        <v>0.32888014130932591</v>
      </c>
      <c r="AI25" s="525" t="s">
        <v>63</v>
      </c>
      <c r="AJ25" s="519">
        <f t="shared" si="5"/>
        <v>6925093.6750727491</v>
      </c>
      <c r="AK25" s="828">
        <f t="shared" si="6"/>
        <v>50</v>
      </c>
      <c r="AL25" s="815" t="str">
        <f t="shared" si="7"/>
        <v/>
      </c>
      <c r="AM25" s="816">
        <f t="shared" si="7"/>
        <v>50</v>
      </c>
      <c r="AN25" s="816" t="str">
        <f t="shared" si="7"/>
        <v/>
      </c>
      <c r="AO25" s="816" t="str">
        <f t="shared" si="7"/>
        <v/>
      </c>
      <c r="AP25" s="816" t="str">
        <f t="shared" si="7"/>
        <v/>
      </c>
      <c r="AQ25" s="816" t="str">
        <f t="shared" si="7"/>
        <v/>
      </c>
      <c r="AR25" s="816" t="str">
        <f t="shared" si="7"/>
        <v/>
      </c>
      <c r="AS25" s="817" t="str">
        <f t="shared" si="7"/>
        <v/>
      </c>
      <c r="AT25" s="257"/>
      <c r="AU25" s="122"/>
      <c r="AV25" s="234"/>
      <c r="AW25" s="235"/>
      <c r="AX25" s="236"/>
      <c r="AY25" s="237"/>
      <c r="AZ25" s="238"/>
      <c r="BA25" s="238"/>
      <c r="BB25" s="239"/>
      <c r="BC25" s="240"/>
      <c r="BD25" s="239"/>
      <c r="BE25" s="241"/>
      <c r="BF25" s="837"/>
      <c r="BG25" s="838"/>
      <c r="BH25" s="839"/>
      <c r="BI25" s="839"/>
      <c r="BJ25" s="839"/>
      <c r="BK25" s="839"/>
      <c r="BL25" s="839"/>
      <c r="BM25" s="839"/>
      <c r="BN25" s="840"/>
    </row>
    <row r="26" spans="2:66" ht="15" customHeight="1" x14ac:dyDescent="0.25">
      <c r="B26" s="305"/>
      <c r="C26" s="12"/>
      <c r="D26" s="16" t="s">
        <v>355</v>
      </c>
      <c r="E26" s="16" t="str">
        <f t="shared" si="0"/>
        <v>Trans SCOH Timber Poles</v>
      </c>
      <c r="F26" s="149">
        <f>'Standard estimates'!$C$16</f>
        <v>10</v>
      </c>
      <c r="G26" s="309">
        <f>VLOOKUP($C25,'Inputs - network configuration'!$C$54:$AY$59,5,FALSE)</f>
        <v>72.216429999999988</v>
      </c>
      <c r="H26" s="91" t="s">
        <v>1</v>
      </c>
      <c r="I26" s="92"/>
      <c r="J26" s="93"/>
      <c r="K26" s="315"/>
      <c r="L26" s="517"/>
      <c r="M26" s="321">
        <f>G26*L25</f>
        <v>151.78375782322075</v>
      </c>
      <c r="N26" s="311" t="s">
        <v>1</v>
      </c>
      <c r="O26" s="143">
        <f t="shared" si="1"/>
        <v>57069219.9210779</v>
      </c>
      <c r="P26" s="828">
        <f t="shared" si="2"/>
        <v>55</v>
      </c>
      <c r="Q26" s="815">
        <f t="shared" si="3"/>
        <v>55</v>
      </c>
      <c r="R26" s="816" t="str">
        <f t="shared" si="3"/>
        <v/>
      </c>
      <c r="S26" s="816" t="str">
        <f t="shared" si="3"/>
        <v/>
      </c>
      <c r="T26" s="816" t="str">
        <f t="shared" si="3"/>
        <v/>
      </c>
      <c r="U26" s="816" t="str">
        <f t="shared" si="3"/>
        <v/>
      </c>
      <c r="V26" s="816" t="str">
        <f t="shared" si="3"/>
        <v/>
      </c>
      <c r="W26" s="816" t="str">
        <f t="shared" si="3"/>
        <v/>
      </c>
      <c r="X26" s="877" t="str">
        <f t="shared" si="3"/>
        <v/>
      </c>
      <c r="Y26" s="16" t="s">
        <v>355</v>
      </c>
      <c r="Z26" s="16" t="str">
        <f t="shared" si="4"/>
        <v>Trans SCOH Timber Poles</v>
      </c>
      <c r="AA26" s="149">
        <f>'Standard estimates'!$C$16</f>
        <v>10</v>
      </c>
      <c r="AB26" s="309">
        <f>VLOOKUP($C25,'Inputs - network configuration'!$C$54:$AY$59,26,FALSE)</f>
        <v>137.99071000000001</v>
      </c>
      <c r="AC26" s="91" t="s">
        <v>1</v>
      </c>
      <c r="AD26" s="92"/>
      <c r="AE26" s="93"/>
      <c r="AF26" s="523"/>
      <c r="AG26" s="517"/>
      <c r="AH26" s="321">
        <f>AB26*AG25</f>
        <v>45.382404204174215</v>
      </c>
      <c r="AI26" s="526" t="s">
        <v>1</v>
      </c>
      <c r="AJ26" s="520">
        <f t="shared" si="5"/>
        <v>17063343.556770504</v>
      </c>
      <c r="AK26" s="828">
        <f t="shared" si="6"/>
        <v>55</v>
      </c>
      <c r="AL26" s="815">
        <f t="shared" si="7"/>
        <v>55</v>
      </c>
      <c r="AM26" s="816" t="str">
        <f t="shared" si="7"/>
        <v/>
      </c>
      <c r="AN26" s="816" t="str">
        <f t="shared" si="7"/>
        <v/>
      </c>
      <c r="AO26" s="816" t="str">
        <f t="shared" si="7"/>
        <v/>
      </c>
      <c r="AP26" s="816" t="str">
        <f t="shared" si="7"/>
        <v/>
      </c>
      <c r="AQ26" s="816" t="str">
        <f t="shared" si="7"/>
        <v/>
      </c>
      <c r="AR26" s="816" t="str">
        <f t="shared" si="7"/>
        <v/>
      </c>
      <c r="AS26" s="817" t="str">
        <f t="shared" si="7"/>
        <v/>
      </c>
      <c r="AT26" s="233"/>
      <c r="AU26" s="83"/>
      <c r="AV26" s="242"/>
      <c r="AW26" s="243"/>
      <c r="AX26" s="244"/>
      <c r="AY26" s="92"/>
      <c r="AZ26" s="245"/>
      <c r="BA26" s="245"/>
      <c r="BB26" s="246"/>
      <c r="BC26" s="247"/>
      <c r="BD26" s="246"/>
      <c r="BE26" s="248"/>
      <c r="BF26" s="837"/>
      <c r="BG26" s="838"/>
      <c r="BH26" s="839"/>
      <c r="BI26" s="839"/>
      <c r="BJ26" s="839"/>
      <c r="BK26" s="839"/>
      <c r="BL26" s="839"/>
      <c r="BM26" s="839"/>
      <c r="BN26" s="840"/>
    </row>
    <row r="27" spans="2:66" ht="15" customHeight="1" x14ac:dyDescent="0.25">
      <c r="B27" s="305"/>
      <c r="C27" s="13"/>
      <c r="D27" s="7" t="s">
        <v>355</v>
      </c>
      <c r="E27" s="7" t="str">
        <f t="shared" si="0"/>
        <v>Trans UG 1600mm2 cable</v>
      </c>
      <c r="F27" s="150">
        <f>'Standard estimates'!$C$17</f>
        <v>11</v>
      </c>
      <c r="G27" s="140">
        <f>VLOOKUP($C25,'Inputs - network configuration'!$C$54:$AY$59,6,FALSE)</f>
        <v>0</v>
      </c>
      <c r="H27" s="95" t="s">
        <v>1</v>
      </c>
      <c r="I27" s="96"/>
      <c r="J27" s="97"/>
      <c r="K27" s="316"/>
      <c r="L27" s="518"/>
      <c r="M27" s="322">
        <f>G27*L25</f>
        <v>0</v>
      </c>
      <c r="N27" s="312" t="s">
        <v>1</v>
      </c>
      <c r="O27" s="144">
        <f t="shared" si="1"/>
        <v>0</v>
      </c>
      <c r="P27" s="828">
        <f t="shared" si="2"/>
        <v>45</v>
      </c>
      <c r="Q27" s="815">
        <f t="shared" si="3"/>
        <v>45</v>
      </c>
      <c r="R27" s="816" t="str">
        <f t="shared" si="3"/>
        <v/>
      </c>
      <c r="S27" s="816" t="str">
        <f t="shared" si="3"/>
        <v/>
      </c>
      <c r="T27" s="816" t="str">
        <f t="shared" si="3"/>
        <v/>
      </c>
      <c r="U27" s="816" t="str">
        <f t="shared" si="3"/>
        <v/>
      </c>
      <c r="V27" s="816" t="str">
        <f t="shared" si="3"/>
        <v/>
      </c>
      <c r="W27" s="816" t="str">
        <f t="shared" si="3"/>
        <v/>
      </c>
      <c r="X27" s="877" t="str">
        <f t="shared" si="3"/>
        <v/>
      </c>
      <c r="Y27" s="7" t="s">
        <v>355</v>
      </c>
      <c r="Z27" s="7" t="str">
        <f t="shared" si="4"/>
        <v>Trans UG 1600mm2 cable</v>
      </c>
      <c r="AA27" s="150">
        <f>'Standard estimates'!$C$17</f>
        <v>11</v>
      </c>
      <c r="AB27" s="140">
        <f>VLOOKUP($C25,'Inputs - network configuration'!$C$54:$AY$59,18,FALSE)</f>
        <v>0</v>
      </c>
      <c r="AC27" s="95" t="s">
        <v>1</v>
      </c>
      <c r="AD27" s="96"/>
      <c r="AE27" s="97"/>
      <c r="AF27" s="524"/>
      <c r="AG27" s="518"/>
      <c r="AH27" s="322">
        <f>AB27*AG25</f>
        <v>0</v>
      </c>
      <c r="AI27" s="527" t="s">
        <v>1</v>
      </c>
      <c r="AJ27" s="521">
        <f t="shared" si="5"/>
        <v>0</v>
      </c>
      <c r="AK27" s="828">
        <f t="shared" si="6"/>
        <v>45</v>
      </c>
      <c r="AL27" s="815">
        <f t="shared" si="7"/>
        <v>45</v>
      </c>
      <c r="AM27" s="816" t="str">
        <f t="shared" si="7"/>
        <v/>
      </c>
      <c r="AN27" s="816" t="str">
        <f t="shared" si="7"/>
        <v/>
      </c>
      <c r="AO27" s="816" t="str">
        <f t="shared" si="7"/>
        <v/>
      </c>
      <c r="AP27" s="816" t="str">
        <f t="shared" si="7"/>
        <v/>
      </c>
      <c r="AQ27" s="816" t="str">
        <f t="shared" si="7"/>
        <v/>
      </c>
      <c r="AR27" s="816" t="str">
        <f t="shared" si="7"/>
        <v/>
      </c>
      <c r="AS27" s="817" t="str">
        <f t="shared" si="7"/>
        <v/>
      </c>
      <c r="AT27" s="249"/>
      <c r="AU27" s="125"/>
      <c r="AV27" s="250"/>
      <c r="AW27" s="251"/>
      <c r="AX27" s="252"/>
      <c r="AY27" s="96"/>
      <c r="AZ27" s="253"/>
      <c r="BA27" s="253"/>
      <c r="BB27" s="254"/>
      <c r="BC27" s="255"/>
      <c r="BD27" s="254"/>
      <c r="BE27" s="256"/>
      <c r="BF27" s="837"/>
      <c r="BG27" s="838"/>
      <c r="BH27" s="839"/>
      <c r="BI27" s="839"/>
      <c r="BJ27" s="839"/>
      <c r="BK27" s="839"/>
      <c r="BL27" s="839"/>
      <c r="BM27" s="839"/>
      <c r="BN27" s="840"/>
    </row>
    <row r="28" spans="2:66" ht="15" customHeight="1" x14ac:dyDescent="0.25">
      <c r="B28" s="305">
        <f>SUM(O28:O30)/L28/1000000</f>
        <v>30.134092952791868</v>
      </c>
      <c r="C28" s="41" t="str">
        <f>'Standard estimates'!D9</f>
        <v>132,110kV/HV zone urban</v>
      </c>
      <c r="D28" s="861" t="s">
        <v>357</v>
      </c>
      <c r="E28" s="861" t="str">
        <f t="shared" si="0"/>
        <v>2 x 63MVA Sub</v>
      </c>
      <c r="F28" s="867">
        <f>'Standard estimates'!$C$9</f>
        <v>3</v>
      </c>
      <c r="G28" s="844">
        <v>1</v>
      </c>
      <c r="H28" s="868" t="s">
        <v>5</v>
      </c>
      <c r="I28" s="869">
        <f>VLOOKUP(F28,std_est,10,FALSE)*G28</f>
        <v>75.599999999999994</v>
      </c>
      <c r="J28" s="870">
        <f>SUM(I28:I30)</f>
        <v>75.599999999999994</v>
      </c>
      <c r="K28" s="871">
        <f>E14</f>
        <v>89.16386039232448</v>
      </c>
      <c r="L28" s="872">
        <f>K28/J28</f>
        <v>1.1794161427556149</v>
      </c>
      <c r="M28" s="873">
        <f>G28*L28</f>
        <v>1.1794161427556149</v>
      </c>
      <c r="N28" s="874" t="s">
        <v>63</v>
      </c>
      <c r="O28" s="875">
        <f t="shared" si="1"/>
        <v>22651967.179834921</v>
      </c>
      <c r="P28" s="828">
        <f t="shared" si="2"/>
        <v>50</v>
      </c>
      <c r="Q28" s="815" t="str">
        <f t="shared" si="3"/>
        <v/>
      </c>
      <c r="R28" s="816" t="str">
        <f t="shared" si="3"/>
        <v/>
      </c>
      <c r="S28" s="816" t="str">
        <f t="shared" si="3"/>
        <v/>
      </c>
      <c r="T28" s="816" t="str">
        <f t="shared" si="3"/>
        <v/>
      </c>
      <c r="U28" s="816">
        <f t="shared" si="3"/>
        <v>50</v>
      </c>
      <c r="V28" s="816" t="str">
        <f t="shared" si="3"/>
        <v/>
      </c>
      <c r="W28" s="816" t="str">
        <f t="shared" si="3"/>
        <v/>
      </c>
      <c r="X28" s="877" t="str">
        <f t="shared" si="3"/>
        <v/>
      </c>
      <c r="Y28" s="861" t="s">
        <v>357</v>
      </c>
      <c r="Z28" s="86" t="str">
        <f t="shared" si="4"/>
        <v>2 x 63MVA Sub</v>
      </c>
      <c r="AA28" s="148">
        <f>'Standard estimates'!$C$9</f>
        <v>3</v>
      </c>
      <c r="AB28" s="139">
        <v>1</v>
      </c>
      <c r="AC28" s="87" t="s">
        <v>5</v>
      </c>
      <c r="AD28" s="88">
        <f>VLOOKUP(AA28,std_est,10,FALSE)*AB28</f>
        <v>75.599999999999994</v>
      </c>
      <c r="AE28" s="89">
        <f>SUM(AD28:AD30)</f>
        <v>75.599999999999994</v>
      </c>
      <c r="AF28" s="522">
        <f>Z14</f>
        <v>0</v>
      </c>
      <c r="AG28" s="515">
        <f>AF28/AE28</f>
        <v>0</v>
      </c>
      <c r="AH28" s="516">
        <f>AB28*AG28</f>
        <v>0</v>
      </c>
      <c r="AI28" s="525" t="s">
        <v>63</v>
      </c>
      <c r="AJ28" s="519">
        <f t="shared" si="5"/>
        <v>0</v>
      </c>
      <c r="AK28" s="828">
        <f t="shared" si="6"/>
        <v>50</v>
      </c>
      <c r="AL28" s="815" t="str">
        <f t="shared" si="7"/>
        <v/>
      </c>
      <c r="AM28" s="816" t="str">
        <f t="shared" si="7"/>
        <v/>
      </c>
      <c r="AN28" s="816" t="str">
        <f t="shared" si="7"/>
        <v/>
      </c>
      <c r="AO28" s="816" t="str">
        <f t="shared" si="7"/>
        <v/>
      </c>
      <c r="AP28" s="816">
        <f t="shared" si="7"/>
        <v>50</v>
      </c>
      <c r="AQ28" s="816" t="str">
        <f t="shared" si="7"/>
        <v/>
      </c>
      <c r="AR28" s="816" t="str">
        <f t="shared" si="7"/>
        <v/>
      </c>
      <c r="AS28" s="817" t="str">
        <f t="shared" si="7"/>
        <v/>
      </c>
      <c r="AT28" s="257"/>
      <c r="AU28" s="122"/>
      <c r="AV28" s="234"/>
      <c r="AW28" s="235"/>
      <c r="AX28" s="236"/>
      <c r="AY28" s="237"/>
      <c r="AZ28" s="238"/>
      <c r="BA28" s="238"/>
      <c r="BB28" s="239"/>
      <c r="BC28" s="240"/>
      <c r="BD28" s="239"/>
      <c r="BE28" s="241"/>
      <c r="BF28" s="837"/>
      <c r="BG28" s="838"/>
      <c r="BH28" s="839"/>
      <c r="BI28" s="839"/>
      <c r="BJ28" s="839"/>
      <c r="BK28" s="839"/>
      <c r="BL28" s="839"/>
      <c r="BM28" s="839"/>
      <c r="BN28" s="840"/>
    </row>
    <row r="29" spans="2:66" ht="15" customHeight="1" x14ac:dyDescent="0.25">
      <c r="B29" s="305"/>
      <c r="C29" s="12"/>
      <c r="D29" s="16" t="s">
        <v>355</v>
      </c>
      <c r="E29" s="16" t="str">
        <f t="shared" si="0"/>
        <v>Trans SCOH Timber Poles</v>
      </c>
      <c r="F29" s="149">
        <f>'Standard estimates'!$C$16</f>
        <v>10</v>
      </c>
      <c r="G29" s="309">
        <f>VLOOKUP($C28,'Inputs - network configuration'!$C$54:$AY$59,5,FALSE)</f>
        <v>29.064599999999999</v>
      </c>
      <c r="H29" s="91" t="s">
        <v>1</v>
      </c>
      <c r="I29" s="92"/>
      <c r="J29" s="93"/>
      <c r="K29" s="315"/>
      <c r="L29" s="517"/>
      <c r="M29" s="321">
        <f>G29*L28</f>
        <v>34.279258422734841</v>
      </c>
      <c r="N29" s="311" t="s">
        <v>1</v>
      </c>
      <c r="O29" s="143">
        <f t="shared" si="1"/>
        <v>12888668.495986018</v>
      </c>
      <c r="P29" s="828">
        <f t="shared" si="2"/>
        <v>55</v>
      </c>
      <c r="Q29" s="815">
        <f t="shared" si="3"/>
        <v>55</v>
      </c>
      <c r="R29" s="816" t="str">
        <f t="shared" si="3"/>
        <v/>
      </c>
      <c r="S29" s="816" t="str">
        <f t="shared" si="3"/>
        <v/>
      </c>
      <c r="T29" s="816" t="str">
        <f t="shared" si="3"/>
        <v/>
      </c>
      <c r="U29" s="816" t="str">
        <f t="shared" si="3"/>
        <v/>
      </c>
      <c r="V29" s="816" t="str">
        <f t="shared" si="3"/>
        <v/>
      </c>
      <c r="W29" s="816" t="str">
        <f t="shared" si="3"/>
        <v/>
      </c>
      <c r="X29" s="877" t="str">
        <f t="shared" si="3"/>
        <v/>
      </c>
      <c r="Y29" s="16" t="s">
        <v>355</v>
      </c>
      <c r="Z29" s="16" t="str">
        <f t="shared" si="4"/>
        <v>Trans SCOH Timber Poles</v>
      </c>
      <c r="AA29" s="149">
        <f>'Standard estimates'!$C$16</f>
        <v>10</v>
      </c>
      <c r="AB29" s="309">
        <f>VLOOKUP($C28,'Inputs - network configuration'!$C$54:$AY$59,26,FALSE)</f>
        <v>0</v>
      </c>
      <c r="AC29" s="91" t="s">
        <v>1</v>
      </c>
      <c r="AD29" s="92"/>
      <c r="AE29" s="93"/>
      <c r="AF29" s="523"/>
      <c r="AG29" s="517"/>
      <c r="AH29" s="321">
        <f>AB29*AG28</f>
        <v>0</v>
      </c>
      <c r="AI29" s="526" t="s">
        <v>1</v>
      </c>
      <c r="AJ29" s="520">
        <f t="shared" si="5"/>
        <v>0</v>
      </c>
      <c r="AK29" s="828">
        <f t="shared" si="6"/>
        <v>55</v>
      </c>
      <c r="AL29" s="815">
        <f t="shared" si="7"/>
        <v>55</v>
      </c>
      <c r="AM29" s="816" t="str">
        <f t="shared" si="7"/>
        <v/>
      </c>
      <c r="AN29" s="816" t="str">
        <f t="shared" si="7"/>
        <v/>
      </c>
      <c r="AO29" s="816" t="str">
        <f t="shared" si="7"/>
        <v/>
      </c>
      <c r="AP29" s="816" t="str">
        <f t="shared" si="7"/>
        <v/>
      </c>
      <c r="AQ29" s="816" t="str">
        <f t="shared" si="7"/>
        <v/>
      </c>
      <c r="AR29" s="816" t="str">
        <f t="shared" si="7"/>
        <v/>
      </c>
      <c r="AS29" s="817" t="str">
        <f t="shared" si="7"/>
        <v/>
      </c>
      <c r="AT29" s="233"/>
      <c r="AU29" s="83"/>
      <c r="AV29" s="242"/>
      <c r="AW29" s="243"/>
      <c r="AX29" s="244"/>
      <c r="AY29" s="92"/>
      <c r="AZ29" s="245"/>
      <c r="BA29" s="245"/>
      <c r="BB29" s="246"/>
      <c r="BC29" s="247"/>
      <c r="BD29" s="246"/>
      <c r="BE29" s="248"/>
      <c r="BF29" s="837"/>
      <c r="BG29" s="838"/>
      <c r="BH29" s="839"/>
      <c r="BI29" s="839"/>
      <c r="BJ29" s="839"/>
      <c r="BK29" s="839"/>
      <c r="BL29" s="839"/>
      <c r="BM29" s="839"/>
      <c r="BN29" s="840"/>
    </row>
    <row r="30" spans="2:66" ht="15" customHeight="1" x14ac:dyDescent="0.25">
      <c r="B30" s="305"/>
      <c r="C30" s="12"/>
      <c r="D30" s="16" t="s">
        <v>355</v>
      </c>
      <c r="E30" s="16" t="str">
        <f t="shared" si="0"/>
        <v>Trans UG 1600mm2 cable</v>
      </c>
      <c r="F30" s="149">
        <f>'Standard estimates'!$C$17</f>
        <v>11</v>
      </c>
      <c r="G30" s="140">
        <f>VLOOKUP($C28,'Inputs - network configuration'!$C$54:$AY$59,6,FALSE)</f>
        <v>0</v>
      </c>
      <c r="H30" s="95" t="s">
        <v>1</v>
      </c>
      <c r="I30" s="96"/>
      <c r="J30" s="97"/>
      <c r="K30" s="316"/>
      <c r="L30" s="518"/>
      <c r="M30" s="322">
        <f>G30*L28</f>
        <v>0</v>
      </c>
      <c r="N30" s="312" t="s">
        <v>1</v>
      </c>
      <c r="O30" s="144">
        <f t="shared" si="1"/>
        <v>0</v>
      </c>
      <c r="P30" s="828">
        <f t="shared" si="2"/>
        <v>45</v>
      </c>
      <c r="Q30" s="815">
        <f t="shared" si="3"/>
        <v>45</v>
      </c>
      <c r="R30" s="816" t="str">
        <f t="shared" si="3"/>
        <v/>
      </c>
      <c r="S30" s="816" t="str">
        <f t="shared" si="3"/>
        <v/>
      </c>
      <c r="T30" s="816" t="str">
        <f t="shared" si="3"/>
        <v/>
      </c>
      <c r="U30" s="816" t="str">
        <f t="shared" si="3"/>
        <v/>
      </c>
      <c r="V30" s="816" t="str">
        <f t="shared" si="3"/>
        <v/>
      </c>
      <c r="W30" s="816" t="str">
        <f t="shared" si="3"/>
        <v/>
      </c>
      <c r="X30" s="877" t="str">
        <f t="shared" si="3"/>
        <v/>
      </c>
      <c r="Y30" s="16" t="s">
        <v>355</v>
      </c>
      <c r="Z30" s="3" t="str">
        <f t="shared" si="4"/>
        <v>Trans UG 1600mm2 cable</v>
      </c>
      <c r="AA30" s="149">
        <f>'Standard estimates'!$C$17</f>
        <v>11</v>
      </c>
      <c r="AB30" s="140">
        <f>VLOOKUP($C28,'Inputs - network configuration'!$C$54:$AY$59,18,FALSE)</f>
        <v>0</v>
      </c>
      <c r="AC30" s="95" t="s">
        <v>1</v>
      </c>
      <c r="AD30" s="96"/>
      <c r="AE30" s="97"/>
      <c r="AF30" s="524"/>
      <c r="AG30" s="518"/>
      <c r="AH30" s="322">
        <f>AB30*AG28</f>
        <v>0</v>
      </c>
      <c r="AI30" s="527" t="s">
        <v>1</v>
      </c>
      <c r="AJ30" s="521">
        <f t="shared" si="5"/>
        <v>0</v>
      </c>
      <c r="AK30" s="828">
        <f t="shared" si="6"/>
        <v>45</v>
      </c>
      <c r="AL30" s="815">
        <f t="shared" si="7"/>
        <v>45</v>
      </c>
      <c r="AM30" s="816" t="str">
        <f t="shared" si="7"/>
        <v/>
      </c>
      <c r="AN30" s="816" t="str">
        <f t="shared" si="7"/>
        <v/>
      </c>
      <c r="AO30" s="816" t="str">
        <f t="shared" si="7"/>
        <v/>
      </c>
      <c r="AP30" s="816" t="str">
        <f t="shared" si="7"/>
        <v/>
      </c>
      <c r="AQ30" s="816" t="str">
        <f t="shared" si="7"/>
        <v/>
      </c>
      <c r="AR30" s="816" t="str">
        <f t="shared" si="7"/>
        <v/>
      </c>
      <c r="AS30" s="817" t="str">
        <f t="shared" si="7"/>
        <v/>
      </c>
      <c r="AT30" s="233"/>
      <c r="AU30" s="258"/>
      <c r="AV30" s="242"/>
      <c r="AW30" s="251"/>
      <c r="AX30" s="252"/>
      <c r="AY30" s="96"/>
      <c r="AZ30" s="253"/>
      <c r="BA30" s="253"/>
      <c r="BB30" s="254"/>
      <c r="BC30" s="255"/>
      <c r="BD30" s="254"/>
      <c r="BE30" s="256"/>
      <c r="BF30" s="837"/>
      <c r="BG30" s="838"/>
      <c r="BH30" s="839"/>
      <c r="BI30" s="839"/>
      <c r="BJ30" s="839"/>
      <c r="BK30" s="839"/>
      <c r="BL30" s="839"/>
      <c r="BM30" s="839"/>
      <c r="BN30" s="840"/>
    </row>
    <row r="31" spans="2:66" ht="15" customHeight="1" x14ac:dyDescent="0.25">
      <c r="B31" s="305"/>
      <c r="C31" s="41" t="str">
        <f>'Standard estimates'!D10</f>
        <v>132,110kV/HV zone rural</v>
      </c>
      <c r="D31" s="861" t="s">
        <v>357</v>
      </c>
      <c r="E31" s="861" t="str">
        <f t="shared" si="0"/>
        <v>2 x 32MVA Sub</v>
      </c>
      <c r="F31" s="867">
        <f>'Standard estimates'!$C$10</f>
        <v>4</v>
      </c>
      <c r="G31" s="844">
        <v>1</v>
      </c>
      <c r="H31" s="868" t="s">
        <v>5</v>
      </c>
      <c r="I31" s="869">
        <f>VLOOKUP(F31,std_est,10,FALSE)*G31</f>
        <v>38.4</v>
      </c>
      <c r="J31" s="870">
        <f>SUM(I31:I33)</f>
        <v>38.4</v>
      </c>
      <c r="K31" s="871">
        <f>F14</f>
        <v>41.880789719571233</v>
      </c>
      <c r="L31" s="872">
        <f>K31/J31</f>
        <v>1.0906455656138343</v>
      </c>
      <c r="M31" s="873">
        <f>G31*L31</f>
        <v>1.0906455656138343</v>
      </c>
      <c r="N31" s="874" t="s">
        <v>63</v>
      </c>
      <c r="O31" s="875">
        <f t="shared" si="1"/>
        <v>18261894.723005123</v>
      </c>
      <c r="P31" s="828">
        <f t="shared" si="2"/>
        <v>50</v>
      </c>
      <c r="Q31" s="815" t="str">
        <f t="shared" si="3"/>
        <v/>
      </c>
      <c r="R31" s="816" t="str">
        <f t="shared" si="3"/>
        <v/>
      </c>
      <c r="S31" s="816" t="str">
        <f t="shared" si="3"/>
        <v/>
      </c>
      <c r="T31" s="816" t="str">
        <f t="shared" si="3"/>
        <v/>
      </c>
      <c r="U31" s="816">
        <f t="shared" si="3"/>
        <v>50</v>
      </c>
      <c r="V31" s="816" t="str">
        <f t="shared" si="3"/>
        <v/>
      </c>
      <c r="W31" s="816" t="str">
        <f t="shared" si="3"/>
        <v/>
      </c>
      <c r="X31" s="877" t="str">
        <f t="shared" si="3"/>
        <v/>
      </c>
      <c r="Y31" s="861" t="s">
        <v>357</v>
      </c>
      <c r="Z31" s="86" t="str">
        <f t="shared" si="4"/>
        <v>2 x 32MVA Sub</v>
      </c>
      <c r="AA31" s="148">
        <f>'Standard estimates'!$C$10</f>
        <v>4</v>
      </c>
      <c r="AB31" s="139">
        <v>1</v>
      </c>
      <c r="AC31" s="87" t="s">
        <v>5</v>
      </c>
      <c r="AD31" s="88">
        <f>VLOOKUP(AA31,std_est,10,FALSE)*AB31</f>
        <v>38.4</v>
      </c>
      <c r="AE31" s="89">
        <f>SUM(AD31:AD33)</f>
        <v>38.4</v>
      </c>
      <c r="AF31" s="522">
        <f>AA14</f>
        <v>6.7114928509123501</v>
      </c>
      <c r="AG31" s="515">
        <f>AF31/AE31</f>
        <v>0.17477845965917579</v>
      </c>
      <c r="AH31" s="516">
        <f>AB31*AG31</f>
        <v>0.17477845965917579</v>
      </c>
      <c r="AI31" s="525" t="s">
        <v>63</v>
      </c>
      <c r="AJ31" s="519">
        <f t="shared" si="5"/>
        <v>2926510.6197433383</v>
      </c>
      <c r="AK31" s="828">
        <f t="shared" si="6"/>
        <v>50</v>
      </c>
      <c r="AL31" s="815" t="str">
        <f t="shared" si="7"/>
        <v/>
      </c>
      <c r="AM31" s="816" t="str">
        <f t="shared" si="7"/>
        <v/>
      </c>
      <c r="AN31" s="816" t="str">
        <f t="shared" si="7"/>
        <v/>
      </c>
      <c r="AO31" s="816" t="str">
        <f t="shared" si="7"/>
        <v/>
      </c>
      <c r="AP31" s="816">
        <f t="shared" si="7"/>
        <v>50</v>
      </c>
      <c r="AQ31" s="816" t="str">
        <f t="shared" si="7"/>
        <v/>
      </c>
      <c r="AR31" s="816" t="str">
        <f t="shared" si="7"/>
        <v/>
      </c>
      <c r="AS31" s="817" t="str">
        <f t="shared" si="7"/>
        <v/>
      </c>
      <c r="AT31" s="257"/>
      <c r="AU31" s="122"/>
      <c r="AV31" s="234"/>
      <c r="AW31" s="235"/>
      <c r="AX31" s="236"/>
      <c r="AY31" s="237"/>
      <c r="AZ31" s="238"/>
      <c r="BA31" s="238"/>
      <c r="BB31" s="239"/>
      <c r="BC31" s="240"/>
      <c r="BD31" s="239"/>
      <c r="BE31" s="241"/>
      <c r="BF31" s="837"/>
      <c r="BG31" s="838"/>
      <c r="BH31" s="839"/>
      <c r="BI31" s="839"/>
      <c r="BJ31" s="839"/>
      <c r="BK31" s="839"/>
      <c r="BL31" s="839"/>
      <c r="BM31" s="839"/>
      <c r="BN31" s="840"/>
    </row>
    <row r="32" spans="2:66" ht="15" customHeight="1" x14ac:dyDescent="0.25">
      <c r="B32" s="305"/>
      <c r="C32" s="12"/>
      <c r="D32" s="16" t="s">
        <v>355</v>
      </c>
      <c r="E32" s="16" t="str">
        <f t="shared" si="0"/>
        <v>Trans SCOH Timber Poles</v>
      </c>
      <c r="F32" s="149">
        <f>'Standard estimates'!$C$16</f>
        <v>10</v>
      </c>
      <c r="G32" s="309">
        <f>VLOOKUP($C31,'Inputs - network configuration'!$C$54:$AY$59,5,FALSE)</f>
        <v>64.135499999999993</v>
      </c>
      <c r="H32" s="91" t="s">
        <v>1</v>
      </c>
      <c r="I32" s="92"/>
      <c r="J32" s="93"/>
      <c r="K32" s="315"/>
      <c r="L32" s="517"/>
      <c r="M32" s="321">
        <f>G32*L31</f>
        <v>69.949098673426064</v>
      </c>
      <c r="N32" s="311" t="s">
        <v>1</v>
      </c>
      <c r="O32" s="143">
        <f t="shared" si="1"/>
        <v>26300182.264061857</v>
      </c>
      <c r="P32" s="828">
        <f t="shared" si="2"/>
        <v>55</v>
      </c>
      <c r="Q32" s="815">
        <f t="shared" ref="Q32:X41" si="8">IF($D32=Q$21,$P32,"")</f>
        <v>55</v>
      </c>
      <c r="R32" s="816" t="str">
        <f t="shared" si="8"/>
        <v/>
      </c>
      <c r="S32" s="816" t="str">
        <f t="shared" si="8"/>
        <v/>
      </c>
      <c r="T32" s="816" t="str">
        <f t="shared" si="8"/>
        <v/>
      </c>
      <c r="U32" s="816" t="str">
        <f t="shared" si="8"/>
        <v/>
      </c>
      <c r="V32" s="816" t="str">
        <f t="shared" si="8"/>
        <v/>
      </c>
      <c r="W32" s="816" t="str">
        <f t="shared" si="8"/>
        <v/>
      </c>
      <c r="X32" s="877" t="str">
        <f t="shared" si="8"/>
        <v/>
      </c>
      <c r="Y32" s="16" t="s">
        <v>355</v>
      </c>
      <c r="Z32" s="16" t="str">
        <f t="shared" si="4"/>
        <v>Trans SCOH Timber Poles</v>
      </c>
      <c r="AA32" s="149">
        <f>'Standard estimates'!$C$16</f>
        <v>10</v>
      </c>
      <c r="AB32" s="309">
        <f>VLOOKUP($C31,'Inputs - network configuration'!$C$54:$AY$59,26,FALSE)</f>
        <v>98.301000000000002</v>
      </c>
      <c r="AC32" s="91" t="s">
        <v>1</v>
      </c>
      <c r="AD32" s="92"/>
      <c r="AE32" s="93"/>
      <c r="AF32" s="523"/>
      <c r="AG32" s="517"/>
      <c r="AH32" s="321">
        <f>AB32*AG31</f>
        <v>17.180897362956639</v>
      </c>
      <c r="AI32" s="526" t="s">
        <v>1</v>
      </c>
      <c r="AJ32" s="520">
        <f t="shared" si="5"/>
        <v>6459850.672494269</v>
      </c>
      <c r="AK32" s="828">
        <f t="shared" si="6"/>
        <v>55</v>
      </c>
      <c r="AL32" s="815">
        <f t="shared" ref="AL32:AS41" si="9">IF($Y32=AL$21,$AK32,"")</f>
        <v>55</v>
      </c>
      <c r="AM32" s="816" t="str">
        <f t="shared" si="9"/>
        <v/>
      </c>
      <c r="AN32" s="816" t="str">
        <f t="shared" si="9"/>
        <v/>
      </c>
      <c r="AO32" s="816" t="str">
        <f t="shared" si="9"/>
        <v/>
      </c>
      <c r="AP32" s="816" t="str">
        <f t="shared" si="9"/>
        <v/>
      </c>
      <c r="AQ32" s="816" t="str">
        <f t="shared" si="9"/>
        <v/>
      </c>
      <c r="AR32" s="816" t="str">
        <f t="shared" si="9"/>
        <v/>
      </c>
      <c r="AS32" s="817" t="str">
        <f t="shared" si="9"/>
        <v/>
      </c>
      <c r="AT32" s="233"/>
      <c r="AU32" s="83"/>
      <c r="AV32" s="242"/>
      <c r="AW32" s="243"/>
      <c r="AX32" s="244"/>
      <c r="AY32" s="92"/>
      <c r="AZ32" s="245"/>
      <c r="BA32" s="245"/>
      <c r="BB32" s="246"/>
      <c r="BC32" s="247"/>
      <c r="BD32" s="246"/>
      <c r="BE32" s="248"/>
      <c r="BF32" s="837"/>
      <c r="BG32" s="838"/>
      <c r="BH32" s="839"/>
      <c r="BI32" s="839"/>
      <c r="BJ32" s="839"/>
      <c r="BK32" s="839"/>
      <c r="BL32" s="839"/>
      <c r="BM32" s="839"/>
      <c r="BN32" s="840"/>
    </row>
    <row r="33" spans="2:66" ht="15" customHeight="1" x14ac:dyDescent="0.25">
      <c r="B33" s="305"/>
      <c r="C33" s="12"/>
      <c r="D33" s="16" t="s">
        <v>355</v>
      </c>
      <c r="E33" s="16" t="str">
        <f t="shared" si="0"/>
        <v>Trans UG 1600mm2 cable</v>
      </c>
      <c r="F33" s="149">
        <f>'Standard estimates'!$C$17</f>
        <v>11</v>
      </c>
      <c r="G33" s="140">
        <f>VLOOKUP($C31,'Inputs - network configuration'!$C$54:$AY$59,6,FALSE)</f>
        <v>9.6600000000000019E-3</v>
      </c>
      <c r="H33" s="95" t="s">
        <v>1</v>
      </c>
      <c r="I33" s="96"/>
      <c r="J33" s="97"/>
      <c r="K33" s="316"/>
      <c r="L33" s="518"/>
      <c r="M33" s="322">
        <f>G33*L31</f>
        <v>1.0535636163829642E-2</v>
      </c>
      <c r="N33" s="312" t="s">
        <v>1</v>
      </c>
      <c r="O33" s="144">
        <f t="shared" si="1"/>
        <v>30347.04254968237</v>
      </c>
      <c r="P33" s="828">
        <f t="shared" si="2"/>
        <v>45</v>
      </c>
      <c r="Q33" s="815">
        <f t="shared" si="8"/>
        <v>45</v>
      </c>
      <c r="R33" s="816" t="str">
        <f t="shared" si="8"/>
        <v/>
      </c>
      <c r="S33" s="816" t="str">
        <f t="shared" si="8"/>
        <v/>
      </c>
      <c r="T33" s="816" t="str">
        <f t="shared" si="8"/>
        <v/>
      </c>
      <c r="U33" s="816" t="str">
        <f t="shared" si="8"/>
        <v/>
      </c>
      <c r="V33" s="816" t="str">
        <f t="shared" si="8"/>
        <v/>
      </c>
      <c r="W33" s="816" t="str">
        <f t="shared" si="8"/>
        <v/>
      </c>
      <c r="X33" s="877" t="str">
        <f t="shared" si="8"/>
        <v/>
      </c>
      <c r="Y33" s="16" t="s">
        <v>355</v>
      </c>
      <c r="Z33" s="3" t="str">
        <f t="shared" si="4"/>
        <v>Trans UG 1600mm2 cable</v>
      </c>
      <c r="AA33" s="149">
        <f>'Standard estimates'!$C$17</f>
        <v>11</v>
      </c>
      <c r="AB33" s="140">
        <f>VLOOKUP($C31,'Inputs - network configuration'!$C$54:$AY$59,18,FALSE)</f>
        <v>0</v>
      </c>
      <c r="AC33" s="95" t="s">
        <v>1</v>
      </c>
      <c r="AD33" s="96"/>
      <c r="AE33" s="97"/>
      <c r="AF33" s="524"/>
      <c r="AG33" s="518"/>
      <c r="AH33" s="322">
        <f>AB33*AG31</f>
        <v>0</v>
      </c>
      <c r="AI33" s="527" t="s">
        <v>1</v>
      </c>
      <c r="AJ33" s="521">
        <f t="shared" si="5"/>
        <v>0</v>
      </c>
      <c r="AK33" s="828">
        <f t="shared" si="6"/>
        <v>45</v>
      </c>
      <c r="AL33" s="815">
        <f t="shared" si="9"/>
        <v>45</v>
      </c>
      <c r="AM33" s="816" t="str">
        <f t="shared" si="9"/>
        <v/>
      </c>
      <c r="AN33" s="816" t="str">
        <f t="shared" si="9"/>
        <v/>
      </c>
      <c r="AO33" s="816" t="str">
        <f t="shared" si="9"/>
        <v/>
      </c>
      <c r="AP33" s="816" t="str">
        <f t="shared" si="9"/>
        <v/>
      </c>
      <c r="AQ33" s="816" t="str">
        <f t="shared" si="9"/>
        <v/>
      </c>
      <c r="AR33" s="816" t="str">
        <f t="shared" si="9"/>
        <v/>
      </c>
      <c r="AS33" s="817" t="str">
        <f t="shared" si="9"/>
        <v/>
      </c>
      <c r="AT33" s="233"/>
      <c r="AU33" s="258"/>
      <c r="AV33" s="242"/>
      <c r="AW33" s="251"/>
      <c r="AX33" s="252"/>
      <c r="AY33" s="96"/>
      <c r="AZ33" s="253"/>
      <c r="BA33" s="253"/>
      <c r="BB33" s="254"/>
      <c r="BC33" s="255"/>
      <c r="BD33" s="254"/>
      <c r="BE33" s="256"/>
      <c r="BF33" s="837"/>
      <c r="BG33" s="838"/>
      <c r="BH33" s="839"/>
      <c r="BI33" s="839"/>
      <c r="BJ33" s="839"/>
      <c r="BK33" s="839"/>
      <c r="BL33" s="839"/>
      <c r="BM33" s="839"/>
      <c r="BN33" s="840"/>
    </row>
    <row r="34" spans="2:66" ht="15" customHeight="1" x14ac:dyDescent="0.25">
      <c r="B34" s="305">
        <f>SUM(O34:O36)/L34/1000000</f>
        <v>35.684765881010321</v>
      </c>
      <c r="C34" s="41" t="str">
        <f>'Standard estimates'!D11</f>
        <v>66,33kV/HV zone urban</v>
      </c>
      <c r="D34" s="861" t="s">
        <v>85</v>
      </c>
      <c r="E34" s="861" t="str">
        <f t="shared" si="0"/>
        <v>2 x 20 MVA ST zone</v>
      </c>
      <c r="F34" s="867">
        <f>'Standard estimates'!$C$11</f>
        <v>5</v>
      </c>
      <c r="G34" s="844">
        <v>1</v>
      </c>
      <c r="H34" s="868" t="s">
        <v>5</v>
      </c>
      <c r="I34" s="869">
        <f>VLOOKUP(F34,std_est,10,FALSE)*G34</f>
        <v>24</v>
      </c>
      <c r="J34" s="870">
        <f>SUM(I34:I36)</f>
        <v>24</v>
      </c>
      <c r="K34" s="871">
        <f>E13</f>
        <v>167.87069654131903</v>
      </c>
      <c r="L34" s="872">
        <f>K34/J34</f>
        <v>6.9946123558882931</v>
      </c>
      <c r="M34" s="873">
        <f>G34*L34</f>
        <v>6.9946123558882931</v>
      </c>
      <c r="N34" s="874" t="s">
        <v>63</v>
      </c>
      <c r="O34" s="875">
        <f t="shared" si="1"/>
        <v>113738041.00619771</v>
      </c>
      <c r="P34" s="828">
        <f t="shared" si="2"/>
        <v>50</v>
      </c>
      <c r="Q34" s="815" t="str">
        <f t="shared" si="8"/>
        <v/>
      </c>
      <c r="R34" s="816" t="str">
        <f t="shared" si="8"/>
        <v/>
      </c>
      <c r="S34" s="816" t="str">
        <f t="shared" si="8"/>
        <v/>
      </c>
      <c r="T34" s="816">
        <f t="shared" si="8"/>
        <v>50</v>
      </c>
      <c r="U34" s="816" t="str">
        <f t="shared" si="8"/>
        <v/>
      </c>
      <c r="V34" s="816" t="str">
        <f t="shared" si="8"/>
        <v/>
      </c>
      <c r="W34" s="816" t="str">
        <f t="shared" si="8"/>
        <v/>
      </c>
      <c r="X34" s="877" t="str">
        <f t="shared" si="8"/>
        <v/>
      </c>
      <c r="Y34" s="861" t="s">
        <v>85</v>
      </c>
      <c r="Z34" s="86" t="str">
        <f t="shared" si="4"/>
        <v>2 x 20 MVA ST zone</v>
      </c>
      <c r="AA34" s="148">
        <f>'Standard estimates'!$C$11</f>
        <v>5</v>
      </c>
      <c r="AB34" s="139">
        <v>1</v>
      </c>
      <c r="AC34" s="87" t="s">
        <v>5</v>
      </c>
      <c r="AD34" s="88">
        <f>VLOOKUP(AA34,std_est,10,FALSE)*AB34</f>
        <v>24</v>
      </c>
      <c r="AE34" s="89">
        <f>SUM(AD34:AD36)</f>
        <v>24</v>
      </c>
      <c r="AF34" s="522">
        <f>Z13</f>
        <v>4.5523948907310636</v>
      </c>
      <c r="AG34" s="515">
        <f>AF34/AE34</f>
        <v>0.18968312044712765</v>
      </c>
      <c r="AH34" s="516">
        <f>AB34*AG34</f>
        <v>0.18968312044712765</v>
      </c>
      <c r="AI34" s="525" t="s">
        <v>63</v>
      </c>
      <c r="AJ34" s="519">
        <f t="shared" si="5"/>
        <v>3084400.5977596585</v>
      </c>
      <c r="AK34" s="828">
        <f t="shared" si="6"/>
        <v>50</v>
      </c>
      <c r="AL34" s="815" t="str">
        <f t="shared" si="9"/>
        <v/>
      </c>
      <c r="AM34" s="816" t="str">
        <f t="shared" si="9"/>
        <v/>
      </c>
      <c r="AN34" s="816" t="str">
        <f t="shared" si="9"/>
        <v/>
      </c>
      <c r="AO34" s="816">
        <f t="shared" si="9"/>
        <v>50</v>
      </c>
      <c r="AP34" s="816" t="str">
        <f t="shared" si="9"/>
        <v/>
      </c>
      <c r="AQ34" s="816" t="str">
        <f t="shared" si="9"/>
        <v/>
      </c>
      <c r="AR34" s="816" t="str">
        <f t="shared" si="9"/>
        <v/>
      </c>
      <c r="AS34" s="817" t="str">
        <f t="shared" si="9"/>
        <v/>
      </c>
      <c r="AT34" s="257"/>
      <c r="AU34" s="122"/>
      <c r="AV34" s="234"/>
      <c r="AW34" s="235"/>
      <c r="AX34" s="236"/>
      <c r="AY34" s="237"/>
      <c r="AZ34" s="238"/>
      <c r="BA34" s="238"/>
      <c r="BB34" s="259"/>
      <c r="BC34" s="240"/>
      <c r="BD34" s="239"/>
      <c r="BE34" s="241"/>
      <c r="BF34" s="837"/>
      <c r="BG34" s="838"/>
      <c r="BH34" s="839"/>
      <c r="BI34" s="839"/>
      <c r="BJ34" s="839"/>
      <c r="BK34" s="839"/>
      <c r="BL34" s="839"/>
      <c r="BM34" s="839"/>
      <c r="BN34" s="840"/>
    </row>
    <row r="35" spans="2:66" ht="15" customHeight="1" x14ac:dyDescent="0.25">
      <c r="B35" s="305"/>
      <c r="C35" s="12"/>
      <c r="D35" s="16" t="s">
        <v>82</v>
      </c>
      <c r="E35" s="16" t="str">
        <f t="shared" si="0"/>
        <v>ST SCOH Concrete Poles Urban</v>
      </c>
      <c r="F35" s="149">
        <f>'Standard estimates'!$C$18</f>
        <v>12</v>
      </c>
      <c r="G35" s="309">
        <f>VLOOKUP($C34,'Inputs - network configuration'!$C$54:$AY$59,5,FALSE)</f>
        <v>36.330749999999995</v>
      </c>
      <c r="H35" s="91" t="s">
        <v>1</v>
      </c>
      <c r="I35" s="92"/>
      <c r="J35" s="93"/>
      <c r="K35" s="315"/>
      <c r="L35" s="318"/>
      <c r="M35" s="321">
        <f>G35*L34</f>
        <v>254.11951284868857</v>
      </c>
      <c r="N35" s="311" t="s">
        <v>1</v>
      </c>
      <c r="O35" s="143">
        <f t="shared" si="1"/>
        <v>95921805.199556291</v>
      </c>
      <c r="P35" s="828">
        <f t="shared" si="2"/>
        <v>55</v>
      </c>
      <c r="Q35" s="815" t="str">
        <f t="shared" si="8"/>
        <v/>
      </c>
      <c r="R35" s="816" t="str">
        <f t="shared" si="8"/>
        <v/>
      </c>
      <c r="S35" s="816">
        <f t="shared" si="8"/>
        <v>55</v>
      </c>
      <c r="T35" s="816" t="str">
        <f t="shared" si="8"/>
        <v/>
      </c>
      <c r="U35" s="816" t="str">
        <f t="shared" si="8"/>
        <v/>
      </c>
      <c r="V35" s="816" t="str">
        <f t="shared" si="8"/>
        <v/>
      </c>
      <c r="W35" s="816" t="str">
        <f t="shared" si="8"/>
        <v/>
      </c>
      <c r="X35" s="877" t="str">
        <f t="shared" si="8"/>
        <v/>
      </c>
      <c r="Y35" s="16" t="s">
        <v>82</v>
      </c>
      <c r="Z35" s="16" t="str">
        <f t="shared" si="4"/>
        <v>ST OH Rural</v>
      </c>
      <c r="AA35" s="896">
        <f>'Standard estimates'!$C$25</f>
        <v>19</v>
      </c>
      <c r="AB35" s="309">
        <f>VLOOKUP($C34,'Inputs - network configuration'!$C$54:$AY$59,26,FALSE)</f>
        <v>101.45399999999999</v>
      </c>
      <c r="AC35" s="91" t="s">
        <v>1</v>
      </c>
      <c r="AD35" s="92"/>
      <c r="AE35" s="93"/>
      <c r="AF35" s="523"/>
      <c r="AG35" s="318"/>
      <c r="AH35" s="321">
        <f>AB35*AG34</f>
        <v>19.244111301842889</v>
      </c>
      <c r="AI35" s="526" t="s">
        <v>1</v>
      </c>
      <c r="AJ35" s="520">
        <f t="shared" si="5"/>
        <v>4341359.4543482438</v>
      </c>
      <c r="AK35" s="828">
        <f t="shared" si="6"/>
        <v>55</v>
      </c>
      <c r="AL35" s="815" t="str">
        <f t="shared" si="9"/>
        <v/>
      </c>
      <c r="AM35" s="816" t="str">
        <f t="shared" si="9"/>
        <v/>
      </c>
      <c r="AN35" s="816">
        <f t="shared" si="9"/>
        <v>55</v>
      </c>
      <c r="AO35" s="816" t="str">
        <f t="shared" si="9"/>
        <v/>
      </c>
      <c r="AP35" s="816" t="str">
        <f t="shared" si="9"/>
        <v/>
      </c>
      <c r="AQ35" s="816" t="str">
        <f t="shared" si="9"/>
        <v/>
      </c>
      <c r="AR35" s="816" t="str">
        <f t="shared" si="9"/>
        <v/>
      </c>
      <c r="AS35" s="817" t="str">
        <f t="shared" si="9"/>
        <v/>
      </c>
      <c r="AT35" s="233"/>
      <c r="AU35" s="83"/>
      <c r="AV35" s="242"/>
      <c r="AW35" s="243"/>
      <c r="AX35" s="244"/>
      <c r="AY35" s="92"/>
      <c r="AZ35" s="245"/>
      <c r="BA35" s="245"/>
      <c r="BB35" s="260"/>
      <c r="BC35" s="247"/>
      <c r="BD35" s="246"/>
      <c r="BE35" s="248"/>
      <c r="BF35" s="837"/>
      <c r="BG35" s="838"/>
      <c r="BH35" s="839"/>
      <c r="BI35" s="839"/>
      <c r="BJ35" s="839"/>
      <c r="BK35" s="839"/>
      <c r="BL35" s="839"/>
      <c r="BM35" s="839"/>
      <c r="BN35" s="840"/>
    </row>
    <row r="36" spans="2:66" ht="15" customHeight="1" x14ac:dyDescent="0.25">
      <c r="B36" s="305"/>
      <c r="C36" s="12"/>
      <c r="D36" s="16" t="s">
        <v>82</v>
      </c>
      <c r="E36" s="16" t="str">
        <f t="shared" si="0"/>
        <v>ST UG</v>
      </c>
      <c r="F36" s="149">
        <f>'Standard estimates'!$C$19</f>
        <v>13</v>
      </c>
      <c r="G36" s="140">
        <f>VLOOKUP($C34,'Inputs - network configuration'!$C$54:$AY$59,6,FALSE)</f>
        <v>6.2760599999999993</v>
      </c>
      <c r="H36" s="91" t="s">
        <v>1</v>
      </c>
      <c r="I36" s="92"/>
      <c r="J36" s="93"/>
      <c r="K36" s="315"/>
      <c r="L36" s="318"/>
      <c r="M36" s="322">
        <f>G36*L34</f>
        <v>43.898606822296273</v>
      </c>
      <c r="N36" s="311" t="s">
        <v>1</v>
      </c>
      <c r="O36" s="144">
        <f t="shared" si="1"/>
        <v>39941258.142541833</v>
      </c>
      <c r="P36" s="828">
        <f t="shared" si="2"/>
        <v>45</v>
      </c>
      <c r="Q36" s="815" t="str">
        <f t="shared" si="8"/>
        <v/>
      </c>
      <c r="R36" s="816" t="str">
        <f t="shared" si="8"/>
        <v/>
      </c>
      <c r="S36" s="816">
        <f t="shared" si="8"/>
        <v>45</v>
      </c>
      <c r="T36" s="816" t="str">
        <f t="shared" si="8"/>
        <v/>
      </c>
      <c r="U36" s="816" t="str">
        <f t="shared" si="8"/>
        <v/>
      </c>
      <c r="V36" s="816" t="str">
        <f t="shared" si="8"/>
        <v/>
      </c>
      <c r="W36" s="816" t="str">
        <f t="shared" si="8"/>
        <v/>
      </c>
      <c r="X36" s="877" t="str">
        <f t="shared" si="8"/>
        <v/>
      </c>
      <c r="Y36" s="16" t="s">
        <v>82</v>
      </c>
      <c r="Z36" s="3" t="str">
        <f t="shared" si="4"/>
        <v>ST UG</v>
      </c>
      <c r="AA36" s="149">
        <f>'Standard estimates'!$C$19</f>
        <v>13</v>
      </c>
      <c r="AB36" s="140">
        <f>VLOOKUP($C34,'Inputs - network configuration'!$C$54:$AY$59,18,FALSE)</f>
        <v>0</v>
      </c>
      <c r="AC36" s="91" t="s">
        <v>1</v>
      </c>
      <c r="AD36" s="92"/>
      <c r="AE36" s="93"/>
      <c r="AF36" s="523"/>
      <c r="AG36" s="318"/>
      <c r="AH36" s="322">
        <f>AB36*AG34</f>
        <v>0</v>
      </c>
      <c r="AI36" s="526" t="s">
        <v>1</v>
      </c>
      <c r="AJ36" s="521">
        <f t="shared" si="5"/>
        <v>0</v>
      </c>
      <c r="AK36" s="828">
        <f t="shared" si="6"/>
        <v>45</v>
      </c>
      <c r="AL36" s="815" t="str">
        <f t="shared" si="9"/>
        <v/>
      </c>
      <c r="AM36" s="816" t="str">
        <f t="shared" si="9"/>
        <v/>
      </c>
      <c r="AN36" s="816">
        <f t="shared" si="9"/>
        <v>45</v>
      </c>
      <c r="AO36" s="816" t="str">
        <f t="shared" si="9"/>
        <v/>
      </c>
      <c r="AP36" s="816" t="str">
        <f t="shared" si="9"/>
        <v/>
      </c>
      <c r="AQ36" s="816" t="str">
        <f t="shared" si="9"/>
        <v/>
      </c>
      <c r="AR36" s="816" t="str">
        <f t="shared" si="9"/>
        <v/>
      </c>
      <c r="AS36" s="817" t="str">
        <f t="shared" si="9"/>
        <v/>
      </c>
      <c r="AT36" s="233"/>
      <c r="AU36" s="258"/>
      <c r="AV36" s="242"/>
      <c r="AW36" s="251"/>
      <c r="AX36" s="244"/>
      <c r="AY36" s="92"/>
      <c r="AZ36" s="245"/>
      <c r="BA36" s="245"/>
      <c r="BB36" s="260"/>
      <c r="BC36" s="247"/>
      <c r="BD36" s="246"/>
      <c r="BE36" s="256"/>
      <c r="BF36" s="837"/>
      <c r="BG36" s="838"/>
      <c r="BH36" s="839"/>
      <c r="BI36" s="839"/>
      <c r="BJ36" s="839"/>
      <c r="BK36" s="839"/>
      <c r="BL36" s="839"/>
      <c r="BM36" s="839"/>
      <c r="BN36" s="840"/>
    </row>
    <row r="37" spans="2:66" ht="15" customHeight="1" x14ac:dyDescent="0.25">
      <c r="B37" s="305"/>
      <c r="C37" s="41" t="str">
        <f>'Standard estimates'!D12</f>
        <v>66,33kV/HV zone rural</v>
      </c>
      <c r="D37" s="861" t="s">
        <v>85</v>
      </c>
      <c r="E37" s="861" t="str">
        <f t="shared" si="0"/>
        <v>2 x 6 MVA ST zone</v>
      </c>
      <c r="F37" s="867">
        <f>'Standard estimates'!$C$12</f>
        <v>6</v>
      </c>
      <c r="G37" s="844">
        <v>1</v>
      </c>
      <c r="H37" s="868" t="s">
        <v>5</v>
      </c>
      <c r="I37" s="869">
        <f>VLOOKUP(F37,std_est,10,FALSE)*G37</f>
        <v>7.1999999999999993</v>
      </c>
      <c r="J37" s="870">
        <f>SUM(I37:I38)</f>
        <v>7.1999999999999993</v>
      </c>
      <c r="K37" s="871">
        <f>F13</f>
        <v>66.678710234593851</v>
      </c>
      <c r="L37" s="872">
        <f>K37/J37</f>
        <v>9.2609319770269245</v>
      </c>
      <c r="M37" s="873">
        <f>G37*L37</f>
        <v>9.2609319770269245</v>
      </c>
      <c r="N37" s="874" t="s">
        <v>63</v>
      </c>
      <c r="O37" s="875">
        <f t="shared" si="1"/>
        <v>106342653.75417006</v>
      </c>
      <c r="P37" s="828">
        <f t="shared" si="2"/>
        <v>50</v>
      </c>
      <c r="Q37" s="815" t="str">
        <f t="shared" si="8"/>
        <v/>
      </c>
      <c r="R37" s="816" t="str">
        <f t="shared" si="8"/>
        <v/>
      </c>
      <c r="S37" s="816" t="str">
        <f t="shared" si="8"/>
        <v/>
      </c>
      <c r="T37" s="816">
        <f t="shared" si="8"/>
        <v>50</v>
      </c>
      <c r="U37" s="816" t="str">
        <f t="shared" si="8"/>
        <v/>
      </c>
      <c r="V37" s="816" t="str">
        <f t="shared" si="8"/>
        <v/>
      </c>
      <c r="W37" s="816" t="str">
        <f t="shared" si="8"/>
        <v/>
      </c>
      <c r="X37" s="877" t="str">
        <f t="shared" si="8"/>
        <v/>
      </c>
      <c r="Y37" s="861" t="s">
        <v>85</v>
      </c>
      <c r="Z37" s="86" t="str">
        <f t="shared" si="4"/>
        <v>2 x 6 MVA ST zone</v>
      </c>
      <c r="AA37" s="148">
        <f>'Standard estimates'!$C$12</f>
        <v>6</v>
      </c>
      <c r="AB37" s="139">
        <v>1</v>
      </c>
      <c r="AC37" s="87" t="s">
        <v>5</v>
      </c>
      <c r="AD37" s="88">
        <f>VLOOKUP(AA37,std_est,10,FALSE)*AB37</f>
        <v>7.1999999999999993</v>
      </c>
      <c r="AE37" s="89">
        <f>SUM(AD37:AD38)</f>
        <v>7.1999999999999993</v>
      </c>
      <c r="AF37" s="522">
        <f>AA13</f>
        <v>22.789332596027499</v>
      </c>
      <c r="AG37" s="515">
        <f>AF37/AE37</f>
        <v>3.1651850827815973</v>
      </c>
      <c r="AH37" s="516">
        <f>AB37*AG37</f>
        <v>3.1651850827815973</v>
      </c>
      <c r="AI37" s="525" t="s">
        <v>63</v>
      </c>
      <c r="AJ37" s="519">
        <f t="shared" si="5"/>
        <v>36345605.621667221</v>
      </c>
      <c r="AK37" s="828">
        <f t="shared" si="6"/>
        <v>50</v>
      </c>
      <c r="AL37" s="815" t="str">
        <f t="shared" si="9"/>
        <v/>
      </c>
      <c r="AM37" s="816" t="str">
        <f t="shared" si="9"/>
        <v/>
      </c>
      <c r="AN37" s="816" t="str">
        <f t="shared" si="9"/>
        <v/>
      </c>
      <c r="AO37" s="816">
        <f t="shared" si="9"/>
        <v>50</v>
      </c>
      <c r="AP37" s="816" t="str">
        <f t="shared" si="9"/>
        <v/>
      </c>
      <c r="AQ37" s="816" t="str">
        <f t="shared" si="9"/>
        <v/>
      </c>
      <c r="AR37" s="816" t="str">
        <f t="shared" si="9"/>
        <v/>
      </c>
      <c r="AS37" s="817" t="str">
        <f t="shared" si="9"/>
        <v/>
      </c>
      <c r="AT37" s="257"/>
      <c r="AU37" s="122"/>
      <c r="AV37" s="234"/>
      <c r="AW37" s="235"/>
      <c r="AX37" s="236"/>
      <c r="AY37" s="237"/>
      <c r="AZ37" s="238"/>
      <c r="BA37" s="238"/>
      <c r="BB37" s="239"/>
      <c r="BC37" s="240"/>
      <c r="BD37" s="239"/>
      <c r="BE37" s="241"/>
      <c r="BF37" s="837"/>
      <c r="BG37" s="838"/>
      <c r="BH37" s="839"/>
      <c r="BI37" s="839"/>
      <c r="BJ37" s="839"/>
      <c r="BK37" s="839"/>
      <c r="BL37" s="839"/>
      <c r="BM37" s="839"/>
      <c r="BN37" s="840"/>
    </row>
    <row r="38" spans="2:66" ht="15" customHeight="1" x14ac:dyDescent="0.25">
      <c r="B38" s="305"/>
      <c r="C38" s="12"/>
      <c r="D38" s="16" t="s">
        <v>82</v>
      </c>
      <c r="E38" s="16" t="str">
        <f t="shared" si="0"/>
        <v>ST SCOH Timber Poles Rural</v>
      </c>
      <c r="F38" s="149">
        <f>'Standard estimates'!$C$20</f>
        <v>14</v>
      </c>
      <c r="G38" s="140">
        <f>VLOOKUP($C37,'Inputs - network configuration'!$C$54:$AY$59,5,FALSE)</f>
        <v>109.88250000000001</v>
      </c>
      <c r="H38" s="95" t="s">
        <v>1</v>
      </c>
      <c r="I38" s="92"/>
      <c r="J38" s="93"/>
      <c r="K38" s="315"/>
      <c r="L38" s="517"/>
      <c r="M38" s="322">
        <f>G38*L37</f>
        <v>1017.6143579656612</v>
      </c>
      <c r="N38" s="311" t="s">
        <v>1</v>
      </c>
      <c r="O38" s="143">
        <f t="shared" si="1"/>
        <v>382613122.92206436</v>
      </c>
      <c r="P38" s="828">
        <f t="shared" si="2"/>
        <v>55</v>
      </c>
      <c r="Q38" s="815" t="str">
        <f t="shared" si="8"/>
        <v/>
      </c>
      <c r="R38" s="816" t="str">
        <f t="shared" si="8"/>
        <v/>
      </c>
      <c r="S38" s="816">
        <f t="shared" si="8"/>
        <v>55</v>
      </c>
      <c r="T38" s="816" t="str">
        <f t="shared" si="8"/>
        <v/>
      </c>
      <c r="U38" s="816" t="str">
        <f t="shared" si="8"/>
        <v/>
      </c>
      <c r="V38" s="816" t="str">
        <f t="shared" si="8"/>
        <v/>
      </c>
      <c r="W38" s="816" t="str">
        <f t="shared" si="8"/>
        <v/>
      </c>
      <c r="X38" s="877" t="str">
        <f t="shared" si="8"/>
        <v/>
      </c>
      <c r="Y38" s="16" t="s">
        <v>82</v>
      </c>
      <c r="Z38" s="16" t="str">
        <f t="shared" si="4"/>
        <v>ST OH Rural</v>
      </c>
      <c r="AA38" s="897">
        <f>'Standard estimates'!$C$25</f>
        <v>19</v>
      </c>
      <c r="AB38" s="140">
        <f>VLOOKUP($C37,'Inputs - network configuration'!$C$54:$AY$59,26,FALSE)</f>
        <v>127.79130000000001</v>
      </c>
      <c r="AC38" s="95" t="s">
        <v>1</v>
      </c>
      <c r="AD38" s="92"/>
      <c r="AE38" s="93"/>
      <c r="AF38" s="523"/>
      <c r="AG38" s="517"/>
      <c r="AH38" s="322">
        <f>AB38*AG37</f>
        <v>404.48311646926794</v>
      </c>
      <c r="AI38" s="526" t="s">
        <v>1</v>
      </c>
      <c r="AJ38" s="521">
        <f t="shared" si="5"/>
        <v>91249035.835701928</v>
      </c>
      <c r="AK38" s="828">
        <f t="shared" si="6"/>
        <v>55</v>
      </c>
      <c r="AL38" s="815" t="str">
        <f t="shared" si="9"/>
        <v/>
      </c>
      <c r="AM38" s="816" t="str">
        <f t="shared" si="9"/>
        <v/>
      </c>
      <c r="AN38" s="816">
        <f t="shared" si="9"/>
        <v>55</v>
      </c>
      <c r="AO38" s="816" t="str">
        <f t="shared" si="9"/>
        <v/>
      </c>
      <c r="AP38" s="816" t="str">
        <f t="shared" si="9"/>
        <v/>
      </c>
      <c r="AQ38" s="816" t="str">
        <f t="shared" si="9"/>
        <v/>
      </c>
      <c r="AR38" s="816" t="str">
        <f t="shared" si="9"/>
        <v/>
      </c>
      <c r="AS38" s="817" t="str">
        <f t="shared" si="9"/>
        <v/>
      </c>
      <c r="AT38" s="233"/>
      <c r="AU38" s="83"/>
      <c r="AV38" s="242"/>
      <c r="AW38" s="251"/>
      <c r="AX38" s="252"/>
      <c r="AY38" s="92"/>
      <c r="AZ38" s="245"/>
      <c r="BA38" s="245"/>
      <c r="BB38" s="246"/>
      <c r="BC38" s="247"/>
      <c r="BD38" s="246"/>
      <c r="BE38" s="248"/>
      <c r="BF38" s="837"/>
      <c r="BG38" s="838"/>
      <c r="BH38" s="839"/>
      <c r="BI38" s="839"/>
      <c r="BJ38" s="839"/>
      <c r="BK38" s="839"/>
      <c r="BL38" s="839"/>
      <c r="BM38" s="839"/>
      <c r="BN38" s="840"/>
    </row>
    <row r="39" spans="2:66" ht="15" customHeight="1" x14ac:dyDescent="0.25">
      <c r="B39" s="305">
        <f>SUM(O39:O41)/L39/1000000</f>
        <v>0.47775647222324236</v>
      </c>
      <c r="C39" s="41" t="str">
        <f>'Standard estimates'!D13</f>
        <v>HV/LV Kiosk</v>
      </c>
      <c r="D39" s="861" t="s">
        <v>84</v>
      </c>
      <c r="E39" s="861" t="str">
        <f t="shared" si="0"/>
        <v>Padmount Transformer 750kVA</v>
      </c>
      <c r="F39" s="867">
        <f>'Standard estimates'!$C$13</f>
        <v>7</v>
      </c>
      <c r="G39" s="844">
        <v>1</v>
      </c>
      <c r="H39" s="868" t="s">
        <v>5</v>
      </c>
      <c r="I39" s="869">
        <f>VLOOKUP(F39,std_est,10,FALSE)*G39</f>
        <v>0.44999999999999996</v>
      </c>
      <c r="J39" s="870">
        <f t="shared" ref="J39:J45" si="10">I39</f>
        <v>0.44999999999999996</v>
      </c>
      <c r="K39" s="871">
        <f>E16</f>
        <v>149.91958218932331</v>
      </c>
      <c r="L39" s="878">
        <f>ROUNDUP(K39/J39,0)</f>
        <v>334</v>
      </c>
      <c r="M39" s="879">
        <f t="shared" ref="M39:M45" si="11">G39*L39</f>
        <v>334</v>
      </c>
      <c r="N39" s="874" t="s">
        <v>63</v>
      </c>
      <c r="O39" s="875">
        <f t="shared" si="1"/>
        <v>141431295.72511587</v>
      </c>
      <c r="P39" s="828">
        <f t="shared" si="2"/>
        <v>45</v>
      </c>
      <c r="Q39" s="815" t="str">
        <f t="shared" si="8"/>
        <v/>
      </c>
      <c r="R39" s="816" t="str">
        <f t="shared" si="8"/>
        <v/>
      </c>
      <c r="S39" s="816" t="str">
        <f t="shared" si="8"/>
        <v/>
      </c>
      <c r="T39" s="816" t="str">
        <f t="shared" si="8"/>
        <v/>
      </c>
      <c r="U39" s="816" t="str">
        <f t="shared" si="8"/>
        <v/>
      </c>
      <c r="V39" s="816" t="str">
        <f t="shared" si="8"/>
        <v/>
      </c>
      <c r="W39" s="816">
        <f t="shared" si="8"/>
        <v>45</v>
      </c>
      <c r="X39" s="877" t="str">
        <f t="shared" si="8"/>
        <v/>
      </c>
      <c r="Y39" s="861" t="s">
        <v>84</v>
      </c>
      <c r="Z39" s="86" t="str">
        <f t="shared" si="4"/>
        <v>Padmount Transformer 750kVA</v>
      </c>
      <c r="AA39" s="148">
        <f>'Standard estimates'!$C$13</f>
        <v>7</v>
      </c>
      <c r="AB39" s="139">
        <v>1</v>
      </c>
      <c r="AC39" s="87" t="s">
        <v>5</v>
      </c>
      <c r="AD39" s="88">
        <f>VLOOKUP(AA39,std_est,10,FALSE)*AB39</f>
        <v>0.44999999999999996</v>
      </c>
      <c r="AE39" s="89">
        <f t="shared" ref="AE39:AE43" si="12">AD39</f>
        <v>0.44999999999999996</v>
      </c>
      <c r="AF39" s="314">
        <f>Z16</f>
        <v>6.4388152590912116</v>
      </c>
      <c r="AG39" s="335">
        <f t="shared" ref="AG39:AG44" si="13">AF39/AE39</f>
        <v>14.308478353536026</v>
      </c>
      <c r="AH39" s="323">
        <f t="shared" ref="AH39:AH43" si="14">AB39*AG39</f>
        <v>14.308478353536026</v>
      </c>
      <c r="AI39" s="310" t="s">
        <v>63</v>
      </c>
      <c r="AJ39" s="142">
        <f t="shared" si="5"/>
        <v>6058882.1359142894</v>
      </c>
      <c r="AK39" s="828">
        <f t="shared" si="6"/>
        <v>45</v>
      </c>
      <c r="AL39" s="815" t="str">
        <f t="shared" si="9"/>
        <v/>
      </c>
      <c r="AM39" s="816" t="str">
        <f t="shared" si="9"/>
        <v/>
      </c>
      <c r="AN39" s="816" t="str">
        <f t="shared" si="9"/>
        <v/>
      </c>
      <c r="AO39" s="816" t="str">
        <f t="shared" si="9"/>
        <v/>
      </c>
      <c r="AP39" s="816" t="str">
        <f t="shared" si="9"/>
        <v/>
      </c>
      <c r="AQ39" s="816" t="str">
        <f t="shared" si="9"/>
        <v/>
      </c>
      <c r="AR39" s="816">
        <f t="shared" si="9"/>
        <v>45</v>
      </c>
      <c r="AS39" s="817" t="str">
        <f t="shared" si="9"/>
        <v/>
      </c>
      <c r="AT39" s="147" t="s">
        <v>84</v>
      </c>
      <c r="AU39" s="86" t="str">
        <f t="shared" ref="AU39:AU47" si="15">VLOOKUP(AV39,std_est,3,FALSE)</f>
        <v>Padmount Transformer 750kVA</v>
      </c>
      <c r="AV39" s="148">
        <f>'Standard estimates'!$C$13</f>
        <v>7</v>
      </c>
      <c r="AW39" s="139">
        <v>1</v>
      </c>
      <c r="AX39" s="87" t="s">
        <v>5</v>
      </c>
      <c r="AY39" s="88">
        <f>VLOOKUP(AV39,std_est,10,FALSE)*AW39</f>
        <v>0.44999999999999996</v>
      </c>
      <c r="AZ39" s="89">
        <f t="shared" ref="AZ39:AZ41" si="16">AY39</f>
        <v>0.44999999999999996</v>
      </c>
      <c r="BA39" s="314">
        <f>AU16</f>
        <v>3.7926819589575547</v>
      </c>
      <c r="BB39" s="335">
        <f t="shared" ref="BB39:BB41" si="17">BA39/AZ39</f>
        <v>8.4281821310167881</v>
      </c>
      <c r="BC39" s="323">
        <f t="shared" ref="BC39:BC41" si="18">AW39*BB39</f>
        <v>8.4281821310167881</v>
      </c>
      <c r="BD39" s="310" t="s">
        <v>63</v>
      </c>
      <c r="BE39" s="507">
        <f>VLOOKUP(AV39,std_est,7,FALSE)*BC39</f>
        <v>3568888.381428062</v>
      </c>
      <c r="BF39" s="828">
        <f>VLOOKUP(AV39,std_est,13,FALSE)</f>
        <v>45</v>
      </c>
      <c r="BG39" s="838" t="str">
        <f t="shared" ref="BG39:BK47" si="19">IF($D39=BG$21,$P39,"")</f>
        <v/>
      </c>
      <c r="BH39" s="839" t="str">
        <f t="shared" si="19"/>
        <v/>
      </c>
      <c r="BI39" s="839" t="str">
        <f t="shared" si="19"/>
        <v/>
      </c>
      <c r="BJ39" s="839" t="str">
        <f t="shared" si="19"/>
        <v/>
      </c>
      <c r="BK39" s="839" t="str">
        <f t="shared" si="19"/>
        <v/>
      </c>
      <c r="BL39" s="816" t="str">
        <f t="shared" ref="BL39:BN47" si="20">IF($AT39=BL$21,$BF39,"")</f>
        <v/>
      </c>
      <c r="BM39" s="816">
        <f t="shared" si="20"/>
        <v>45</v>
      </c>
      <c r="BN39" s="817" t="str">
        <f t="shared" si="20"/>
        <v/>
      </c>
    </row>
    <row r="40" spans="2:66" ht="15" customHeight="1" x14ac:dyDescent="0.25">
      <c r="B40" s="305"/>
      <c r="C40" s="12"/>
      <c r="D40" s="16" t="s">
        <v>83</v>
      </c>
      <c r="E40" s="16" t="str">
        <f t="shared" si="0"/>
        <v>HV OH Feeder (PLUTO or MOON)</v>
      </c>
      <c r="F40" s="149">
        <f>'Standard estimates'!$C$21</f>
        <v>15</v>
      </c>
      <c r="G40" s="309">
        <f>'Inputs - network configuration'!$D$35</f>
        <v>4.7030000000000003</v>
      </c>
      <c r="H40" s="91" t="s">
        <v>1</v>
      </c>
      <c r="I40" s="99">
        <f>VLOOKUP(F40,std_est,10,FALSE)</f>
        <v>5</v>
      </c>
      <c r="J40" s="99">
        <f t="shared" si="10"/>
        <v>5</v>
      </c>
      <c r="K40" s="315">
        <f>E16*'Inputs - network configuration'!G35</f>
        <v>91.960980827471502</v>
      </c>
      <c r="L40" s="175">
        <f>K40/J40</f>
        <v>18.392196165494301</v>
      </c>
      <c r="M40" s="324">
        <f t="shared" si="11"/>
        <v>86.498498566319697</v>
      </c>
      <c r="N40" s="311" t="s">
        <v>1</v>
      </c>
      <c r="O40" s="143">
        <f t="shared" si="1"/>
        <v>11515534.295770725</v>
      </c>
      <c r="P40" s="828">
        <f t="shared" si="2"/>
        <v>50</v>
      </c>
      <c r="Q40" s="815" t="str">
        <f t="shared" si="8"/>
        <v/>
      </c>
      <c r="R40" s="816" t="str">
        <f t="shared" si="8"/>
        <v/>
      </c>
      <c r="S40" s="816" t="str">
        <f t="shared" si="8"/>
        <v/>
      </c>
      <c r="T40" s="816" t="str">
        <f t="shared" si="8"/>
        <v/>
      </c>
      <c r="U40" s="816" t="str">
        <f t="shared" si="8"/>
        <v/>
      </c>
      <c r="V40" s="816">
        <f t="shared" si="8"/>
        <v>50</v>
      </c>
      <c r="W40" s="816" t="str">
        <f t="shared" si="8"/>
        <v/>
      </c>
      <c r="X40" s="877" t="str">
        <f t="shared" si="8"/>
        <v/>
      </c>
      <c r="Y40" s="16" t="s">
        <v>83</v>
      </c>
      <c r="Z40" s="16" t="str">
        <f t="shared" si="4"/>
        <v>HV OH Rural</v>
      </c>
      <c r="AA40" s="896">
        <f>'Standard estimates'!$C$26</f>
        <v>20</v>
      </c>
      <c r="AB40" s="309">
        <f>'Inputs - network configuration'!Y35</f>
        <v>7.6669999999999998</v>
      </c>
      <c r="AC40" s="91" t="s">
        <v>1</v>
      </c>
      <c r="AD40" s="99">
        <f>VLOOKUP(AA40,std_est,10,FALSE)</f>
        <v>5</v>
      </c>
      <c r="AE40" s="99">
        <f t="shared" si="12"/>
        <v>5</v>
      </c>
      <c r="AF40" s="315">
        <f>Z16*'Inputs - network configuration'!AB35</f>
        <v>5.0298841301872255</v>
      </c>
      <c r="AG40" s="175">
        <f t="shared" si="13"/>
        <v>1.0059768260374451</v>
      </c>
      <c r="AH40" s="324">
        <f t="shared" si="14"/>
        <v>7.7128243252290911</v>
      </c>
      <c r="AI40" s="311" t="s">
        <v>1</v>
      </c>
      <c r="AJ40" s="143">
        <f t="shared" si="5"/>
        <v>448863.1364835446</v>
      </c>
      <c r="AK40" s="828">
        <f t="shared" si="6"/>
        <v>50</v>
      </c>
      <c r="AL40" s="815" t="str">
        <f t="shared" si="9"/>
        <v/>
      </c>
      <c r="AM40" s="816" t="str">
        <f t="shared" si="9"/>
        <v/>
      </c>
      <c r="AN40" s="816" t="str">
        <f t="shared" si="9"/>
        <v/>
      </c>
      <c r="AO40" s="816" t="str">
        <f t="shared" si="9"/>
        <v/>
      </c>
      <c r="AP40" s="816" t="str">
        <f t="shared" si="9"/>
        <v/>
      </c>
      <c r="AQ40" s="816">
        <f t="shared" si="9"/>
        <v>50</v>
      </c>
      <c r="AR40" s="816" t="str">
        <f t="shared" si="9"/>
        <v/>
      </c>
      <c r="AS40" s="817" t="str">
        <f t="shared" si="9"/>
        <v/>
      </c>
      <c r="AT40" s="131" t="s">
        <v>83</v>
      </c>
      <c r="AU40" s="16" t="str">
        <f t="shared" si="15"/>
        <v>HV OH Feeder (PLUTO or MOON)</v>
      </c>
      <c r="AV40" s="149">
        <f>'Standard estimates'!$C$21</f>
        <v>15</v>
      </c>
      <c r="AW40" s="309">
        <f>'Inputs - network configuration'!AT35</f>
        <v>6.14</v>
      </c>
      <c r="AX40" s="91" t="s">
        <v>1</v>
      </c>
      <c r="AY40" s="99">
        <f>VLOOKUP(AV40,std_est,10,FALSE)</f>
        <v>5</v>
      </c>
      <c r="AZ40" s="99">
        <f t="shared" si="16"/>
        <v>5</v>
      </c>
      <c r="BA40" s="315">
        <f>AU16*'Inputs - network configuration'!AW35</f>
        <v>2.3264389335873656</v>
      </c>
      <c r="BB40" s="175">
        <f t="shared" si="17"/>
        <v>0.46528778671747312</v>
      </c>
      <c r="BC40" s="324">
        <f t="shared" si="18"/>
        <v>2.8568670104452849</v>
      </c>
      <c r="BD40" s="311" t="s">
        <v>1</v>
      </c>
      <c r="BE40" s="94">
        <f>VLOOKUP(AV40,std_est,7,FALSE)*BC40</f>
        <v>380334.34779234929</v>
      </c>
      <c r="BF40" s="828">
        <f>VLOOKUP(AV40,std_est,13,FALSE)</f>
        <v>50</v>
      </c>
      <c r="BG40" s="838" t="str">
        <f t="shared" si="19"/>
        <v/>
      </c>
      <c r="BH40" s="839" t="str">
        <f t="shared" si="19"/>
        <v/>
      </c>
      <c r="BI40" s="839" t="str">
        <f t="shared" si="19"/>
        <v/>
      </c>
      <c r="BJ40" s="839" t="str">
        <f t="shared" si="19"/>
        <v/>
      </c>
      <c r="BK40" s="839" t="str">
        <f t="shared" si="19"/>
        <v/>
      </c>
      <c r="BL40" s="816">
        <f t="shared" si="20"/>
        <v>50</v>
      </c>
      <c r="BM40" s="816" t="str">
        <f t="shared" si="20"/>
        <v/>
      </c>
      <c r="BN40" s="817" t="str">
        <f t="shared" si="20"/>
        <v/>
      </c>
    </row>
    <row r="41" spans="2:66" ht="15" customHeight="1" x14ac:dyDescent="0.25">
      <c r="B41" s="305"/>
      <c r="C41" s="13"/>
      <c r="D41" s="7" t="s">
        <v>83</v>
      </c>
      <c r="E41" s="7" t="str">
        <f t="shared" si="0"/>
        <v>HV UG Feeder 240mm2</v>
      </c>
      <c r="F41" s="150">
        <f>'Standard estimates'!$C$22</f>
        <v>16</v>
      </c>
      <c r="G41" s="140">
        <f>'Inputs - network configuration'!$E$35</f>
        <v>2.23</v>
      </c>
      <c r="H41" s="95" t="s">
        <v>1</v>
      </c>
      <c r="I41" s="100">
        <f>VLOOKUP(F41,std_est,10,FALSE)</f>
        <v>4</v>
      </c>
      <c r="J41" s="100">
        <f t="shared" si="10"/>
        <v>4</v>
      </c>
      <c r="K41" s="316">
        <f>E16*'Inputs - network configuration'!F35</f>
        <v>57.958601361851791</v>
      </c>
      <c r="L41" s="176">
        <f>K41/J41</f>
        <v>14.489650340462948</v>
      </c>
      <c r="M41" s="325">
        <f t="shared" si="11"/>
        <v>32.311920259232373</v>
      </c>
      <c r="N41" s="312" t="s">
        <v>1</v>
      </c>
      <c r="O41" s="144">
        <f t="shared" si="1"/>
        <v>6623831.7016763417</v>
      </c>
      <c r="P41" s="828">
        <f t="shared" si="2"/>
        <v>60</v>
      </c>
      <c r="Q41" s="815" t="str">
        <f t="shared" si="8"/>
        <v/>
      </c>
      <c r="R41" s="816" t="str">
        <f t="shared" si="8"/>
        <v/>
      </c>
      <c r="S41" s="816" t="str">
        <f t="shared" si="8"/>
        <v/>
      </c>
      <c r="T41" s="816" t="str">
        <f t="shared" si="8"/>
        <v/>
      </c>
      <c r="U41" s="816" t="str">
        <f t="shared" si="8"/>
        <v/>
      </c>
      <c r="V41" s="816">
        <f t="shared" si="8"/>
        <v>60</v>
      </c>
      <c r="W41" s="816" t="str">
        <f t="shared" si="8"/>
        <v/>
      </c>
      <c r="X41" s="877" t="str">
        <f t="shared" si="8"/>
        <v/>
      </c>
      <c r="Y41" s="7" t="s">
        <v>0</v>
      </c>
      <c r="Z41" s="7" t="str">
        <f t="shared" si="4"/>
        <v>LV OH Rural</v>
      </c>
      <c r="AA41" s="897">
        <f>'Standard estimates'!$C$27</f>
        <v>21</v>
      </c>
      <c r="AB41" s="140">
        <f>'Inputs - network configuration'!Z35</f>
        <v>0.7</v>
      </c>
      <c r="AC41" s="95" t="s">
        <v>1</v>
      </c>
      <c r="AD41" s="92"/>
      <c r="AE41" s="93"/>
      <c r="AF41" s="523"/>
      <c r="AG41" s="517"/>
      <c r="AH41" s="322">
        <f>AB41*AG40</f>
        <v>0.70418377822621148</v>
      </c>
      <c r="AI41" s="527" t="s">
        <v>1</v>
      </c>
      <c r="AJ41" s="144">
        <f t="shared" si="5"/>
        <v>44578.91746194788</v>
      </c>
      <c r="AK41" s="828">
        <f t="shared" si="6"/>
        <v>50</v>
      </c>
      <c r="AL41" s="815" t="str">
        <f t="shared" si="9"/>
        <v/>
      </c>
      <c r="AM41" s="816" t="str">
        <f t="shared" si="9"/>
        <v/>
      </c>
      <c r="AN41" s="816" t="str">
        <f t="shared" si="9"/>
        <v/>
      </c>
      <c r="AO41" s="816" t="str">
        <f t="shared" si="9"/>
        <v/>
      </c>
      <c r="AP41" s="816" t="str">
        <f t="shared" si="9"/>
        <v/>
      </c>
      <c r="AQ41" s="816" t="str">
        <f t="shared" si="9"/>
        <v/>
      </c>
      <c r="AR41" s="816" t="str">
        <f t="shared" si="9"/>
        <v/>
      </c>
      <c r="AS41" s="817">
        <f t="shared" si="9"/>
        <v>50</v>
      </c>
      <c r="AT41" s="146" t="s">
        <v>83</v>
      </c>
      <c r="AU41" s="7" t="str">
        <f t="shared" si="15"/>
        <v>HV UG Feeder 240mm2</v>
      </c>
      <c r="AV41" s="150">
        <f>'Standard estimates'!$C$22</f>
        <v>16</v>
      </c>
      <c r="AW41" s="140">
        <f>'Inputs - network configuration'!AU35</f>
        <v>0.71599999999999997</v>
      </c>
      <c r="AX41" s="95" t="s">
        <v>1</v>
      </c>
      <c r="AY41" s="100">
        <f>VLOOKUP(AV41,std_est,10,FALSE)</f>
        <v>4</v>
      </c>
      <c r="AZ41" s="100">
        <f t="shared" si="16"/>
        <v>4</v>
      </c>
      <c r="BA41" s="316">
        <f>AU16*'Inputs - network configuration'!AV35</f>
        <v>1.4662430253701886</v>
      </c>
      <c r="BB41" s="176">
        <f t="shared" si="17"/>
        <v>0.36656075634254714</v>
      </c>
      <c r="BC41" s="325">
        <f t="shared" si="18"/>
        <v>0.26245750154126374</v>
      </c>
      <c r="BD41" s="312" t="s">
        <v>1</v>
      </c>
      <c r="BE41" s="98">
        <f>VLOOKUP(AV41,std_est,7,FALSE)*BC41</f>
        <v>53802.878476560421</v>
      </c>
      <c r="BF41" s="828">
        <f>VLOOKUP(AV41,std_est,13,FALSE)</f>
        <v>60</v>
      </c>
      <c r="BG41" s="838" t="str">
        <f t="shared" si="19"/>
        <v/>
      </c>
      <c r="BH41" s="839" t="str">
        <f t="shared" si="19"/>
        <v/>
      </c>
      <c r="BI41" s="839" t="str">
        <f t="shared" si="19"/>
        <v/>
      </c>
      <c r="BJ41" s="839" t="str">
        <f t="shared" si="19"/>
        <v/>
      </c>
      <c r="BK41" s="839" t="str">
        <f t="shared" si="19"/>
        <v/>
      </c>
      <c r="BL41" s="816">
        <f t="shared" si="20"/>
        <v>60</v>
      </c>
      <c r="BM41" s="816" t="str">
        <f t="shared" si="20"/>
        <v/>
      </c>
      <c r="BN41" s="817" t="str">
        <f t="shared" si="20"/>
        <v/>
      </c>
    </row>
    <row r="42" spans="2:66" ht="15" customHeight="1" x14ac:dyDescent="0.25">
      <c r="B42" s="305">
        <f>SUM(O42:O45)/L42/1000000</f>
        <v>0.19876178788319931</v>
      </c>
      <c r="C42" s="41" t="str">
        <f>'Standard estimates'!D14</f>
        <v>HV/LV PTT</v>
      </c>
      <c r="D42" s="861" t="s">
        <v>84</v>
      </c>
      <c r="E42" s="861" t="str">
        <f t="shared" si="0"/>
        <v>Pole Transformer 315kVA</v>
      </c>
      <c r="F42" s="149">
        <f>'Standard estimates'!$C$14</f>
        <v>8</v>
      </c>
      <c r="G42" s="135">
        <v>1</v>
      </c>
      <c r="H42" s="868" t="s">
        <v>5</v>
      </c>
      <c r="I42" s="869">
        <f>VLOOKUP(F42,std_est,10,FALSE)*G42</f>
        <v>0.189</v>
      </c>
      <c r="J42" s="870">
        <f t="shared" si="10"/>
        <v>0.189</v>
      </c>
      <c r="K42" s="871">
        <f>F16+G16</f>
        <v>179.24451145272943</v>
      </c>
      <c r="L42" s="880">
        <f>ROUNDUP(K42/J42,0)</f>
        <v>949</v>
      </c>
      <c r="M42" s="881">
        <f t="shared" si="11"/>
        <v>949</v>
      </c>
      <c r="N42" s="311" t="s">
        <v>63</v>
      </c>
      <c r="O42" s="875">
        <f t="shared" si="1"/>
        <v>32069228.512866136</v>
      </c>
      <c r="P42" s="828">
        <f t="shared" si="2"/>
        <v>45</v>
      </c>
      <c r="Q42" s="815" t="str">
        <f t="shared" ref="Q42:X47" si="21">IF($D42=Q$21,$P42,"")</f>
        <v/>
      </c>
      <c r="R42" s="816" t="str">
        <f t="shared" si="21"/>
        <v/>
      </c>
      <c r="S42" s="816" t="str">
        <f t="shared" si="21"/>
        <v/>
      </c>
      <c r="T42" s="816" t="str">
        <f t="shared" si="21"/>
        <v/>
      </c>
      <c r="U42" s="816" t="str">
        <f t="shared" si="21"/>
        <v/>
      </c>
      <c r="V42" s="816" t="str">
        <f t="shared" si="21"/>
        <v/>
      </c>
      <c r="W42" s="816">
        <f t="shared" si="21"/>
        <v>45</v>
      </c>
      <c r="X42" s="877" t="str">
        <f t="shared" si="21"/>
        <v/>
      </c>
      <c r="Y42" s="861" t="s">
        <v>84</v>
      </c>
      <c r="Z42" s="86" t="str">
        <f t="shared" si="4"/>
        <v>Pole Transformer 25-100kVA</v>
      </c>
      <c r="AA42" s="149">
        <f>'Standard estimates'!$C$15</f>
        <v>9</v>
      </c>
      <c r="AB42" s="135">
        <v>1</v>
      </c>
      <c r="AC42" s="87" t="s">
        <v>5</v>
      </c>
      <c r="AD42" s="88">
        <f>VLOOKUP(AA42,std_est,10,FALSE)*AB42</f>
        <v>0.03</v>
      </c>
      <c r="AE42" s="89">
        <f t="shared" si="12"/>
        <v>0.03</v>
      </c>
      <c r="AF42" s="314">
        <f>AA16+AB16</f>
        <v>23.367533711118522</v>
      </c>
      <c r="AG42" s="335">
        <f t="shared" si="13"/>
        <v>778.91779037061747</v>
      </c>
      <c r="AH42" s="323">
        <f t="shared" si="14"/>
        <v>778.91779037061747</v>
      </c>
      <c r="AI42" s="311" t="s">
        <v>63</v>
      </c>
      <c r="AJ42" s="142">
        <f t="shared" si="5"/>
        <v>16356354.546704978</v>
      </c>
      <c r="AK42" s="828">
        <f t="shared" si="6"/>
        <v>45</v>
      </c>
      <c r="AL42" s="815" t="str">
        <f t="shared" ref="AL42:AS47" si="22">IF($Y42=AL$21,$AK42,"")</f>
        <v/>
      </c>
      <c r="AM42" s="816" t="str">
        <f t="shared" si="22"/>
        <v/>
      </c>
      <c r="AN42" s="816" t="str">
        <f t="shared" si="22"/>
        <v/>
      </c>
      <c r="AO42" s="816" t="str">
        <f t="shared" si="22"/>
        <v/>
      </c>
      <c r="AP42" s="816" t="str">
        <f t="shared" si="22"/>
        <v/>
      </c>
      <c r="AQ42" s="816" t="str">
        <f t="shared" si="22"/>
        <v/>
      </c>
      <c r="AR42" s="816">
        <f t="shared" si="22"/>
        <v>45</v>
      </c>
      <c r="AS42" s="817" t="str">
        <f t="shared" si="22"/>
        <v/>
      </c>
      <c r="AT42" s="147" t="s">
        <v>84</v>
      </c>
      <c r="AU42" s="86" t="str">
        <f t="shared" si="15"/>
        <v>Pole Transformer 25-100kVA</v>
      </c>
      <c r="AV42" s="149">
        <f>'Standard estimates'!$C$15</f>
        <v>9</v>
      </c>
      <c r="AW42" s="135">
        <v>1</v>
      </c>
      <c r="AX42" s="87" t="s">
        <v>5</v>
      </c>
      <c r="AY42" s="88">
        <f>VLOOKUP(AV42,std_est,10,FALSE)*AW42</f>
        <v>0.03</v>
      </c>
      <c r="AZ42" s="89">
        <f t="shared" ref="AZ42:AZ45" si="23">AY42</f>
        <v>0.03</v>
      </c>
      <c r="BA42" s="314">
        <f>AV16+AW16</f>
        <v>3.3868362569100139</v>
      </c>
      <c r="BB42" s="319">
        <f>ROUNDUP(BA42/AZ42,0)</f>
        <v>113</v>
      </c>
      <c r="BC42" s="323">
        <f t="shared" ref="BC42:BC45" si="24">AW42*BB42</f>
        <v>113</v>
      </c>
      <c r="BD42" s="311" t="s">
        <v>63</v>
      </c>
      <c r="BE42" s="90">
        <f>VLOOKUP(AV42,std_est,7,FALSE)*BC42</f>
        <v>2372866.6704328791</v>
      </c>
      <c r="BF42" s="828">
        <f>VLOOKUP(AV42,std_est,13,FALSE)</f>
        <v>45</v>
      </c>
      <c r="BG42" s="838" t="str">
        <f t="shared" si="19"/>
        <v/>
      </c>
      <c r="BH42" s="839" t="str">
        <f t="shared" si="19"/>
        <v/>
      </c>
      <c r="BI42" s="839" t="str">
        <f t="shared" si="19"/>
        <v/>
      </c>
      <c r="BJ42" s="839" t="str">
        <f t="shared" si="19"/>
        <v/>
      </c>
      <c r="BK42" s="839" t="str">
        <f t="shared" si="19"/>
        <v/>
      </c>
      <c r="BL42" s="816" t="str">
        <f t="shared" si="20"/>
        <v/>
      </c>
      <c r="BM42" s="816">
        <f t="shared" si="20"/>
        <v>45</v>
      </c>
      <c r="BN42" s="817" t="str">
        <f t="shared" si="20"/>
        <v/>
      </c>
    </row>
    <row r="43" spans="2:66" ht="15" customHeight="1" x14ac:dyDescent="0.25">
      <c r="B43" s="305"/>
      <c r="C43" s="12"/>
      <c r="D43" s="16" t="s">
        <v>83</v>
      </c>
      <c r="E43" s="16" t="str">
        <f t="shared" si="0"/>
        <v>HV OH Feeder (PLUTO or MOON)</v>
      </c>
      <c r="F43" s="149">
        <f>'Standard estimates'!$C$21</f>
        <v>15</v>
      </c>
      <c r="G43" s="309">
        <f>'Inputs - network configuration'!$D$36</f>
        <v>89.46</v>
      </c>
      <c r="H43" s="91" t="s">
        <v>1</v>
      </c>
      <c r="I43" s="99">
        <f>VLOOKUP(F43,std_est,10,FALSE)</f>
        <v>5</v>
      </c>
      <c r="J43" s="99">
        <f t="shared" si="10"/>
        <v>5</v>
      </c>
      <c r="K43" s="315">
        <f>F16*'Inputs - network configuration'!F35</f>
        <v>60.6336137323988</v>
      </c>
      <c r="L43" s="175">
        <f>K43/J43</f>
        <v>12.126722746479761</v>
      </c>
      <c r="M43" s="324">
        <f t="shared" si="11"/>
        <v>1084.8566169000794</v>
      </c>
      <c r="N43" s="311" t="s">
        <v>1</v>
      </c>
      <c r="O43" s="143">
        <f t="shared" si="1"/>
        <v>144426825.72493815</v>
      </c>
      <c r="P43" s="828">
        <f t="shared" si="2"/>
        <v>50</v>
      </c>
      <c r="Q43" s="815" t="str">
        <f t="shared" si="21"/>
        <v/>
      </c>
      <c r="R43" s="816" t="str">
        <f t="shared" si="21"/>
        <v/>
      </c>
      <c r="S43" s="816" t="str">
        <f t="shared" si="21"/>
        <v/>
      </c>
      <c r="T43" s="816" t="str">
        <f t="shared" si="21"/>
        <v/>
      </c>
      <c r="U43" s="816" t="str">
        <f t="shared" si="21"/>
        <v/>
      </c>
      <c r="V43" s="816">
        <f t="shared" si="21"/>
        <v>50</v>
      </c>
      <c r="W43" s="816" t="str">
        <f t="shared" si="21"/>
        <v/>
      </c>
      <c r="X43" s="877" t="str">
        <f t="shared" si="21"/>
        <v/>
      </c>
      <c r="Y43" s="16" t="s">
        <v>83</v>
      </c>
      <c r="Z43" s="16" t="str">
        <f t="shared" si="4"/>
        <v>HV OH Rural</v>
      </c>
      <c r="AA43" s="896">
        <f>'Standard estimates'!$C$26</f>
        <v>20</v>
      </c>
      <c r="AB43" s="309">
        <f>'Inputs - network configuration'!Y36</f>
        <v>34.003999999999998</v>
      </c>
      <c r="AC43" s="91" t="s">
        <v>1</v>
      </c>
      <c r="AD43" s="99">
        <f>VLOOKUP(AA43,std_est,10,FALSE)</f>
        <v>5</v>
      </c>
      <c r="AE43" s="99">
        <f t="shared" si="12"/>
        <v>5</v>
      </c>
      <c r="AF43" s="315">
        <f>AA16</f>
        <v>11.372259358070821</v>
      </c>
      <c r="AG43" s="175">
        <f t="shared" si="13"/>
        <v>2.274451871614164</v>
      </c>
      <c r="AH43" s="324">
        <f t="shared" si="14"/>
        <v>77.340461442368024</v>
      </c>
      <c r="AI43" s="311" t="s">
        <v>1</v>
      </c>
      <c r="AJ43" s="143">
        <f t="shared" si="5"/>
        <v>4500981.8240706297</v>
      </c>
      <c r="AK43" s="828">
        <f t="shared" si="6"/>
        <v>50</v>
      </c>
      <c r="AL43" s="815" t="str">
        <f t="shared" si="22"/>
        <v/>
      </c>
      <c r="AM43" s="816" t="str">
        <f t="shared" si="22"/>
        <v/>
      </c>
      <c r="AN43" s="816" t="str">
        <f t="shared" si="22"/>
        <v/>
      </c>
      <c r="AO43" s="816" t="str">
        <f t="shared" si="22"/>
        <v/>
      </c>
      <c r="AP43" s="816" t="str">
        <f t="shared" si="22"/>
        <v/>
      </c>
      <c r="AQ43" s="816">
        <f t="shared" si="22"/>
        <v>50</v>
      </c>
      <c r="AR43" s="816" t="str">
        <f t="shared" si="22"/>
        <v/>
      </c>
      <c r="AS43" s="817" t="str">
        <f t="shared" si="22"/>
        <v/>
      </c>
      <c r="AT43" s="131" t="s">
        <v>83</v>
      </c>
      <c r="AU43" s="16" t="str">
        <f t="shared" si="15"/>
        <v>HV OH Feeder (PLUTO or MOON)</v>
      </c>
      <c r="AV43" s="149">
        <f>'Standard estimates'!$C$21</f>
        <v>15</v>
      </c>
      <c r="AW43" s="309">
        <f>'Inputs - network configuration'!AT36</f>
        <v>165.54</v>
      </c>
      <c r="AX43" s="91" t="s">
        <v>1</v>
      </c>
      <c r="AY43" s="99">
        <f>VLOOKUP(AV43,std_est,10,FALSE)</f>
        <v>5</v>
      </c>
      <c r="AZ43" s="99">
        <f t="shared" si="23"/>
        <v>5</v>
      </c>
      <c r="BA43" s="315">
        <f>AV16</f>
        <v>2.0586792602977941</v>
      </c>
      <c r="BB43" s="175">
        <f>BA43/AZ43</f>
        <v>0.41173585205955882</v>
      </c>
      <c r="BC43" s="324">
        <f t="shared" si="24"/>
        <v>68.15875294993937</v>
      </c>
      <c r="BD43" s="311" t="s">
        <v>1</v>
      </c>
      <c r="BE43" s="94">
        <f>VLOOKUP(AV43,std_est,7,FALSE)*BC43</f>
        <v>9073966.2556131911</v>
      </c>
      <c r="BF43" s="828">
        <f>VLOOKUP(AV43,std_est,13,FALSE)</f>
        <v>50</v>
      </c>
      <c r="BG43" s="838" t="str">
        <f t="shared" si="19"/>
        <v/>
      </c>
      <c r="BH43" s="839" t="str">
        <f t="shared" si="19"/>
        <v/>
      </c>
      <c r="BI43" s="839" t="str">
        <f t="shared" si="19"/>
        <v/>
      </c>
      <c r="BJ43" s="839" t="str">
        <f t="shared" si="19"/>
        <v/>
      </c>
      <c r="BK43" s="839" t="str">
        <f t="shared" si="19"/>
        <v/>
      </c>
      <c r="BL43" s="816">
        <f t="shared" si="20"/>
        <v>50</v>
      </c>
      <c r="BM43" s="816" t="str">
        <f t="shared" si="20"/>
        <v/>
      </c>
      <c r="BN43" s="817" t="str">
        <f t="shared" si="20"/>
        <v/>
      </c>
    </row>
    <row r="44" spans="2:66" ht="15" customHeight="1" x14ac:dyDescent="0.25">
      <c r="B44" s="305"/>
      <c r="C44" s="12"/>
      <c r="D44" s="83" t="s">
        <v>83</v>
      </c>
      <c r="E44" s="83"/>
      <c r="F44" s="149">
        <v>15</v>
      </c>
      <c r="G44" s="243"/>
      <c r="H44" s="244"/>
      <c r="I44" s="245"/>
      <c r="J44" s="245"/>
      <c r="K44" s="317"/>
      <c r="L44" s="212"/>
      <c r="M44" s="320"/>
      <c r="N44" s="313"/>
      <c r="O44" s="282"/>
      <c r="P44" s="828">
        <f t="shared" si="2"/>
        <v>50</v>
      </c>
      <c r="Q44" s="815" t="str">
        <f t="shared" si="21"/>
        <v/>
      </c>
      <c r="R44" s="816" t="str">
        <f t="shared" si="21"/>
        <v/>
      </c>
      <c r="S44" s="816" t="str">
        <f t="shared" si="21"/>
        <v/>
      </c>
      <c r="T44" s="816" t="str">
        <f t="shared" si="21"/>
        <v/>
      </c>
      <c r="U44" s="816" t="str">
        <f t="shared" si="21"/>
        <v/>
      </c>
      <c r="V44" s="816">
        <f t="shared" si="21"/>
        <v>50</v>
      </c>
      <c r="W44" s="816" t="str">
        <f t="shared" si="21"/>
        <v/>
      </c>
      <c r="X44" s="877" t="str">
        <f t="shared" si="21"/>
        <v/>
      </c>
      <c r="Y44" s="16" t="s">
        <v>83</v>
      </c>
      <c r="Z44" s="16" t="str">
        <f t="shared" ref="Z44" si="25">VLOOKUP(AA44,std_est,3,FALSE)</f>
        <v>HV OH Rural</v>
      </c>
      <c r="AA44" s="896">
        <f>'Standard estimates'!$C$26</f>
        <v>20</v>
      </c>
      <c r="AB44" s="309">
        <f>'Inputs - network configuration'!Y37</f>
        <v>852.00199999999995</v>
      </c>
      <c r="AC44" s="91" t="s">
        <v>1</v>
      </c>
      <c r="AD44" s="99">
        <f>VLOOKUP(AA44,std_est,10,FALSE)</f>
        <v>5</v>
      </c>
      <c r="AE44" s="99">
        <f t="shared" ref="AE44" si="26">AD44</f>
        <v>5</v>
      </c>
      <c r="AF44" s="315">
        <f>AB16</f>
        <v>11.995274353047702</v>
      </c>
      <c r="AG44" s="175">
        <f t="shared" si="13"/>
        <v>2.3990548706095405</v>
      </c>
      <c r="AH44" s="324">
        <f t="shared" ref="AH44" si="27">AB44*AG44</f>
        <v>2043.9995478690696</v>
      </c>
      <c r="AI44" s="311" t="s">
        <v>1</v>
      </c>
      <c r="AJ44" s="143">
        <f t="shared" si="5"/>
        <v>118954614.9814849</v>
      </c>
      <c r="AK44" s="828">
        <f t="shared" si="6"/>
        <v>50</v>
      </c>
      <c r="AL44" s="815" t="str">
        <f t="shared" si="22"/>
        <v/>
      </c>
      <c r="AM44" s="816" t="str">
        <f t="shared" si="22"/>
        <v/>
      </c>
      <c r="AN44" s="816" t="str">
        <f t="shared" si="22"/>
        <v/>
      </c>
      <c r="AO44" s="816" t="str">
        <f t="shared" si="22"/>
        <v/>
      </c>
      <c r="AP44" s="816" t="str">
        <f t="shared" si="22"/>
        <v/>
      </c>
      <c r="AQ44" s="816">
        <f t="shared" si="22"/>
        <v>50</v>
      </c>
      <c r="AR44" s="816" t="str">
        <f t="shared" si="22"/>
        <v/>
      </c>
      <c r="AS44" s="817" t="str">
        <f t="shared" si="22"/>
        <v/>
      </c>
      <c r="AT44" s="233"/>
      <c r="AU44" s="83"/>
      <c r="AV44" s="242"/>
      <c r="AW44" s="243"/>
      <c r="AX44" s="244"/>
      <c r="AY44" s="245"/>
      <c r="AZ44" s="245"/>
      <c r="BA44" s="245"/>
      <c r="BB44" s="281"/>
      <c r="BC44" s="247"/>
      <c r="BD44" s="246"/>
      <c r="BE44" s="248"/>
      <c r="BF44" s="828"/>
      <c r="BG44" s="838" t="str">
        <f t="shared" si="19"/>
        <v/>
      </c>
      <c r="BH44" s="839" t="str">
        <f t="shared" si="19"/>
        <v/>
      </c>
      <c r="BI44" s="839" t="str">
        <f t="shared" si="19"/>
        <v/>
      </c>
      <c r="BJ44" s="839" t="str">
        <f t="shared" si="19"/>
        <v/>
      </c>
      <c r="BK44" s="839" t="str">
        <f t="shared" si="19"/>
        <v/>
      </c>
      <c r="BL44" s="816" t="str">
        <f t="shared" si="20"/>
        <v/>
      </c>
      <c r="BM44" s="816" t="str">
        <f t="shared" si="20"/>
        <v/>
      </c>
      <c r="BN44" s="817" t="str">
        <f t="shared" si="20"/>
        <v/>
      </c>
    </row>
    <row r="45" spans="2:66" ht="15" customHeight="1" x14ac:dyDescent="0.25">
      <c r="B45" s="305"/>
      <c r="C45" s="13"/>
      <c r="D45" s="7" t="s">
        <v>83</v>
      </c>
      <c r="E45" s="7" t="str">
        <f t="shared" si="0"/>
        <v>HV UG Feeder 240mm2</v>
      </c>
      <c r="F45" s="150">
        <f>'Standard estimates'!$C$22</f>
        <v>16</v>
      </c>
      <c r="G45" s="140">
        <f>'Inputs - network configuration'!E36</f>
        <v>2.46</v>
      </c>
      <c r="H45" s="95" t="s">
        <v>1</v>
      </c>
      <c r="I45" s="100">
        <f>VLOOKUP(F45,std_est,10,FALSE)</f>
        <v>4</v>
      </c>
      <c r="J45" s="100">
        <f t="shared" si="10"/>
        <v>4</v>
      </c>
      <c r="K45" s="316">
        <f>F16*'Inputs - network configuration'!G35</f>
        <v>96.205333788739424</v>
      </c>
      <c r="L45" s="176">
        <f>K45/J45</f>
        <v>24.051333447184856</v>
      </c>
      <c r="M45" s="325">
        <f t="shared" si="11"/>
        <v>59.166280280074744</v>
      </c>
      <c r="N45" s="312" t="s">
        <v>1</v>
      </c>
      <c r="O45" s="144">
        <f>VLOOKUP(F45,std_est,7,FALSE)*M45</f>
        <v>12128882.463351849</v>
      </c>
      <c r="P45" s="828">
        <f t="shared" si="2"/>
        <v>60</v>
      </c>
      <c r="Q45" s="815" t="str">
        <f t="shared" si="21"/>
        <v/>
      </c>
      <c r="R45" s="816" t="str">
        <f t="shared" si="21"/>
        <v/>
      </c>
      <c r="S45" s="816" t="str">
        <f t="shared" si="21"/>
        <v/>
      </c>
      <c r="T45" s="816" t="str">
        <f t="shared" si="21"/>
        <v/>
      </c>
      <c r="U45" s="816" t="str">
        <f t="shared" si="21"/>
        <v/>
      </c>
      <c r="V45" s="816">
        <f t="shared" si="21"/>
        <v>60</v>
      </c>
      <c r="W45" s="816" t="str">
        <f t="shared" si="21"/>
        <v/>
      </c>
      <c r="X45" s="877" t="str">
        <f t="shared" si="21"/>
        <v/>
      </c>
      <c r="Y45" s="7" t="s">
        <v>83</v>
      </c>
      <c r="Z45" s="7" t="str">
        <f t="shared" si="4"/>
        <v>LV OH Rural</v>
      </c>
      <c r="AA45" s="897">
        <f>'Standard estimates'!$C$27</f>
        <v>21</v>
      </c>
      <c r="AB45" s="140">
        <f>'Inputs - network configuration'!Z36</f>
        <v>0.71699999999999997</v>
      </c>
      <c r="AC45" s="95" t="s">
        <v>1</v>
      </c>
      <c r="AD45" s="92"/>
      <c r="AE45" s="93"/>
      <c r="AF45" s="523"/>
      <c r="AG45" s="517"/>
      <c r="AH45" s="322">
        <f>AB45*AG44</f>
        <v>1.7201223422270404</v>
      </c>
      <c r="AI45" s="526" t="s">
        <v>1</v>
      </c>
      <c r="AJ45" s="144">
        <f t="shared" si="5"/>
        <v>108893.7210563784</v>
      </c>
      <c r="AK45" s="828">
        <f t="shared" si="6"/>
        <v>50</v>
      </c>
      <c r="AL45" s="815" t="str">
        <f t="shared" si="22"/>
        <v/>
      </c>
      <c r="AM45" s="816" t="str">
        <f t="shared" si="22"/>
        <v/>
      </c>
      <c r="AN45" s="816" t="str">
        <f t="shared" si="22"/>
        <v/>
      </c>
      <c r="AO45" s="816" t="str">
        <f t="shared" si="22"/>
        <v/>
      </c>
      <c r="AP45" s="816" t="str">
        <f t="shared" si="22"/>
        <v/>
      </c>
      <c r="AQ45" s="816">
        <f t="shared" si="22"/>
        <v>50</v>
      </c>
      <c r="AR45" s="816" t="str">
        <f t="shared" si="22"/>
        <v/>
      </c>
      <c r="AS45" s="817" t="str">
        <f t="shared" si="22"/>
        <v/>
      </c>
      <c r="AT45" s="146" t="s">
        <v>83</v>
      </c>
      <c r="AU45" s="7" t="str">
        <f t="shared" si="15"/>
        <v>HV UG Feeder 240mm2</v>
      </c>
      <c r="AV45" s="150">
        <f>'Standard estimates'!$C$22</f>
        <v>16</v>
      </c>
      <c r="AW45" s="140">
        <f>'Inputs - network configuration'!AU36</f>
        <v>0.60199999999999998</v>
      </c>
      <c r="AX45" s="95" t="s">
        <v>1</v>
      </c>
      <c r="AY45" s="100">
        <f>VLOOKUP(AV45,std_est,10,FALSE)</f>
        <v>4</v>
      </c>
      <c r="AZ45" s="100">
        <f t="shared" si="23"/>
        <v>4</v>
      </c>
      <c r="BA45" s="316">
        <f>AV16*'Inputs - network configuration'!AW35</f>
        <v>1.2627981029661726</v>
      </c>
      <c r="BB45" s="176">
        <f>BA45/AZ45</f>
        <v>0.31569952574154314</v>
      </c>
      <c r="BC45" s="325">
        <f t="shared" si="24"/>
        <v>0.19005111449640896</v>
      </c>
      <c r="BD45" s="312" t="s">
        <v>1</v>
      </c>
      <c r="BE45" s="98">
        <f>VLOOKUP(AV45,std_est,7,FALSE)*BC45</f>
        <v>38959.819999572523</v>
      </c>
      <c r="BF45" s="828">
        <f>VLOOKUP(AV45,std_est,13,FALSE)</f>
        <v>60</v>
      </c>
      <c r="BG45" s="838" t="str">
        <f t="shared" si="19"/>
        <v/>
      </c>
      <c r="BH45" s="839" t="str">
        <f t="shared" si="19"/>
        <v/>
      </c>
      <c r="BI45" s="839" t="str">
        <f t="shared" si="19"/>
        <v/>
      </c>
      <c r="BJ45" s="839" t="str">
        <f t="shared" si="19"/>
        <v/>
      </c>
      <c r="BK45" s="839" t="str">
        <f t="shared" si="19"/>
        <v/>
      </c>
      <c r="BL45" s="816">
        <f t="shared" si="20"/>
        <v>60</v>
      </c>
      <c r="BM45" s="816" t="str">
        <f t="shared" si="20"/>
        <v/>
      </c>
      <c r="BN45" s="817" t="str">
        <f t="shared" si="20"/>
        <v/>
      </c>
    </row>
    <row r="46" spans="2:66" ht="15" customHeight="1" x14ac:dyDescent="0.25">
      <c r="B46" s="305"/>
      <c r="C46" s="41" t="s">
        <v>0</v>
      </c>
      <c r="D46" s="861" t="s">
        <v>0</v>
      </c>
      <c r="E46" s="861" t="str">
        <f t="shared" si="0"/>
        <v>LV OH on timber poles</v>
      </c>
      <c r="F46" s="867">
        <f>'Standard estimates'!$C$23</f>
        <v>17</v>
      </c>
      <c r="G46" s="882">
        <f>'Inputs - network configuration'!D38</f>
        <v>3347.5501267545551</v>
      </c>
      <c r="H46" s="868" t="s">
        <v>1</v>
      </c>
      <c r="I46" s="883"/>
      <c r="J46" s="863"/>
      <c r="K46" s="863"/>
      <c r="L46" s="884">
        <v>1</v>
      </c>
      <c r="M46" s="881">
        <f>G46</f>
        <v>3347.5501267545551</v>
      </c>
      <c r="N46" s="874" t="s">
        <v>1</v>
      </c>
      <c r="O46" s="875">
        <f>VLOOKUP(F46,std_est,7,FALSE)*M46</f>
        <v>353198898.2957086</v>
      </c>
      <c r="P46" s="828">
        <f t="shared" si="2"/>
        <v>50</v>
      </c>
      <c r="Q46" s="815" t="str">
        <f t="shared" si="21"/>
        <v/>
      </c>
      <c r="R46" s="816" t="str">
        <f t="shared" si="21"/>
        <v/>
      </c>
      <c r="S46" s="816" t="str">
        <f t="shared" si="21"/>
        <v/>
      </c>
      <c r="T46" s="816" t="str">
        <f t="shared" si="21"/>
        <v/>
      </c>
      <c r="U46" s="816" t="str">
        <f t="shared" si="21"/>
        <v/>
      </c>
      <c r="V46" s="816" t="str">
        <f t="shared" si="21"/>
        <v/>
      </c>
      <c r="W46" s="816" t="str">
        <f t="shared" si="21"/>
        <v/>
      </c>
      <c r="X46" s="877">
        <f t="shared" si="21"/>
        <v>50</v>
      </c>
      <c r="Y46" s="861" t="s">
        <v>0</v>
      </c>
      <c r="Z46" s="86" t="str">
        <f t="shared" si="4"/>
        <v>LV OH Rural</v>
      </c>
      <c r="AA46" s="897">
        <f>'Standard estimates'!$C$27</f>
        <v>21</v>
      </c>
      <c r="AB46" s="326">
        <f>'Inputs - network configuration'!Y38</f>
        <v>307.04719017063252</v>
      </c>
      <c r="AC46" s="87" t="s">
        <v>1</v>
      </c>
      <c r="AD46" s="44"/>
      <c r="AE46" s="45"/>
      <c r="AF46" s="45"/>
      <c r="AG46" s="528">
        <v>1</v>
      </c>
      <c r="AH46" s="323">
        <f>AB46</f>
        <v>307.04719017063252</v>
      </c>
      <c r="AI46" s="310" t="s">
        <v>1</v>
      </c>
      <c r="AJ46" s="142">
        <f t="shared" si="5"/>
        <v>19437868.026466485</v>
      </c>
      <c r="AK46" s="828">
        <f t="shared" si="6"/>
        <v>50</v>
      </c>
      <c r="AL46" s="815" t="str">
        <f t="shared" si="22"/>
        <v/>
      </c>
      <c r="AM46" s="816" t="str">
        <f t="shared" si="22"/>
        <v/>
      </c>
      <c r="AN46" s="816" t="str">
        <f t="shared" si="22"/>
        <v/>
      </c>
      <c r="AO46" s="816" t="str">
        <f t="shared" si="22"/>
        <v/>
      </c>
      <c r="AP46" s="816" t="str">
        <f t="shared" si="22"/>
        <v/>
      </c>
      <c r="AQ46" s="816" t="str">
        <f t="shared" si="22"/>
        <v/>
      </c>
      <c r="AR46" s="816" t="str">
        <f t="shared" si="22"/>
        <v/>
      </c>
      <c r="AS46" s="817">
        <f t="shared" si="22"/>
        <v>50</v>
      </c>
      <c r="AT46" s="147" t="s">
        <v>0</v>
      </c>
      <c r="AU46" s="86" t="str">
        <f t="shared" si="15"/>
        <v>LV OH on timber poles</v>
      </c>
      <c r="AV46" s="148">
        <f>'Standard estimates'!$C$23</f>
        <v>17</v>
      </c>
      <c r="AW46" s="326">
        <f>'Inputs - network configuration'!AT38</f>
        <v>53.268007277837576</v>
      </c>
      <c r="AX46" s="87" t="s">
        <v>1</v>
      </c>
      <c r="AY46" s="44"/>
      <c r="AZ46" s="45"/>
      <c r="BA46" s="45"/>
      <c r="BB46" s="528">
        <v>1</v>
      </c>
      <c r="BC46" s="323">
        <f>AW46</f>
        <v>53.268007277837576</v>
      </c>
      <c r="BD46" s="310" t="s">
        <v>1</v>
      </c>
      <c r="BE46" s="90">
        <f>VLOOKUP(AV46,std_est,7,FALSE)*BC46</f>
        <v>5620289.6962084807</v>
      </c>
      <c r="BF46" s="828">
        <f>VLOOKUP(AV46,std_est,13,FALSE)</f>
        <v>50</v>
      </c>
      <c r="BG46" s="838" t="str">
        <f t="shared" si="19"/>
        <v/>
      </c>
      <c r="BH46" s="839" t="str">
        <f t="shared" si="19"/>
        <v/>
      </c>
      <c r="BI46" s="839" t="str">
        <f t="shared" si="19"/>
        <v/>
      </c>
      <c r="BJ46" s="839" t="str">
        <f t="shared" si="19"/>
        <v/>
      </c>
      <c r="BK46" s="839" t="str">
        <f t="shared" si="19"/>
        <v/>
      </c>
      <c r="BL46" s="816" t="str">
        <f t="shared" si="20"/>
        <v/>
      </c>
      <c r="BM46" s="816" t="str">
        <f t="shared" si="20"/>
        <v/>
      </c>
      <c r="BN46" s="817">
        <f t="shared" si="20"/>
        <v>50</v>
      </c>
    </row>
    <row r="47" spans="2:66" ht="15" customHeight="1" x14ac:dyDescent="0.25">
      <c r="B47" s="305"/>
      <c r="C47" s="13"/>
      <c r="D47" s="7" t="s">
        <v>0</v>
      </c>
      <c r="E47" s="7" t="str">
        <f t="shared" si="0"/>
        <v>LV UG cable</v>
      </c>
      <c r="F47" s="150">
        <f>'Standard estimates'!$C$24</f>
        <v>18</v>
      </c>
      <c r="G47" s="327">
        <f>'Inputs - network configuration'!E38</f>
        <v>1434.6643400376665</v>
      </c>
      <c r="H47" s="95" t="s">
        <v>1</v>
      </c>
      <c r="I47" s="101"/>
      <c r="J47" s="85"/>
      <c r="K47" s="85"/>
      <c r="L47" s="529">
        <v>1</v>
      </c>
      <c r="M47" s="328">
        <f>G47</f>
        <v>1434.6643400376665</v>
      </c>
      <c r="N47" s="312" t="s">
        <v>1</v>
      </c>
      <c r="O47" s="144">
        <f>VLOOKUP(F47,std_est,7,FALSE)*M47</f>
        <v>176460731.40622109</v>
      </c>
      <c r="P47" s="829">
        <f t="shared" si="2"/>
        <v>60</v>
      </c>
      <c r="Q47" s="815" t="str">
        <f t="shared" si="21"/>
        <v/>
      </c>
      <c r="R47" s="816" t="str">
        <f t="shared" si="21"/>
        <v/>
      </c>
      <c r="S47" s="816" t="str">
        <f t="shared" si="21"/>
        <v/>
      </c>
      <c r="T47" s="816" t="str">
        <f t="shared" si="21"/>
        <v/>
      </c>
      <c r="U47" s="816" t="str">
        <f t="shared" si="21"/>
        <v/>
      </c>
      <c r="V47" s="816" t="str">
        <f t="shared" si="21"/>
        <v/>
      </c>
      <c r="W47" s="816" t="str">
        <f t="shared" si="21"/>
        <v/>
      </c>
      <c r="X47" s="877">
        <f t="shared" si="21"/>
        <v>60</v>
      </c>
      <c r="Y47" s="7" t="s">
        <v>0</v>
      </c>
      <c r="Z47" s="7" t="str">
        <f t="shared" si="4"/>
        <v>LV UG cable</v>
      </c>
      <c r="AA47" s="150">
        <f>'Standard estimates'!$C$24</f>
        <v>18</v>
      </c>
      <c r="AB47" s="327">
        <f>'Inputs - network configuration'!Z38</f>
        <v>131.59165293027107</v>
      </c>
      <c r="AC47" s="95" t="s">
        <v>1</v>
      </c>
      <c r="AD47" s="101"/>
      <c r="AE47" s="85"/>
      <c r="AF47" s="85"/>
      <c r="AG47" s="529">
        <v>1</v>
      </c>
      <c r="AH47" s="328">
        <f>AB47</f>
        <v>131.59165293027107</v>
      </c>
      <c r="AI47" s="312" t="s">
        <v>1</v>
      </c>
      <c r="AJ47" s="144">
        <f t="shared" si="5"/>
        <v>16185499.754193081</v>
      </c>
      <c r="AK47" s="829">
        <f t="shared" si="6"/>
        <v>60</v>
      </c>
      <c r="AL47" s="818" t="str">
        <f t="shared" si="22"/>
        <v/>
      </c>
      <c r="AM47" s="819" t="str">
        <f t="shared" si="22"/>
        <v/>
      </c>
      <c r="AN47" s="819" t="str">
        <f t="shared" si="22"/>
        <v/>
      </c>
      <c r="AO47" s="819" t="str">
        <f t="shared" si="22"/>
        <v/>
      </c>
      <c r="AP47" s="819" t="str">
        <f t="shared" si="22"/>
        <v/>
      </c>
      <c r="AQ47" s="819" t="str">
        <f t="shared" si="22"/>
        <v/>
      </c>
      <c r="AR47" s="819" t="str">
        <f t="shared" si="22"/>
        <v/>
      </c>
      <c r="AS47" s="820">
        <f t="shared" si="22"/>
        <v>60</v>
      </c>
      <c r="AT47" s="146" t="s">
        <v>0</v>
      </c>
      <c r="AU47" s="7" t="str">
        <f t="shared" si="15"/>
        <v>LV UG cable</v>
      </c>
      <c r="AV47" s="150">
        <f>'Standard estimates'!$C$24</f>
        <v>18</v>
      </c>
      <c r="AW47" s="327">
        <f>'Inputs - network configuration'!AU38</f>
        <v>22.8291459762161</v>
      </c>
      <c r="AX47" s="95" t="s">
        <v>1</v>
      </c>
      <c r="AY47" s="101"/>
      <c r="AZ47" s="85"/>
      <c r="BA47" s="85"/>
      <c r="BB47" s="529">
        <v>1</v>
      </c>
      <c r="BC47" s="328">
        <f>AW47</f>
        <v>22.8291459762161</v>
      </c>
      <c r="BD47" s="312" t="s">
        <v>1</v>
      </c>
      <c r="BE47" s="98">
        <f>VLOOKUP(AV47,std_est,7,FALSE)*BC47</f>
        <v>2807937.4972383552</v>
      </c>
      <c r="BF47" s="829">
        <f>VLOOKUP(AV47,std_est,13,FALSE)</f>
        <v>60</v>
      </c>
      <c r="BG47" s="846" t="str">
        <f t="shared" si="19"/>
        <v/>
      </c>
      <c r="BH47" s="847" t="str">
        <f t="shared" si="19"/>
        <v/>
      </c>
      <c r="BI47" s="847" t="str">
        <f t="shared" si="19"/>
        <v/>
      </c>
      <c r="BJ47" s="847" t="str">
        <f t="shared" si="19"/>
        <v/>
      </c>
      <c r="BK47" s="847" t="str">
        <f t="shared" si="19"/>
        <v/>
      </c>
      <c r="BL47" s="819" t="str">
        <f t="shared" si="20"/>
        <v/>
      </c>
      <c r="BM47" s="819" t="str">
        <f t="shared" si="20"/>
        <v/>
      </c>
      <c r="BN47" s="820">
        <f t="shared" si="20"/>
        <v>60</v>
      </c>
    </row>
    <row r="48" spans="2:66" ht="15" customHeight="1" x14ac:dyDescent="0.25">
      <c r="B48" s="2"/>
      <c r="D48" s="16"/>
      <c r="E48" s="16"/>
      <c r="F48" s="885"/>
      <c r="G48" s="6"/>
      <c r="H48" s="886"/>
      <c r="I48" s="887"/>
      <c r="J48" s="16"/>
      <c r="K48" s="16"/>
      <c r="L48" s="16"/>
      <c r="M48" s="16"/>
      <c r="N48" s="16"/>
      <c r="O48" s="888">
        <f>SUM(O22:O47)</f>
        <v>1835849296.540277</v>
      </c>
      <c r="P48" s="16"/>
      <c r="Q48" s="821">
        <f>SUMPRODUCT(O22:O47,Q22:Q47)/SUMIFS(O22:O47,D22:D47,Q21)</f>
        <v>54.997222601994608</v>
      </c>
      <c r="R48" s="822">
        <f>SUMPRODUCT(O22:O47,R22:R47)/SUMIFS(O22:O47,D22:D47,R21)</f>
        <v>50</v>
      </c>
      <c r="S48" s="822">
        <f>SUMPRODUCT(O22:O47,S22:S47)/SUMIFS(O22:O47,D22:D47,S21)</f>
        <v>54.229641414578062</v>
      </c>
      <c r="T48" s="822">
        <f>SUMPRODUCT(O22:O47,T22:T47)/SUMIFS(O22:O47,D22:D47,T21)</f>
        <v>50</v>
      </c>
      <c r="U48" s="822">
        <f>SUMPRODUCT(O22:O47,U22:U47)/SUMIFS(O22:O47,D22:D47,U21)</f>
        <v>49.999999999999993</v>
      </c>
      <c r="V48" s="822">
        <f>SUMPRODUCT(O22:O47,V22:V47)/SUMIFS(O22:O47,D22:D47,V21)</f>
        <v>51.073454088641917</v>
      </c>
      <c r="W48" s="822">
        <f>SUMPRODUCT(O22:O47,W22:W47)/SUMIFS(O22:O47,D22:D47,W21)</f>
        <v>45</v>
      </c>
      <c r="X48" s="889">
        <f>SUMPRODUCT(O22:O47,X22:X47)/SUMIFS(O22:O47,D22:D47,X21)</f>
        <v>53.331587334785667</v>
      </c>
      <c r="Y48" s="16"/>
      <c r="AA48" s="102"/>
      <c r="AB48" s="25"/>
      <c r="AC48" s="103"/>
      <c r="AD48" s="104"/>
      <c r="AJ48" s="105">
        <f>SUM(AJ22:AJ47)</f>
        <v>350491737.07739419</v>
      </c>
      <c r="AL48" s="821">
        <f>SUMPRODUCT(AJ22:AJ47,AL22:AL47)/SUMIFS(AJ22:AJ47,Y22:Y47,AL21)</f>
        <v>54.999999999999993</v>
      </c>
      <c r="AM48" s="822">
        <f>SUMPRODUCT(AJ22:AJ47,AM22:AM47)/SUMIFS(AJ22:AJ47,Y22:Y47,AM21)</f>
        <v>50</v>
      </c>
      <c r="AN48" s="822">
        <f>SUMPRODUCT(AJ22:AJ47,AN22:AN47)/SUMIFS(AJ22:AJ47,Y22:Y47,AN21)</f>
        <v>55</v>
      </c>
      <c r="AO48" s="822">
        <f>SUMPRODUCT(AJ22:AJ47,AO22:AO47)/SUMIFS(AJ22:AJ47,Y22:Y47,AO21)</f>
        <v>50</v>
      </c>
      <c r="AP48" s="822">
        <f>SUMPRODUCT(AJ22:AJ47,AP22:AP47)/SUMIFS(AJ22:AJ47,Y22:Y47,AP21)</f>
        <v>50</v>
      </c>
      <c r="AQ48" s="822">
        <f>SUMPRODUCT(AJ22:AJ47,AQ22:AQ47)/SUMIFS(AJ22:AJ47,Y22:Y47,AQ21)</f>
        <v>50.000000000000014</v>
      </c>
      <c r="AR48" s="822">
        <f>SUMPRODUCT(AJ22:AJ47,AR22:AR47)/SUMIFS(AJ22:AJ47,Y22:Y47,AR21)</f>
        <v>45.000000000000007</v>
      </c>
      <c r="AS48" s="823">
        <f>SUMPRODUCT(AJ22:AJ47,AS22:AS47)/SUMIFS(AJ22:AJ47,Y22:Y47,AS21)</f>
        <v>54.53782772840286</v>
      </c>
      <c r="AT48" s="131"/>
      <c r="AV48" s="102"/>
      <c r="AW48" s="25"/>
      <c r="AX48" s="103"/>
      <c r="AY48" s="104"/>
      <c r="BE48" s="329">
        <f>SUM(BE22:BE47)</f>
        <v>23917045.547189452</v>
      </c>
      <c r="BG48" s="848"/>
      <c r="BH48" s="849"/>
      <c r="BI48" s="849"/>
      <c r="BJ48" s="849"/>
      <c r="BK48" s="849"/>
      <c r="BL48" s="822">
        <f>SUMPRODUCT(BE22:BE47,BL22:BL47)/SUMIFS(BE22:BE47,AT22:AT47,BL21)</f>
        <v>50.097163594230963</v>
      </c>
      <c r="BM48" s="822">
        <f>SUMPRODUCT(BE22:BE47,BM22:BM47)/SUMIFS(BE22:BE47,AT22:AT47,BM21)</f>
        <v>45</v>
      </c>
      <c r="BN48" s="823">
        <f>SUMPRODUCT(BE22:BE47,BN22:BN47)/SUMIFS(BE22:BE47,AT22:AT47,BN21)</f>
        <v>53.331587334785659</v>
      </c>
    </row>
    <row r="49" spans="2:47" ht="15" customHeight="1" x14ac:dyDescent="0.2">
      <c r="B49" s="2"/>
      <c r="D49" s="16"/>
      <c r="E49" s="16"/>
      <c r="F49" s="16"/>
      <c r="G49" s="16"/>
      <c r="H49" s="16"/>
      <c r="I49" s="16"/>
      <c r="J49" s="16"/>
      <c r="K49" s="16"/>
      <c r="L49" s="16"/>
      <c r="M49" s="16"/>
      <c r="N49" s="16"/>
      <c r="O49" s="16"/>
      <c r="P49" s="16"/>
      <c r="Q49" s="16"/>
      <c r="R49" s="16"/>
      <c r="S49" s="16"/>
      <c r="T49" s="16"/>
      <c r="U49" s="16"/>
      <c r="V49" s="16"/>
      <c r="W49" s="16"/>
      <c r="X49" s="224"/>
      <c r="Y49" s="16"/>
      <c r="Z49" s="16"/>
      <c r="AA49" s="16"/>
      <c r="AB49" s="16"/>
      <c r="AC49" s="16"/>
      <c r="AD49" s="16"/>
      <c r="AE49" s="16"/>
      <c r="AF49" s="16"/>
      <c r="AG49" s="16"/>
      <c r="AH49" s="16"/>
      <c r="AI49" s="16"/>
      <c r="AJ49" s="16"/>
      <c r="AK49" s="16"/>
      <c r="AL49" s="16"/>
      <c r="AM49" s="16"/>
      <c r="AN49" s="16"/>
      <c r="AO49" s="16"/>
      <c r="AP49" s="16"/>
      <c r="AQ49" s="16"/>
      <c r="AR49" s="16"/>
      <c r="AS49" s="16"/>
    </row>
    <row r="50" spans="2:47" ht="15" customHeight="1" x14ac:dyDescent="0.2">
      <c r="B50" s="2"/>
      <c r="D50" s="16"/>
      <c r="E50" s="16"/>
      <c r="F50" s="16"/>
      <c r="G50" s="16"/>
      <c r="H50" s="16"/>
      <c r="I50" s="16"/>
      <c r="J50" s="16"/>
      <c r="K50" s="16"/>
      <c r="L50" s="16"/>
      <c r="M50" s="16"/>
      <c r="N50" s="16"/>
      <c r="O50" s="16"/>
      <c r="P50" s="16"/>
      <c r="Q50" s="16"/>
      <c r="R50" s="16"/>
      <c r="S50" s="16"/>
      <c r="T50" s="16"/>
      <c r="U50" s="16"/>
      <c r="V50" s="16"/>
      <c r="W50" s="16"/>
      <c r="X50" s="224"/>
      <c r="Y50" s="16"/>
      <c r="Z50" s="16"/>
      <c r="AA50" s="16"/>
      <c r="AB50" s="16"/>
      <c r="AC50" s="16"/>
      <c r="AD50" s="16"/>
      <c r="AE50" s="16"/>
      <c r="AF50" s="16"/>
      <c r="AG50" s="16"/>
      <c r="AH50" s="16"/>
      <c r="AI50" s="16"/>
      <c r="AJ50" s="16"/>
      <c r="AK50" s="16"/>
      <c r="AL50" s="16"/>
      <c r="AM50" s="16"/>
      <c r="AN50" s="16"/>
      <c r="AO50" s="16"/>
      <c r="AP50" s="16"/>
      <c r="AQ50" s="16"/>
      <c r="AR50" s="16"/>
      <c r="AS50" s="16"/>
    </row>
    <row r="51" spans="2:47" ht="15" customHeight="1" x14ac:dyDescent="0.2">
      <c r="B51" s="2" t="s">
        <v>29</v>
      </c>
      <c r="D51" s="16"/>
      <c r="E51" s="16"/>
      <c r="F51" s="16"/>
      <c r="G51" s="16"/>
      <c r="H51" s="16"/>
      <c r="I51" s="16"/>
      <c r="J51" s="16"/>
      <c r="K51" s="16"/>
      <c r="L51" s="16"/>
      <c r="M51" s="16"/>
      <c r="N51" s="16"/>
      <c r="O51" s="16"/>
      <c r="P51" s="16"/>
      <c r="Q51" s="16"/>
      <c r="R51" s="16"/>
      <c r="S51" s="16"/>
      <c r="T51" s="16"/>
      <c r="U51" s="16"/>
      <c r="V51" s="16"/>
      <c r="W51" s="16"/>
      <c r="X51" s="224"/>
      <c r="Y51" s="16"/>
      <c r="Z51" s="16"/>
      <c r="AA51" s="16"/>
      <c r="AB51" s="16"/>
      <c r="AC51" s="16"/>
      <c r="AD51" s="16"/>
      <c r="AE51" s="16"/>
      <c r="AF51" s="16"/>
      <c r="AG51" s="16"/>
      <c r="AH51" s="16"/>
      <c r="AI51" s="16"/>
      <c r="AJ51" s="16"/>
      <c r="AK51" s="16"/>
      <c r="AL51" s="16"/>
      <c r="AM51" s="16"/>
      <c r="AN51" s="16"/>
      <c r="AO51" s="16"/>
      <c r="AP51" s="16"/>
      <c r="AQ51" s="16"/>
      <c r="AR51" s="16"/>
      <c r="AS51" s="16"/>
    </row>
    <row r="52" spans="2:47" ht="15" customHeight="1" x14ac:dyDescent="0.2">
      <c r="B52" s="2"/>
      <c r="D52" s="16"/>
      <c r="E52" s="16"/>
      <c r="F52" s="16"/>
      <c r="G52" s="16"/>
      <c r="H52" s="16"/>
      <c r="I52" s="16"/>
      <c r="J52" s="16"/>
      <c r="K52" s="16"/>
      <c r="L52" s="16"/>
      <c r="M52" s="16"/>
      <c r="N52" s="16"/>
      <c r="O52" s="16"/>
      <c r="P52" s="16"/>
      <c r="Q52" s="16"/>
      <c r="R52" s="16"/>
      <c r="S52" s="16"/>
      <c r="T52" s="16"/>
      <c r="U52" s="16"/>
      <c r="V52" s="16"/>
      <c r="W52" s="16"/>
      <c r="X52" s="224"/>
      <c r="Y52" s="16"/>
      <c r="Z52" s="759" t="s">
        <v>434</v>
      </c>
      <c r="AU52" s="759" t="s">
        <v>434</v>
      </c>
    </row>
    <row r="53" spans="2:47" ht="15" customHeight="1" x14ac:dyDescent="0.2">
      <c r="C53" s="106" t="s">
        <v>14</v>
      </c>
      <c r="D53" s="857" t="s">
        <v>22</v>
      </c>
      <c r="E53" s="767" t="s">
        <v>434</v>
      </c>
      <c r="F53" s="16"/>
      <c r="G53" s="16"/>
      <c r="H53" s="16"/>
      <c r="I53" s="16"/>
      <c r="J53" s="16"/>
      <c r="K53" s="16"/>
      <c r="L53" s="16"/>
      <c r="M53" s="16"/>
      <c r="N53" s="16"/>
      <c r="O53" s="16"/>
      <c r="P53" s="16"/>
      <c r="Q53" s="16"/>
      <c r="R53" s="16"/>
      <c r="S53" s="16"/>
      <c r="T53" s="16"/>
      <c r="U53" s="16"/>
      <c r="V53" s="16"/>
      <c r="W53" s="16"/>
      <c r="X53" s="224"/>
      <c r="Y53" s="761" t="s">
        <v>22</v>
      </c>
      <c r="Z53" s="111"/>
      <c r="AT53" s="208" t="s">
        <v>22</v>
      </c>
      <c r="AU53" s="111"/>
    </row>
    <row r="54" spans="2:47" ht="15" customHeight="1" x14ac:dyDescent="0.2">
      <c r="C54" s="21" t="s">
        <v>355</v>
      </c>
      <c r="D54" s="507">
        <f t="shared" ref="D54:D61" si="28">SUMIF($D$22:$D$47,$C54,$O$22:$O$47)</f>
        <v>109264291.58060831</v>
      </c>
      <c r="E54" s="830">
        <f>Q48</f>
        <v>54.997222601994608</v>
      </c>
      <c r="F54" s="16"/>
      <c r="G54" s="16"/>
      <c r="H54" s="16"/>
      <c r="I54" s="16"/>
      <c r="J54" s="16"/>
      <c r="K54" s="16"/>
      <c r="L54" s="16"/>
      <c r="M54" s="16"/>
      <c r="N54" s="16"/>
      <c r="O54" s="16"/>
      <c r="P54" s="16"/>
      <c r="Q54" s="16"/>
      <c r="R54" s="16"/>
      <c r="S54" s="16"/>
      <c r="T54" s="16"/>
      <c r="U54" s="16"/>
      <c r="V54" s="16"/>
      <c r="W54" s="16"/>
      <c r="X54" s="224"/>
      <c r="Y54" s="824">
        <f>SUMIF($Y$22:$Y$47,$C54,$AJ$22:$AJ$47)</f>
        <v>23523194.229264773</v>
      </c>
      <c r="Z54" s="830">
        <f>AL48</f>
        <v>54.999999999999993</v>
      </c>
      <c r="AT54" s="241"/>
      <c r="AU54" s="850"/>
    </row>
    <row r="55" spans="2:47" ht="15" customHeight="1" x14ac:dyDescent="0.2">
      <c r="C55" s="22" t="s">
        <v>356</v>
      </c>
      <c r="D55" s="94">
        <f t="shared" si="28"/>
        <v>69259033.906649753</v>
      </c>
      <c r="E55" s="831">
        <f>R48</f>
        <v>50</v>
      </c>
      <c r="F55" s="16"/>
      <c r="G55" s="16"/>
      <c r="H55" s="16"/>
      <c r="I55" s="16"/>
      <c r="J55" s="16"/>
      <c r="K55" s="16"/>
      <c r="L55" s="16"/>
      <c r="M55" s="16"/>
      <c r="N55" s="16"/>
      <c r="O55" s="16"/>
      <c r="P55" s="16"/>
      <c r="Q55" s="16"/>
      <c r="R55" s="16"/>
      <c r="S55" s="16"/>
      <c r="T55" s="16"/>
      <c r="U55" s="16"/>
      <c r="V55" s="16"/>
      <c r="W55" s="16"/>
      <c r="X55" s="224"/>
      <c r="Y55" s="825">
        <f t="shared" ref="Y55:Y61" si="29">SUMIF($D$22:$D$47,$C55,$AJ$22:$AJ$47)</f>
        <v>6925093.6750727491</v>
      </c>
      <c r="Z55" s="831">
        <f>AM48</f>
        <v>50</v>
      </c>
      <c r="AT55" s="248"/>
      <c r="AU55" s="667"/>
    </row>
    <row r="56" spans="2:47" ht="15" customHeight="1" x14ac:dyDescent="0.2">
      <c r="C56" s="22" t="s">
        <v>82</v>
      </c>
      <c r="D56" s="94">
        <f t="shared" si="28"/>
        <v>518476186.26416248</v>
      </c>
      <c r="E56" s="831">
        <f>S48</f>
        <v>54.229641414578062</v>
      </c>
      <c r="F56" s="16"/>
      <c r="G56" s="16"/>
      <c r="H56" s="16"/>
      <c r="I56" s="16"/>
      <c r="J56" s="16"/>
      <c r="K56" s="16"/>
      <c r="L56" s="16"/>
      <c r="M56" s="16"/>
      <c r="N56" s="16"/>
      <c r="O56" s="16"/>
      <c r="P56" s="16"/>
      <c r="Q56" s="16"/>
      <c r="R56" s="16"/>
      <c r="S56" s="16"/>
      <c r="T56" s="16"/>
      <c r="U56" s="16"/>
      <c r="V56" s="16"/>
      <c r="W56" s="16"/>
      <c r="X56" s="224"/>
      <c r="Y56" s="825">
        <f t="shared" si="29"/>
        <v>95590395.290050179</v>
      </c>
      <c r="Z56" s="831">
        <f>AN48</f>
        <v>55</v>
      </c>
      <c r="AT56" s="248"/>
      <c r="AU56" s="667"/>
    </row>
    <row r="57" spans="2:47" ht="15" customHeight="1" x14ac:dyDescent="0.2">
      <c r="C57" s="22" t="s">
        <v>85</v>
      </c>
      <c r="D57" s="94">
        <f t="shared" si="28"/>
        <v>220080694.76036775</v>
      </c>
      <c r="E57" s="831">
        <f>T48</f>
        <v>50</v>
      </c>
      <c r="F57" s="16"/>
      <c r="G57" s="16"/>
      <c r="H57" s="16"/>
      <c r="I57" s="16"/>
      <c r="J57" s="16"/>
      <c r="K57" s="16"/>
      <c r="L57" s="16"/>
      <c r="M57" s="16"/>
      <c r="N57" s="16"/>
      <c r="O57" s="16"/>
      <c r="P57" s="16"/>
      <c r="Q57" s="16"/>
      <c r="R57" s="16"/>
      <c r="S57" s="16"/>
      <c r="T57" s="16"/>
      <c r="U57" s="16"/>
      <c r="V57" s="16"/>
      <c r="W57" s="16"/>
      <c r="X57" s="224"/>
      <c r="Y57" s="825">
        <f t="shared" si="29"/>
        <v>39430006.219426878</v>
      </c>
      <c r="Z57" s="831">
        <f>AO48</f>
        <v>50</v>
      </c>
      <c r="AT57" s="248"/>
      <c r="AU57" s="667"/>
    </row>
    <row r="58" spans="2:47" ht="15" customHeight="1" x14ac:dyDescent="0.2">
      <c r="C58" s="22" t="s">
        <v>357</v>
      </c>
      <c r="D58" s="94">
        <f t="shared" si="28"/>
        <v>40913861.902840048</v>
      </c>
      <c r="E58" s="831">
        <f>U48</f>
        <v>49.999999999999993</v>
      </c>
      <c r="F58" s="16"/>
      <c r="G58" s="16"/>
      <c r="H58" s="16"/>
      <c r="I58" s="16"/>
      <c r="J58" s="16"/>
      <c r="K58" s="16"/>
      <c r="L58" s="16"/>
      <c r="M58" s="16"/>
      <c r="N58" s="16"/>
      <c r="O58" s="16"/>
      <c r="P58" s="16"/>
      <c r="Q58" s="16"/>
      <c r="R58" s="16"/>
      <c r="S58" s="16"/>
      <c r="T58" s="16"/>
      <c r="U58" s="16"/>
      <c r="V58" s="16"/>
      <c r="W58" s="16"/>
      <c r="X58" s="224"/>
      <c r="Y58" s="825">
        <f t="shared" si="29"/>
        <v>2926510.6197433383</v>
      </c>
      <c r="Z58" s="831">
        <f>AP48</f>
        <v>50</v>
      </c>
      <c r="AT58" s="248"/>
      <c r="AU58" s="667"/>
    </row>
    <row r="59" spans="2:47" ht="15" customHeight="1" x14ac:dyDescent="0.2">
      <c r="C59" s="22" t="s">
        <v>83</v>
      </c>
      <c r="D59" s="94">
        <f t="shared" si="28"/>
        <v>174695074.18573707</v>
      </c>
      <c r="E59" s="831">
        <f>V48</f>
        <v>51.073454088641917</v>
      </c>
      <c r="F59" s="16"/>
      <c r="G59" s="16"/>
      <c r="H59" s="16"/>
      <c r="I59" s="16"/>
      <c r="J59" s="16"/>
      <c r="K59" s="16"/>
      <c r="L59" s="16"/>
      <c r="M59" s="16"/>
      <c r="N59" s="16"/>
      <c r="O59" s="16"/>
      <c r="P59" s="16"/>
      <c r="Q59" s="16"/>
      <c r="R59" s="16"/>
      <c r="S59" s="16"/>
      <c r="T59" s="16"/>
      <c r="U59" s="16"/>
      <c r="V59" s="16"/>
      <c r="W59" s="16"/>
      <c r="X59" s="224"/>
      <c r="Y59" s="825">
        <f t="shared" si="29"/>
        <v>124057932.58055741</v>
      </c>
      <c r="Z59" s="831">
        <f>AQ48</f>
        <v>50.000000000000014</v>
      </c>
      <c r="AT59" s="94">
        <f>SUMIF($D$22:$D$47,$C59,$BE$22:$BE$47)</f>
        <v>9547063.3018816728</v>
      </c>
      <c r="AU59" s="831">
        <f>BL48</f>
        <v>50.097163594230963</v>
      </c>
    </row>
    <row r="60" spans="2:47" ht="15" customHeight="1" x14ac:dyDescent="0.2">
      <c r="C60" s="22" t="s">
        <v>84</v>
      </c>
      <c r="D60" s="94">
        <f t="shared" si="28"/>
        <v>173500524.237982</v>
      </c>
      <c r="E60" s="831">
        <f>W48</f>
        <v>45</v>
      </c>
      <c r="F60" s="16"/>
      <c r="G60" s="16"/>
      <c r="H60" s="16"/>
      <c r="I60" s="16"/>
      <c r="J60" s="16"/>
      <c r="K60" s="16"/>
      <c r="L60" s="16"/>
      <c r="M60" s="16"/>
      <c r="N60" s="16"/>
      <c r="O60" s="16"/>
      <c r="P60" s="16"/>
      <c r="Q60" s="16"/>
      <c r="R60" s="16"/>
      <c r="S60" s="16"/>
      <c r="T60" s="16"/>
      <c r="U60" s="16"/>
      <c r="V60" s="16"/>
      <c r="W60" s="16"/>
      <c r="X60" s="224"/>
      <c r="Y60" s="825">
        <f t="shared" si="29"/>
        <v>22415236.682619266</v>
      </c>
      <c r="Z60" s="831">
        <f>AR48</f>
        <v>45.000000000000007</v>
      </c>
      <c r="AT60" s="94">
        <f>SUMIF($D$22:$D$47,$C60,$BE$22:$BE$47)</f>
        <v>5941755.0518609416</v>
      </c>
      <c r="AU60" s="831">
        <f>BM48</f>
        <v>45</v>
      </c>
    </row>
    <row r="61" spans="2:47" ht="15" customHeight="1" x14ac:dyDescent="0.2">
      <c r="C61" s="24" t="s">
        <v>0</v>
      </c>
      <c r="D61" s="98">
        <f t="shared" si="28"/>
        <v>529659629.70192969</v>
      </c>
      <c r="E61" s="832">
        <f>X48</f>
        <v>53.331587334785667</v>
      </c>
      <c r="F61" s="16"/>
      <c r="G61" s="16"/>
      <c r="H61" s="16"/>
      <c r="I61" s="16"/>
      <c r="J61" s="16"/>
      <c r="K61" s="16"/>
      <c r="L61" s="16"/>
      <c r="M61" s="16"/>
      <c r="N61" s="16"/>
      <c r="O61" s="16"/>
      <c r="P61" s="16"/>
      <c r="Q61" s="16"/>
      <c r="R61" s="16"/>
      <c r="S61" s="16"/>
      <c r="T61" s="16"/>
      <c r="U61" s="16"/>
      <c r="V61" s="16"/>
      <c r="W61" s="16"/>
      <c r="X61" s="224"/>
      <c r="Y61" s="826">
        <f t="shared" si="29"/>
        <v>35623367.780659564</v>
      </c>
      <c r="Z61" s="832">
        <f>AS48</f>
        <v>54.53782772840286</v>
      </c>
      <c r="AT61" s="98">
        <f>SUMIF($D$22:$D$47,$C61,$BE$22:$BE$47)</f>
        <v>8428227.1934468355</v>
      </c>
      <c r="AU61" s="832">
        <f>BN48</f>
        <v>53.331587334785659</v>
      </c>
    </row>
    <row r="62" spans="2:47" ht="15" customHeight="1" x14ac:dyDescent="0.2">
      <c r="D62" s="888">
        <f>SUM(D54:D61)</f>
        <v>1835849296.540277</v>
      </c>
      <c r="E62" s="16"/>
      <c r="F62" s="16"/>
      <c r="G62" s="16"/>
      <c r="H62" s="16"/>
      <c r="I62" s="16"/>
      <c r="J62" s="16"/>
      <c r="K62" s="16"/>
      <c r="L62" s="16"/>
      <c r="M62" s="16"/>
      <c r="N62" s="16"/>
      <c r="O62" s="16"/>
      <c r="P62" s="16"/>
      <c r="Q62" s="16"/>
      <c r="R62" s="16"/>
      <c r="S62" s="16"/>
      <c r="T62" s="16"/>
      <c r="U62" s="16"/>
      <c r="V62" s="16"/>
      <c r="W62" s="16"/>
      <c r="X62" s="224"/>
      <c r="Y62" s="105">
        <f>SUM(Y54:Y61)</f>
        <v>350491737.07739419</v>
      </c>
      <c r="AT62" s="105">
        <f>SUM(AT54:AT61)</f>
        <v>23917045.547189452</v>
      </c>
    </row>
    <row r="63" spans="2:47" ht="15" customHeight="1" x14ac:dyDescent="0.2">
      <c r="D63" s="890">
        <f>O48</f>
        <v>1835849296.540277</v>
      </c>
      <c r="E63" s="16"/>
      <c r="F63" s="16"/>
      <c r="G63" s="16"/>
      <c r="H63" s="16"/>
      <c r="I63" s="16"/>
      <c r="J63" s="16"/>
      <c r="K63" s="16"/>
      <c r="L63" s="16"/>
      <c r="M63" s="16"/>
      <c r="N63" s="16"/>
      <c r="O63" s="16"/>
      <c r="P63" s="16"/>
      <c r="Q63" s="16"/>
      <c r="R63" s="16"/>
      <c r="S63" s="16"/>
      <c r="T63" s="16"/>
      <c r="U63" s="16"/>
      <c r="V63" s="16"/>
      <c r="W63" s="16"/>
      <c r="X63" s="224"/>
      <c r="Y63" s="261">
        <f>AJ48</f>
        <v>350491737.07739419</v>
      </c>
      <c r="AT63" s="261">
        <f>BE48</f>
        <v>23917045.547189452</v>
      </c>
    </row>
  </sheetData>
  <mergeCells count="15">
    <mergeCell ref="AT5:BN5"/>
    <mergeCell ref="D5:X5"/>
    <mergeCell ref="Y5:AS5"/>
    <mergeCell ref="D8:G8"/>
    <mergeCell ref="Y8:AB8"/>
    <mergeCell ref="AT8:AW8"/>
    <mergeCell ref="Q20:X20"/>
    <mergeCell ref="AL20:AS20"/>
    <mergeCell ref="BG20:BN20"/>
    <mergeCell ref="I20:J20"/>
    <mergeCell ref="M20:N20"/>
    <mergeCell ref="AD20:AE20"/>
    <mergeCell ref="AH20:AI20"/>
    <mergeCell ref="AY20:AZ20"/>
    <mergeCell ref="BC20:BD20"/>
  </mergeCells>
  <pageMargins left="0.7" right="0.7" top="0.75" bottom="0.75" header="0.3" footer="0.3"/>
  <pageSetup paperSize="9" scale="18" orientation="landscape" horizontalDpi="300" verticalDpi="300" r:id="rId1"/>
  <headerFooter>
    <oddFooter>&amp;C&amp;"Arial,Bold"MODEL FOR DEMONSTRATION ONLY
The data contained in this model is for demonstration only.  Network and tariff data may not neccesarily represent the Energex network.</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FA87"/>
    <pageSetUpPr fitToPage="1"/>
  </sheetPr>
  <dimension ref="B2:BH25"/>
  <sheetViews>
    <sheetView showGridLines="0" zoomScale="125" zoomScaleNormal="125" workbookViewId="0">
      <pane xSplit="3" ySplit="11" topLeftCell="Y12" activePane="bottomRight" state="frozen"/>
      <selection activeCell="B34" sqref="B34"/>
      <selection pane="topRight" activeCell="B34" sqref="B34"/>
      <selection pane="bottomLeft" activeCell="B34" sqref="B34"/>
      <selection pane="bottomRight" activeCell="AD31" sqref="AD31"/>
    </sheetView>
  </sheetViews>
  <sheetFormatPr defaultColWidth="8.85546875" defaultRowHeight="15" x14ac:dyDescent="0.2"/>
  <cols>
    <col min="1" max="1" width="8.85546875" style="3"/>
    <col min="2" max="2" width="3.42578125" style="3" customWidth="1"/>
    <col min="3" max="3" width="46.7109375" style="3" customWidth="1"/>
    <col min="4" max="4" width="7.140625" style="3" bestFit="1" customWidth="1"/>
    <col min="5" max="6" width="10.140625" style="3" bestFit="1" customWidth="1"/>
    <col min="7" max="7" width="16.28515625" style="3" bestFit="1" customWidth="1"/>
    <col min="8" max="8" width="16.28515625" style="3" customWidth="1"/>
    <col min="9" max="9" width="12.42578125" style="3" customWidth="1"/>
    <col min="10" max="10" width="11.140625" style="3" customWidth="1"/>
    <col min="11" max="11" width="13.140625" style="3" bestFit="1" customWidth="1"/>
    <col min="12" max="12" width="12.7109375" style="3" bestFit="1" customWidth="1"/>
    <col min="13" max="13" width="8.7109375" style="3" customWidth="1"/>
    <col min="14" max="14" width="7.7109375" style="3" customWidth="1"/>
    <col min="15" max="21" width="7.7109375" style="3" hidden="1" customWidth="1"/>
    <col min="22" max="22" width="1.42578125" style="3" hidden="1" customWidth="1"/>
    <col min="23" max="24" width="7.7109375" style="3" hidden="1" customWidth="1"/>
    <col min="25" max="25" width="7.7109375" style="3" customWidth="1"/>
    <col min="26" max="26" width="10.7109375" style="3" customWidth="1"/>
    <col min="27" max="27" width="13.28515625" style="3" bestFit="1" customWidth="1"/>
    <col min="28" max="28" width="16" style="3" bestFit="1" customWidth="1"/>
    <col min="29" max="29" width="16" style="3" customWidth="1"/>
    <col min="30" max="30" width="11" style="3" customWidth="1"/>
    <col min="31" max="31" width="10.140625" style="3" bestFit="1" customWidth="1"/>
    <col min="32" max="32" width="12.7109375" style="3" bestFit="1" customWidth="1"/>
    <col min="33" max="33" width="13.85546875" style="3" bestFit="1" customWidth="1"/>
    <col min="34" max="35" width="9.42578125" style="3" customWidth="1"/>
    <col min="36" max="43" width="9.42578125" style="3" hidden="1" customWidth="1"/>
    <col min="44" max="44" width="7" style="3" hidden="1" customWidth="1"/>
    <col min="45" max="46" width="9.42578125" style="3" hidden="1" customWidth="1"/>
    <col min="47" max="47" width="9.42578125" style="3" customWidth="1"/>
    <col min="48" max="48" width="12.7109375" style="3" customWidth="1"/>
    <col min="49" max="49" width="11.140625" style="3" customWidth="1"/>
    <col min="50" max="50" width="13.85546875" style="3" bestFit="1" customWidth="1"/>
    <col min="51" max="51" width="13.85546875" style="3" customWidth="1"/>
    <col min="52" max="52" width="12.7109375" style="3" customWidth="1"/>
    <col min="53" max="53" width="8.140625" style="3" bestFit="1" customWidth="1"/>
    <col min="54" max="54" width="10.140625" style="3" bestFit="1" customWidth="1"/>
    <col min="55" max="55" width="12.7109375" style="3" bestFit="1" customWidth="1"/>
    <col min="56" max="57" width="8.140625" style="3" bestFit="1" customWidth="1"/>
    <col min="58" max="58" width="10.85546875" style="3" hidden="1" customWidth="1"/>
    <col min="59" max="59" width="9.42578125" style="3" hidden="1" customWidth="1"/>
    <col min="60" max="60" width="10.85546875" style="3" hidden="1" customWidth="1"/>
    <col min="61" max="61" width="10.85546875" style="3" customWidth="1"/>
    <col min="62" max="16384" width="8.85546875" style="3"/>
  </cols>
  <sheetData>
    <row r="2" spans="2:60" ht="15" customHeight="1" x14ac:dyDescent="0.2">
      <c r="B2" s="168" t="s">
        <v>52</v>
      </c>
      <c r="I2" s="4"/>
      <c r="J2" s="4"/>
      <c r="K2" s="4"/>
      <c r="L2" s="4"/>
      <c r="M2" s="4"/>
      <c r="N2" s="4"/>
      <c r="O2" s="4"/>
      <c r="P2" s="4"/>
      <c r="Q2" s="4"/>
      <c r="R2" s="4"/>
      <c r="S2" s="4"/>
      <c r="T2" s="4"/>
      <c r="U2" s="4"/>
      <c r="V2" s="4"/>
      <c r="W2" s="4"/>
      <c r="X2" s="4"/>
    </row>
    <row r="3" spans="2:60" ht="15" customHeight="1" x14ac:dyDescent="0.25">
      <c r="B3" s="1" t="s">
        <v>133</v>
      </c>
    </row>
    <row r="4" spans="2:60" x14ac:dyDescent="0.25">
      <c r="B4" s="1"/>
    </row>
    <row r="5" spans="2:60" x14ac:dyDescent="0.2">
      <c r="B5" s="2"/>
    </row>
    <row r="6" spans="2:60" x14ac:dyDescent="0.2">
      <c r="B6" s="2"/>
    </row>
    <row r="7" spans="2:60" x14ac:dyDescent="0.2">
      <c r="C7" s="3" t="s">
        <v>25</v>
      </c>
      <c r="D7" s="3">
        <f>'Inputs - network configuration'!D42</f>
        <v>451.41204359601204</v>
      </c>
      <c r="Y7" s="216">
        <f>'Inputs - network configuration'!Y42</f>
        <v>41.404846633234946</v>
      </c>
      <c r="AU7" s="216">
        <f>'Inputs - network configuration'!AT42</f>
        <v>7.1831097707529441</v>
      </c>
    </row>
    <row r="10" spans="2:60" x14ac:dyDescent="0.2">
      <c r="B10" s="2"/>
      <c r="D10" s="69"/>
    </row>
    <row r="11" spans="2:60" ht="18.75" x14ac:dyDescent="0.2">
      <c r="B11" s="2"/>
      <c r="D11" s="973" t="s">
        <v>71</v>
      </c>
      <c r="E11" s="973"/>
      <c r="F11" s="973"/>
      <c r="G11" s="974"/>
      <c r="H11" s="974"/>
      <c r="I11" s="974"/>
      <c r="J11" s="974"/>
      <c r="K11" s="973"/>
      <c r="L11" s="973"/>
      <c r="M11" s="973"/>
      <c r="N11" s="973"/>
      <c r="O11" s="975"/>
      <c r="P11" s="768"/>
      <c r="Q11" s="768"/>
      <c r="R11" s="768"/>
      <c r="S11" s="768"/>
      <c r="T11" s="768"/>
      <c r="U11" s="768"/>
      <c r="V11" s="768"/>
      <c r="W11" s="768"/>
      <c r="X11" s="768"/>
      <c r="Y11" s="976" t="s">
        <v>72</v>
      </c>
      <c r="Z11" s="977"/>
      <c r="AA11" s="977"/>
      <c r="AB11" s="977"/>
      <c r="AC11" s="977"/>
      <c r="AD11" s="977"/>
      <c r="AE11" s="977"/>
      <c r="AF11" s="977"/>
      <c r="AG11" s="977"/>
      <c r="AH11" s="977"/>
      <c r="AI11" s="977"/>
      <c r="AJ11" s="977"/>
      <c r="AK11" s="977"/>
      <c r="AL11" s="769"/>
      <c r="AM11" s="769"/>
      <c r="AN11" s="769"/>
      <c r="AO11" s="769"/>
      <c r="AP11" s="769"/>
      <c r="AQ11" s="769"/>
      <c r="AR11" s="769"/>
      <c r="AS11" s="769"/>
      <c r="AT11" s="769"/>
      <c r="AU11" s="978" t="s">
        <v>73</v>
      </c>
      <c r="AV11" s="979"/>
      <c r="AW11" s="979"/>
      <c r="AX11" s="979"/>
      <c r="AY11" s="980"/>
      <c r="AZ11" s="980"/>
      <c r="BA11" s="979"/>
      <c r="BB11" s="979"/>
      <c r="BC11" s="979"/>
      <c r="BD11" s="979"/>
      <c r="BE11" s="979"/>
      <c r="BF11" s="979"/>
      <c r="BG11" s="979"/>
      <c r="BH11" s="979"/>
    </row>
    <row r="12" spans="2:60" s="26" customFormat="1" ht="60" customHeight="1" x14ac:dyDescent="0.2">
      <c r="B12" s="70"/>
      <c r="C12" s="67" t="s">
        <v>14</v>
      </c>
      <c r="D12" s="63" t="s">
        <v>48</v>
      </c>
      <c r="E12" s="64" t="s">
        <v>23</v>
      </c>
      <c r="F12" s="407" t="s">
        <v>56</v>
      </c>
      <c r="G12" s="408" t="s">
        <v>22</v>
      </c>
      <c r="H12" s="407" t="s">
        <v>435</v>
      </c>
      <c r="I12" s="407" t="s">
        <v>231</v>
      </c>
      <c r="J12" s="409" t="s">
        <v>137</v>
      </c>
      <c r="K12" s="73" t="s">
        <v>180</v>
      </c>
      <c r="L12" s="74" t="s">
        <v>49</v>
      </c>
      <c r="M12" s="75" t="s">
        <v>50</v>
      </c>
      <c r="N12" s="64" t="s">
        <v>51</v>
      </c>
      <c r="O12" s="183"/>
      <c r="P12" s="930"/>
      <c r="Q12" s="930"/>
      <c r="R12" s="930"/>
      <c r="S12" s="930"/>
      <c r="T12" s="930"/>
      <c r="U12" s="930"/>
      <c r="V12" s="930"/>
      <c r="W12" s="930"/>
      <c r="X12" s="930"/>
      <c r="Y12" s="134" t="s">
        <v>48</v>
      </c>
      <c r="Z12" s="64" t="s">
        <v>23</v>
      </c>
      <c r="AA12" s="415" t="s">
        <v>56</v>
      </c>
      <c r="AB12" s="408" t="s">
        <v>22</v>
      </c>
      <c r="AC12" s="407" t="s">
        <v>435</v>
      </c>
      <c r="AD12" s="407" t="s">
        <v>231</v>
      </c>
      <c r="AE12" s="73" t="s">
        <v>137</v>
      </c>
      <c r="AF12" s="73" t="s">
        <v>180</v>
      </c>
      <c r="AG12" s="74" t="s">
        <v>49</v>
      </c>
      <c r="AH12" s="75" t="s">
        <v>50</v>
      </c>
      <c r="AI12" s="64" t="s">
        <v>51</v>
      </c>
      <c r="AJ12" s="183"/>
      <c r="AK12" s="162"/>
      <c r="AL12" s="930"/>
      <c r="AM12" s="930"/>
      <c r="AN12" s="930"/>
      <c r="AO12" s="930"/>
      <c r="AP12" s="930"/>
      <c r="AQ12" s="930"/>
      <c r="AR12" s="930"/>
      <c r="AS12" s="930"/>
      <c r="AT12" s="930"/>
      <c r="AU12" s="134" t="s">
        <v>48</v>
      </c>
      <c r="AV12" s="64" t="s">
        <v>23</v>
      </c>
      <c r="AW12" s="415" t="s">
        <v>56</v>
      </c>
      <c r="AX12" s="408" t="s">
        <v>22</v>
      </c>
      <c r="AY12" s="407" t="s">
        <v>435</v>
      </c>
      <c r="AZ12" s="407" t="s">
        <v>231</v>
      </c>
      <c r="BA12" s="73" t="s">
        <v>137</v>
      </c>
      <c r="BB12" s="73" t="s">
        <v>180</v>
      </c>
      <c r="BC12" s="207" t="s">
        <v>49</v>
      </c>
      <c r="BD12" s="75" t="s">
        <v>50</v>
      </c>
      <c r="BE12" s="64" t="s">
        <v>51</v>
      </c>
      <c r="BF12" s="183"/>
      <c r="BG12" s="183"/>
      <c r="BH12" s="183"/>
    </row>
    <row r="13" spans="2:60" x14ac:dyDescent="0.2">
      <c r="B13" s="2"/>
      <c r="C13" s="22" t="s">
        <v>355</v>
      </c>
      <c r="D13" s="152">
        <f>'Inputs - network configuration'!D20</f>
        <v>1.0069999999999999</v>
      </c>
      <c r="E13" s="71">
        <f>'Inputs - tariff class'!E51</f>
        <v>1</v>
      </c>
      <c r="F13" s="533">
        <f t="shared" ref="F13:F20" si="0">$D$7/D13*E13</f>
        <v>448.27412472295146</v>
      </c>
      <c r="G13" s="410">
        <f>'Calcs - LRIC - Asset costs'!D54</f>
        <v>109264291.58060831</v>
      </c>
      <c r="H13" s="853">
        <f>'Calcs - LRIC - Asset costs'!E54</f>
        <v>54.997222601994608</v>
      </c>
      <c r="I13" s="86"/>
      <c r="J13" s="841">
        <f>G13*PMT('Inputs - network configuration'!$D$7,H13,-1)/F13/1000</f>
        <v>9.9114588624846363</v>
      </c>
      <c r="K13" s="288">
        <f>'Inputs - network configuration'!D12</f>
        <v>1.4999999999999999E-2</v>
      </c>
      <c r="L13" s="290">
        <f t="shared" ref="L13:L20" si="1">K13*G13</f>
        <v>1638964.3737091245</v>
      </c>
      <c r="M13" s="156">
        <f t="shared" ref="M13:M20" si="2">L13/F13/1000</f>
        <v>3.6561654650980802</v>
      </c>
      <c r="N13" s="157">
        <f t="shared" ref="N13:N20" si="3">J13+M13</f>
        <v>13.567624327582717</v>
      </c>
      <c r="O13" s="83"/>
      <c r="P13" s="83"/>
      <c r="Q13" s="83"/>
      <c r="R13" s="83"/>
      <c r="S13" s="83"/>
      <c r="T13" s="83"/>
      <c r="U13" s="83"/>
      <c r="V13" s="83"/>
      <c r="W13" s="83"/>
      <c r="X13" s="83"/>
      <c r="Y13" s="154">
        <f>'Inputs - network configuration'!Y20</f>
        <v>1.026</v>
      </c>
      <c r="Z13" s="71">
        <f>'Inputs - tariff class'!Z51</f>
        <v>1</v>
      </c>
      <c r="AA13" s="46">
        <f>$Y$7/Y13*Z13</f>
        <v>40.355601007051604</v>
      </c>
      <c r="AB13" s="410">
        <f>'Calcs - LRIC - Asset costs'!Y54</f>
        <v>23523194.229264773</v>
      </c>
      <c r="AC13" s="853">
        <f>'Calcs - LRIC - Asset costs'!Z54</f>
        <v>54.999999999999993</v>
      </c>
      <c r="AD13" s="86"/>
      <c r="AE13" s="841">
        <f>AB13*PMT('Inputs - network configuration'!$D$7,AC13,-1)/AA13/1000</f>
        <v>23.70216015309402</v>
      </c>
      <c r="AF13" s="288">
        <f t="shared" ref="AF13:AF20" si="4">K13*1.5</f>
        <v>2.2499999999999999E-2</v>
      </c>
      <c r="AG13" s="76">
        <f t="shared" ref="AG13:AG20" si="5">AF13*AB13</f>
        <v>529271.87015845743</v>
      </c>
      <c r="AH13" s="156">
        <f t="shared" ref="AH13:AH20" si="6">AG13/AA13/1000</f>
        <v>13.115202275539751</v>
      </c>
      <c r="AI13" s="157">
        <f t="shared" ref="AI13:AI20" si="7">AE13+AH13</f>
        <v>36.817362428633771</v>
      </c>
      <c r="AJ13" s="83"/>
      <c r="AK13" s="43"/>
      <c r="AL13" s="83"/>
      <c r="AM13" s="83"/>
      <c r="AN13" s="83"/>
      <c r="AO13" s="83"/>
      <c r="AP13" s="83"/>
      <c r="AQ13" s="83"/>
      <c r="AR13" s="83"/>
      <c r="AS13" s="83"/>
      <c r="AT13" s="83"/>
      <c r="AU13" s="154">
        <f>'Inputs - network configuration'!AT20</f>
        <v>1</v>
      </c>
      <c r="AV13" s="686"/>
      <c r="AW13" s="687"/>
      <c r="AX13" s="691"/>
      <c r="AY13" s="852"/>
      <c r="AZ13" s="413"/>
      <c r="BA13" s="262"/>
      <c r="BB13" s="295"/>
      <c r="BC13" s="263"/>
      <c r="BD13" s="264"/>
      <c r="BE13" s="265"/>
      <c r="BF13" s="83"/>
      <c r="BG13" s="83"/>
      <c r="BH13" s="83"/>
    </row>
    <row r="14" spans="2:60" x14ac:dyDescent="0.2">
      <c r="B14" s="2"/>
      <c r="C14" s="22" t="s">
        <v>356</v>
      </c>
      <c r="D14" s="152">
        <f>'Inputs - network configuration'!D21</f>
        <v>1.012</v>
      </c>
      <c r="E14" s="71">
        <f>'Inputs - tariff class'!E52</f>
        <v>0.69949806663267156</v>
      </c>
      <c r="F14" s="533">
        <f t="shared" si="0"/>
        <v>312.01764006928227</v>
      </c>
      <c r="G14" s="77">
        <f>'Calcs - LRIC - Asset costs'!D55</f>
        <v>69259033.906649753</v>
      </c>
      <c r="H14" s="853">
        <f>'Calcs - LRIC - Asset costs'!E55</f>
        <v>50</v>
      </c>
      <c r="I14" s="16"/>
      <c r="J14" s="842">
        <f>G14*PMT('Inputs - network configuration'!$D$7,H14,-1)/F14/1000</f>
        <v>9.3443228076082399</v>
      </c>
      <c r="K14" s="293">
        <f>K13</f>
        <v>1.4999999999999999E-2</v>
      </c>
      <c r="L14" s="291">
        <f t="shared" si="1"/>
        <v>1038885.5085997463</v>
      </c>
      <c r="M14" s="158">
        <f t="shared" si="2"/>
        <v>3.3295729958378826</v>
      </c>
      <c r="N14" s="159">
        <f t="shared" si="3"/>
        <v>12.673895803446122</v>
      </c>
      <c r="O14" s="83"/>
      <c r="P14" s="83"/>
      <c r="Q14" s="83"/>
      <c r="R14" s="83"/>
      <c r="S14" s="83"/>
      <c r="T14" s="83"/>
      <c r="U14" s="83"/>
      <c r="V14" s="83"/>
      <c r="W14" s="83"/>
      <c r="X14" s="83"/>
      <c r="Y14" s="154">
        <f>'Inputs - network configuration'!Y21</f>
        <v>1.0640000000000001</v>
      </c>
      <c r="Z14" s="71">
        <f>'Inputs - tariff class'!Z52</f>
        <v>0.76253134917670717</v>
      </c>
      <c r="AA14" s="46">
        <f t="shared" ref="AA14:AA20" si="8">$Y$7/Y14*Z14</f>
        <v>29.673396208360231</v>
      </c>
      <c r="AB14" s="77">
        <f>'Calcs - LRIC - Asset costs'!Y55</f>
        <v>6925093.6750727491</v>
      </c>
      <c r="AC14" s="853">
        <f>'Calcs - LRIC - Asset costs'!Z55</f>
        <v>50</v>
      </c>
      <c r="AD14" s="16"/>
      <c r="AE14" s="842">
        <f>AB14*PMT('Inputs - network configuration'!$D$7,AC14,-1)/AA14/1000</f>
        <v>9.8244658767738819</v>
      </c>
      <c r="AF14" s="293">
        <f t="shared" si="4"/>
        <v>2.2499999999999999E-2</v>
      </c>
      <c r="AG14" s="77">
        <f t="shared" si="5"/>
        <v>155814.60768913684</v>
      </c>
      <c r="AH14" s="158">
        <f t="shared" si="6"/>
        <v>5.2509866614202183</v>
      </c>
      <c r="AI14" s="159">
        <f t="shared" si="7"/>
        <v>15.075452538194099</v>
      </c>
      <c r="AJ14" s="83"/>
      <c r="AK14" s="43"/>
      <c r="AL14" s="83"/>
      <c r="AM14" s="83"/>
      <c r="AN14" s="83"/>
      <c r="AO14" s="83"/>
      <c r="AP14" s="83"/>
      <c r="AQ14" s="83"/>
      <c r="AR14" s="83"/>
      <c r="AS14" s="83"/>
      <c r="AT14" s="83"/>
      <c r="AU14" s="154">
        <f>'Inputs - network configuration'!AT21</f>
        <v>1.0049999999999999</v>
      </c>
      <c r="AV14" s="686"/>
      <c r="AW14" s="687"/>
      <c r="AX14" s="267"/>
      <c r="AY14" s="414"/>
      <c r="AZ14" s="414"/>
      <c r="BA14" s="266"/>
      <c r="BB14" s="296"/>
      <c r="BC14" s="267"/>
      <c r="BD14" s="268"/>
      <c r="BE14" s="269"/>
      <c r="BF14" s="83"/>
      <c r="BG14" s="83"/>
      <c r="BH14" s="83"/>
    </row>
    <row r="15" spans="2:60" x14ac:dyDescent="0.2">
      <c r="B15" s="2"/>
      <c r="C15" s="22" t="s">
        <v>82</v>
      </c>
      <c r="D15" s="152">
        <f>'Inputs - network configuration'!D21</f>
        <v>1.012</v>
      </c>
      <c r="E15" s="71">
        <f>'Inputs - tariff class'!E53</f>
        <v>0.60980433566998571</v>
      </c>
      <c r="F15" s="533">
        <f t="shared" si="0"/>
        <v>272.00891438586632</v>
      </c>
      <c r="G15" s="77">
        <f>'Calcs - LRIC - Asset costs'!D56</f>
        <v>518476186.26416248</v>
      </c>
      <c r="H15" s="853">
        <f>'Calcs - LRIC - Asset costs'!E56</f>
        <v>54.229641414578062</v>
      </c>
      <c r="I15" s="16"/>
      <c r="J15" s="842">
        <f>G15*PMT('Inputs - network configuration'!$D$7,H15,-1)/F15/1000</f>
        <v>77.887318548090121</v>
      </c>
      <c r="K15" s="289">
        <f>'Inputs - network configuration'!D13</f>
        <v>0.02</v>
      </c>
      <c r="L15" s="291">
        <f t="shared" si="1"/>
        <v>10369523.72528325</v>
      </c>
      <c r="M15" s="158">
        <f t="shared" si="2"/>
        <v>38.121999599517736</v>
      </c>
      <c r="N15" s="159">
        <f t="shared" si="3"/>
        <v>116.00931814760786</v>
      </c>
      <c r="O15" s="83"/>
      <c r="P15" s="83"/>
      <c r="Q15" s="83"/>
      <c r="R15" s="83"/>
      <c r="S15" s="83"/>
      <c r="T15" s="83"/>
      <c r="U15" s="83"/>
      <c r="V15" s="83"/>
      <c r="W15" s="83"/>
      <c r="X15" s="83"/>
      <c r="Y15" s="154">
        <f>'Inputs - network configuration'!Y21</f>
        <v>1.0640000000000001</v>
      </c>
      <c r="Z15" s="71">
        <f>'Inputs - tariff class'!Z53</f>
        <v>0.71390833862372771</v>
      </c>
      <c r="AA15" s="46">
        <f t="shared" si="8"/>
        <v>27.781264352352448</v>
      </c>
      <c r="AB15" s="77">
        <f>'Calcs - LRIC - Asset costs'!Y56</f>
        <v>95590395.290050179</v>
      </c>
      <c r="AC15" s="853">
        <f>'Calcs - LRIC - Asset costs'!Z56</f>
        <v>55</v>
      </c>
      <c r="AD15" s="16"/>
      <c r="AE15" s="842">
        <f>AB15*PMT('Inputs - network configuration'!$D$7,AC15,-1)/AA15/1000</f>
        <v>139.91288241787311</v>
      </c>
      <c r="AF15" s="289">
        <f t="shared" si="4"/>
        <v>0.03</v>
      </c>
      <c r="AG15" s="77">
        <f t="shared" si="5"/>
        <v>2867711.8587015052</v>
      </c>
      <c r="AH15" s="158">
        <f t="shared" si="6"/>
        <v>103.22467049483565</v>
      </c>
      <c r="AI15" s="159">
        <f t="shared" si="7"/>
        <v>243.13755291270877</v>
      </c>
      <c r="AJ15" s="83"/>
      <c r="AK15" s="43"/>
      <c r="AL15" s="83"/>
      <c r="AM15" s="83"/>
      <c r="AN15" s="83"/>
      <c r="AO15" s="83"/>
      <c r="AP15" s="83"/>
      <c r="AQ15" s="83"/>
      <c r="AR15" s="83"/>
      <c r="AS15" s="83"/>
      <c r="AT15" s="83"/>
      <c r="AU15" s="154">
        <f>'Inputs - network configuration'!AT21</f>
        <v>1.0049999999999999</v>
      </c>
      <c r="AV15" s="686"/>
      <c r="AW15" s="687"/>
      <c r="AX15" s="267"/>
      <c r="AY15" s="414"/>
      <c r="AZ15" s="414"/>
      <c r="BA15" s="266"/>
      <c r="BB15" s="297"/>
      <c r="BC15" s="267"/>
      <c r="BD15" s="268"/>
      <c r="BE15" s="269"/>
      <c r="BF15" s="83"/>
      <c r="BG15" s="83"/>
      <c r="BH15" s="83"/>
    </row>
    <row r="16" spans="2:60" x14ac:dyDescent="0.2">
      <c r="B16" s="2"/>
      <c r="C16" s="22" t="s">
        <v>85</v>
      </c>
      <c r="D16" s="152">
        <f>'Inputs - network configuration'!D22</f>
        <v>1.016</v>
      </c>
      <c r="E16" s="71">
        <f>'Inputs - tariff class'!E54</f>
        <v>0.52011060470729975</v>
      </c>
      <c r="F16" s="533">
        <f t="shared" si="0"/>
        <v>231.08680213275568</v>
      </c>
      <c r="G16" s="77">
        <f>'Calcs - LRIC - Asset costs'!D57</f>
        <v>220080694.76036775</v>
      </c>
      <c r="H16" s="853">
        <f>'Calcs - LRIC - Asset costs'!E57</f>
        <v>50</v>
      </c>
      <c r="I16" s="16"/>
      <c r="J16" s="842">
        <f>G16*PMT('Inputs - network configuration'!$D$7,H16,-1)/F16/1000</f>
        <v>40.091966358863871</v>
      </c>
      <c r="K16" s="293">
        <f>K15</f>
        <v>0.02</v>
      </c>
      <c r="L16" s="291">
        <f t="shared" si="1"/>
        <v>4401613.8952073548</v>
      </c>
      <c r="M16" s="158">
        <f t="shared" si="2"/>
        <v>19.047448208135652</v>
      </c>
      <c r="N16" s="159">
        <f t="shared" si="3"/>
        <v>59.13941456699952</v>
      </c>
      <c r="O16" s="83"/>
      <c r="P16" s="83"/>
      <c r="Q16" s="83"/>
      <c r="R16" s="83"/>
      <c r="S16" s="83"/>
      <c r="T16" s="83"/>
      <c r="U16" s="83"/>
      <c r="V16" s="83"/>
      <c r="W16" s="83"/>
      <c r="X16" s="83"/>
      <c r="Y16" s="154">
        <f>'Inputs - network configuration'!Y22</f>
        <v>1.07</v>
      </c>
      <c r="Z16" s="71">
        <f>'Inputs - tariff class'!Z54</f>
        <v>0.6607473423225283</v>
      </c>
      <c r="AA16" s="46">
        <f t="shared" si="8"/>
        <v>25.56835735717932</v>
      </c>
      <c r="AB16" s="77">
        <f>'Calcs - LRIC - Asset costs'!Y57</f>
        <v>39430006.219426878</v>
      </c>
      <c r="AC16" s="853">
        <f>'Calcs - LRIC - Asset costs'!Z57</f>
        <v>50</v>
      </c>
      <c r="AD16" s="16"/>
      <c r="AE16" s="842">
        <f>AB16*PMT('Inputs - network configuration'!$D$7,AC16,-1)/AA16/1000</f>
        <v>64.91941079530433</v>
      </c>
      <c r="AF16" s="293">
        <f t="shared" si="4"/>
        <v>0.03</v>
      </c>
      <c r="AG16" s="77">
        <f t="shared" si="5"/>
        <v>1182900.1865828063</v>
      </c>
      <c r="AH16" s="158">
        <f t="shared" si="6"/>
        <v>46.264223002603671</v>
      </c>
      <c r="AI16" s="159">
        <f t="shared" si="7"/>
        <v>111.183633797908</v>
      </c>
      <c r="AJ16" s="83"/>
      <c r="AK16" s="43"/>
      <c r="AL16" s="83"/>
      <c r="AM16" s="83"/>
      <c r="AN16" s="83"/>
      <c r="AO16" s="83"/>
      <c r="AP16" s="83"/>
      <c r="AQ16" s="83"/>
      <c r="AR16" s="83"/>
      <c r="AS16" s="83"/>
      <c r="AT16" s="83"/>
      <c r="AU16" s="154">
        <f>'Inputs - network configuration'!AT22</f>
        <v>1.0069999999999999</v>
      </c>
      <c r="AV16" s="686"/>
      <c r="AW16" s="687"/>
      <c r="AX16" s="267"/>
      <c r="AY16" s="414"/>
      <c r="AZ16" s="414"/>
      <c r="BA16" s="266"/>
      <c r="BB16" s="296"/>
      <c r="BC16" s="267"/>
      <c r="BD16" s="268"/>
      <c r="BE16" s="269"/>
      <c r="BF16" s="83"/>
      <c r="BG16" s="83"/>
      <c r="BH16" s="83"/>
    </row>
    <row r="17" spans="2:60" x14ac:dyDescent="0.2">
      <c r="B17" s="2"/>
      <c r="C17" s="22" t="s">
        <v>386</v>
      </c>
      <c r="D17" s="152">
        <f>'Inputs - network configuration'!D22</f>
        <v>1.016</v>
      </c>
      <c r="E17" s="71">
        <f>'Inputs - tariff class'!E55</f>
        <v>0.29047369463564288</v>
      </c>
      <c r="F17" s="533">
        <f t="shared" si="0"/>
        <v>129.05838986846408</v>
      </c>
      <c r="G17" s="77">
        <f>'Calcs - LRIC - Asset costs'!D58</f>
        <v>40913861.902840048</v>
      </c>
      <c r="H17" s="853">
        <f>'Calcs - LRIC - Asset costs'!E58</f>
        <v>49.999999999999993</v>
      </c>
      <c r="I17" s="16"/>
      <c r="J17" s="842">
        <f>G17*PMT('Inputs - network configuration'!$D$7,H17,-1)/F17/1000</f>
        <v>13.345497982698568</v>
      </c>
      <c r="K17" s="289">
        <f>'Inputs - network configuration'!D14</f>
        <v>0.02</v>
      </c>
      <c r="L17" s="291">
        <f t="shared" si="1"/>
        <v>818277.23805680103</v>
      </c>
      <c r="M17" s="158">
        <f t="shared" si="2"/>
        <v>6.3403645349270725</v>
      </c>
      <c r="N17" s="159">
        <f t="shared" si="3"/>
        <v>19.68586251762564</v>
      </c>
      <c r="O17" s="83"/>
      <c r="P17" s="83"/>
      <c r="Q17" s="83"/>
      <c r="R17" s="83"/>
      <c r="S17" s="83"/>
      <c r="T17" s="83"/>
      <c r="U17" s="83"/>
      <c r="V17" s="83"/>
      <c r="W17" s="83"/>
      <c r="X17" s="83"/>
      <c r="Y17" s="154">
        <f>'Inputs - network configuration'!Y22</f>
        <v>1.07</v>
      </c>
      <c r="Z17" s="71">
        <f>'Inputs - tariff class'!Z55</f>
        <v>0.16209437775154448</v>
      </c>
      <c r="AA17" s="46">
        <f t="shared" si="8"/>
        <v>6.2724232251517291</v>
      </c>
      <c r="AB17" s="77">
        <f>'Calcs - LRIC - Asset costs'!Y58</f>
        <v>2926510.6197433383</v>
      </c>
      <c r="AC17" s="853">
        <f>'Calcs - LRIC - Asset costs'!Z58</f>
        <v>50</v>
      </c>
      <c r="AD17" s="16"/>
      <c r="AE17" s="842">
        <f>AB17*PMT('Inputs - network configuration'!$D$7,AC17,-1)/AA17/1000</f>
        <v>19.641077160033593</v>
      </c>
      <c r="AF17" s="289">
        <f t="shared" si="4"/>
        <v>0.03</v>
      </c>
      <c r="AG17" s="77">
        <f t="shared" si="5"/>
        <v>87795.318592300144</v>
      </c>
      <c r="AH17" s="158">
        <f t="shared" si="6"/>
        <v>13.997033593053883</v>
      </c>
      <c r="AI17" s="159">
        <f t="shared" si="7"/>
        <v>33.638110753087474</v>
      </c>
      <c r="AJ17" s="83"/>
      <c r="AK17" s="43"/>
      <c r="AL17" s="83"/>
      <c r="AM17" s="83"/>
      <c r="AN17" s="83"/>
      <c r="AO17" s="83"/>
      <c r="AP17" s="83"/>
      <c r="AQ17" s="83"/>
      <c r="AR17" s="83"/>
      <c r="AS17" s="83"/>
      <c r="AT17" s="83"/>
      <c r="AU17" s="154">
        <f>'Inputs - network configuration'!AT22</f>
        <v>1.0069999999999999</v>
      </c>
      <c r="AV17" s="686"/>
      <c r="AW17" s="687"/>
      <c r="AX17" s="267"/>
      <c r="AY17" s="414"/>
      <c r="AZ17" s="414"/>
      <c r="BA17" s="266"/>
      <c r="BB17" s="297"/>
      <c r="BC17" s="267"/>
      <c r="BD17" s="268"/>
      <c r="BE17" s="269"/>
      <c r="BF17" s="83"/>
      <c r="BG17" s="83"/>
      <c r="BH17" s="83"/>
    </row>
    <row r="18" spans="2:60" x14ac:dyDescent="0.2">
      <c r="B18" s="2"/>
      <c r="C18" s="22" t="s">
        <v>83</v>
      </c>
      <c r="D18" s="152">
        <f>'Inputs - network configuration'!D23</f>
        <v>1.036</v>
      </c>
      <c r="E18" s="71">
        <f>'Inputs - tariff class'!E56</f>
        <v>0.77754940250489335</v>
      </c>
      <c r="F18" s="533">
        <f t="shared" si="0"/>
        <v>338.79842160385328</v>
      </c>
      <c r="G18" s="77">
        <f>'Calcs - LRIC - Asset costs'!D59</f>
        <v>174695074.18573707</v>
      </c>
      <c r="H18" s="853">
        <f>'Calcs - LRIC - Asset costs'!E59</f>
        <v>51.073454088641917</v>
      </c>
      <c r="I18" s="411">
        <f>'Inputs - network configuration'!D47</f>
        <v>0.25</v>
      </c>
      <c r="J18" s="855">
        <f>G18*PMT('Inputs - network configuration'!$D$7,H18,-1)/F18/1000*(1-I18)</f>
        <v>16.14935475096793</v>
      </c>
      <c r="K18" s="293">
        <f>K17</f>
        <v>0.02</v>
      </c>
      <c r="L18" s="291">
        <f t="shared" si="1"/>
        <v>3493901.4837147417</v>
      </c>
      <c r="M18" s="158">
        <f t="shared" si="2"/>
        <v>10.312626213471722</v>
      </c>
      <c r="N18" s="159">
        <f t="shared" si="3"/>
        <v>26.461980964439654</v>
      </c>
      <c r="O18" s="83"/>
      <c r="P18" s="83"/>
      <c r="Q18" s="83"/>
      <c r="R18" s="83"/>
      <c r="S18" s="83"/>
      <c r="T18" s="83"/>
      <c r="U18" s="83"/>
      <c r="V18" s="83"/>
      <c r="W18" s="83"/>
      <c r="X18" s="83"/>
      <c r="Y18" s="154">
        <f>'Inputs - network configuration'!Y23</f>
        <v>1.103</v>
      </c>
      <c r="Z18" s="71">
        <f>'Inputs - tariff class'!Z56</f>
        <v>0.73983332541777347</v>
      </c>
      <c r="AA18" s="46">
        <f t="shared" si="8"/>
        <v>27.772153556735368</v>
      </c>
      <c r="AB18" s="77">
        <f>'Calcs - LRIC - Asset costs'!Y59</f>
        <v>124057932.58055741</v>
      </c>
      <c r="AC18" s="853">
        <f>'Calcs - LRIC - Asset costs'!Z59</f>
        <v>50.000000000000014</v>
      </c>
      <c r="AD18" s="411">
        <f>'Inputs - network configuration'!Y47</f>
        <v>0.25</v>
      </c>
      <c r="AE18" s="855">
        <f>AB18*PMT('Inputs - network configuration'!$D$7,AC18,-1)/AA18/1000*(1-AD18)</f>
        <v>141.03496545110755</v>
      </c>
      <c r="AF18" s="293">
        <f t="shared" si="4"/>
        <v>0.03</v>
      </c>
      <c r="AG18" s="77">
        <f t="shared" si="5"/>
        <v>3721737.9774167221</v>
      </c>
      <c r="AH18" s="158">
        <f t="shared" si="6"/>
        <v>134.00970039336821</v>
      </c>
      <c r="AI18" s="159">
        <f t="shared" si="7"/>
        <v>275.04466584447573</v>
      </c>
      <c r="AJ18" s="83"/>
      <c r="AK18" s="43"/>
      <c r="AL18" s="83"/>
      <c r="AM18" s="83"/>
      <c r="AN18" s="83"/>
      <c r="AO18" s="83"/>
      <c r="AP18" s="83"/>
      <c r="AQ18" s="83"/>
      <c r="AR18" s="83"/>
      <c r="AS18" s="83"/>
      <c r="AT18" s="83"/>
      <c r="AU18" s="154">
        <f>'Inputs - network configuration'!AT23</f>
        <v>1.0349999999999999</v>
      </c>
      <c r="AV18" s="686"/>
      <c r="AW18" s="687"/>
      <c r="AX18" s="267"/>
      <c r="AY18" s="414"/>
      <c r="AZ18" s="414"/>
      <c r="BA18" s="266"/>
      <c r="BB18" s="296"/>
      <c r="BC18" s="267"/>
      <c r="BD18" s="268"/>
      <c r="BE18" s="269"/>
      <c r="BF18" s="83"/>
      <c r="BG18" s="83"/>
      <c r="BH18" s="83"/>
    </row>
    <row r="19" spans="2:60" x14ac:dyDescent="0.2">
      <c r="B19" s="2"/>
      <c r="C19" s="22" t="s">
        <v>84</v>
      </c>
      <c r="D19" s="152">
        <f>'Inputs - network configuration'!D24</f>
        <v>1.075</v>
      </c>
      <c r="E19" s="71">
        <f>'Inputs - tariff class'!E57</f>
        <v>0.72991758173860311</v>
      </c>
      <c r="F19" s="533">
        <f t="shared" si="0"/>
        <v>306.50566253886694</v>
      </c>
      <c r="G19" s="77">
        <f>'Calcs - LRIC - Asset costs'!D60</f>
        <v>173500524.237982</v>
      </c>
      <c r="H19" s="853">
        <f>'Calcs - LRIC - Asset costs'!E60</f>
        <v>45</v>
      </c>
      <c r="I19" s="411">
        <f>'Inputs - network configuration'!D48</f>
        <v>0.25</v>
      </c>
      <c r="J19" s="855">
        <f>G19*PMT('Inputs - network configuration'!$D$7,H19,-1)/F19/1000*(1-I19)</f>
        <v>18.650752255389499</v>
      </c>
      <c r="K19" s="289">
        <f>'Inputs - network configuration'!D15</f>
        <v>2.5000000000000001E-2</v>
      </c>
      <c r="L19" s="291">
        <f t="shared" si="1"/>
        <v>4337513.1059495499</v>
      </c>
      <c r="M19" s="158">
        <f t="shared" si="2"/>
        <v>14.151494200860071</v>
      </c>
      <c r="N19" s="159">
        <f t="shared" si="3"/>
        <v>32.80224645624957</v>
      </c>
      <c r="O19" s="83"/>
      <c r="P19" s="83"/>
      <c r="Q19" s="83"/>
      <c r="R19" s="83"/>
      <c r="S19" s="83"/>
      <c r="T19" s="83"/>
      <c r="U19" s="83"/>
      <c r="V19" s="83"/>
      <c r="W19" s="83"/>
      <c r="X19" s="83"/>
      <c r="Y19" s="154">
        <f>'Inputs - network configuration'!Y24</f>
        <v>1.149</v>
      </c>
      <c r="Z19" s="71">
        <f>'Inputs - tariff class'!Z57</f>
        <v>0.71994784009832868</v>
      </c>
      <c r="AA19" s="46">
        <f t="shared" si="8"/>
        <v>25.943716190774634</v>
      </c>
      <c r="AB19" s="77">
        <f>'Calcs - LRIC - Asset costs'!Y60</f>
        <v>22415236.682619266</v>
      </c>
      <c r="AC19" s="853">
        <f>'Calcs - LRIC - Asset costs'!Z60</f>
        <v>45.000000000000007</v>
      </c>
      <c r="AD19" s="411">
        <f>'Inputs - network configuration'!Y48</f>
        <v>0.25</v>
      </c>
      <c r="AE19" s="855">
        <f>AB19*PMT('Inputs - network configuration'!$D$7,AC19,-1)/AA19/1000*(1-AD19)</f>
        <v>28.467229876829371</v>
      </c>
      <c r="AF19" s="289">
        <f t="shared" si="4"/>
        <v>3.7500000000000006E-2</v>
      </c>
      <c r="AG19" s="77">
        <f t="shared" si="5"/>
        <v>840571.3755982226</v>
      </c>
      <c r="AH19" s="158">
        <f t="shared" si="6"/>
        <v>32.399806157959844</v>
      </c>
      <c r="AI19" s="159">
        <f t="shared" si="7"/>
        <v>60.867036034789216</v>
      </c>
      <c r="AJ19" s="83"/>
      <c r="AK19" s="43"/>
      <c r="AL19" s="83"/>
      <c r="AM19" s="83"/>
      <c r="AN19" s="83"/>
      <c r="AO19" s="83"/>
      <c r="AP19" s="83"/>
      <c r="AQ19" s="83"/>
      <c r="AR19" s="83"/>
      <c r="AS19" s="83"/>
      <c r="AT19" s="83"/>
      <c r="AU19" s="154">
        <f>'Inputs - network configuration'!AT24</f>
        <v>1.0660000000000001</v>
      </c>
      <c r="AV19" s="71">
        <f>'Inputs - tariff class'!AU57</f>
        <v>1</v>
      </c>
      <c r="AW19" s="46">
        <f t="shared" ref="AW19:AW20" si="9">$AU$7/AU19*AV19</f>
        <v>6.73837689564066</v>
      </c>
      <c r="AX19" s="77">
        <f>'Calcs - LRIC - Asset costs'!AT60</f>
        <v>5941755.0518609416</v>
      </c>
      <c r="AY19" s="853">
        <f>'Calcs - LRIC - Asset costs'!AU60</f>
        <v>45</v>
      </c>
      <c r="AZ19" s="411">
        <f>'Inputs - network configuration'!AT48</f>
        <v>0.25</v>
      </c>
      <c r="BA19" s="855">
        <f>AX19*PMT('Inputs - network configuration'!$D$7,AY19,-1)/AW19/1000*(1-AZ19)</f>
        <v>29.053168954545669</v>
      </c>
      <c r="BB19" s="289">
        <f>K19*1.5</f>
        <v>3.7500000000000006E-2</v>
      </c>
      <c r="BC19" s="77">
        <f>BB19*AX19</f>
        <v>222815.81444478536</v>
      </c>
      <c r="BD19" s="158">
        <f>BC19/AW19/1000</f>
        <v>33.066689188747262</v>
      </c>
      <c r="BE19" s="159">
        <f>BA19+BD19</f>
        <v>62.11985814329293</v>
      </c>
      <c r="BF19" s="83"/>
      <c r="BG19" s="83"/>
      <c r="BH19" s="83"/>
    </row>
    <row r="20" spans="2:60" x14ac:dyDescent="0.2">
      <c r="B20" s="2"/>
      <c r="C20" s="24" t="s">
        <v>0</v>
      </c>
      <c r="D20" s="153">
        <f>'Inputs - network configuration'!D25</f>
        <v>1.087</v>
      </c>
      <c r="E20" s="688">
        <f>'Inputs - tariff class'!E58</f>
        <v>0.68149424643156775</v>
      </c>
      <c r="F20" s="534">
        <f t="shared" si="0"/>
        <v>283.01261313762484</v>
      </c>
      <c r="G20" s="78">
        <f>'Calcs - LRIC - Asset costs'!D61</f>
        <v>529659629.70192969</v>
      </c>
      <c r="H20" s="854">
        <f>'Calcs - LRIC - Asset costs'!E61</f>
        <v>53.331587334785667</v>
      </c>
      <c r="I20" s="412">
        <f>'Inputs - network configuration'!D49</f>
        <v>0.9</v>
      </c>
      <c r="J20" s="856">
        <f>G20*PMT('Inputs - network configuration'!$D$7,H20,-1)/F20/1000*(1-I20)</f>
        <v>7.6926265021543401</v>
      </c>
      <c r="K20" s="294">
        <f>K19</f>
        <v>2.5000000000000001E-2</v>
      </c>
      <c r="L20" s="292">
        <f t="shared" si="1"/>
        <v>13241490.742548242</v>
      </c>
      <c r="M20" s="160">
        <f t="shared" si="2"/>
        <v>46.787634641955343</v>
      </c>
      <c r="N20" s="161">
        <f t="shared" si="3"/>
        <v>54.480261144109683</v>
      </c>
      <c r="O20" s="125"/>
      <c r="P20" s="125"/>
      <c r="Q20" s="125"/>
      <c r="R20" s="125"/>
      <c r="S20" s="125"/>
      <c r="T20" s="125"/>
      <c r="U20" s="125"/>
      <c r="V20" s="125"/>
      <c r="W20" s="125"/>
      <c r="X20" s="125"/>
      <c r="Y20" s="155">
        <f>'Inputs - network configuration'!Y25</f>
        <v>1.171</v>
      </c>
      <c r="Z20" s="688">
        <f>'Inputs - tariff class'!Z58</f>
        <v>0.68559613327669255</v>
      </c>
      <c r="AA20" s="72">
        <f t="shared" si="8"/>
        <v>24.241676132075458</v>
      </c>
      <c r="AB20" s="78">
        <f>'Calcs - LRIC - Asset costs'!Y61</f>
        <v>35623367.780659564</v>
      </c>
      <c r="AC20" s="854">
        <f>'Calcs - LRIC - Asset costs'!Z61</f>
        <v>54.53782772840286</v>
      </c>
      <c r="AD20" s="412">
        <f>'Inputs - network configuration'!Y49</f>
        <v>0.9</v>
      </c>
      <c r="AE20" s="856">
        <f>AB20*PMT('Inputs - network configuration'!$D$7,AC20,-1)/AA20/1000*(1-AD20)</f>
        <v>5.9928740906806501</v>
      </c>
      <c r="AF20" s="294">
        <f t="shared" si="4"/>
        <v>3.7500000000000006E-2</v>
      </c>
      <c r="AG20" s="78">
        <f t="shared" si="5"/>
        <v>1335876.2917747339</v>
      </c>
      <c r="AH20" s="160">
        <f t="shared" si="6"/>
        <v>55.106597600615764</v>
      </c>
      <c r="AI20" s="161">
        <f t="shared" si="7"/>
        <v>61.099471691296415</v>
      </c>
      <c r="AJ20" s="125"/>
      <c r="AK20" s="126"/>
      <c r="AL20" s="125"/>
      <c r="AM20" s="125"/>
      <c r="AN20" s="125"/>
      <c r="AO20" s="125"/>
      <c r="AP20" s="125"/>
      <c r="AQ20" s="125"/>
      <c r="AR20" s="125"/>
      <c r="AS20" s="125"/>
      <c r="AT20" s="125"/>
      <c r="AU20" s="155">
        <f>'Inputs - network configuration'!AT25</f>
        <v>1.073</v>
      </c>
      <c r="AV20" s="688">
        <f>'Inputs - tariff class'!AU58</f>
        <v>0.93067633692705787</v>
      </c>
      <c r="AW20" s="72">
        <f t="shared" si="9"/>
        <v>6.2303357774364478</v>
      </c>
      <c r="AX20" s="78">
        <f>'Calcs - LRIC - Asset costs'!AT61</f>
        <v>8428227.1934468355</v>
      </c>
      <c r="AY20" s="854">
        <f>'Calcs - LRIC - Asset costs'!AU61</f>
        <v>53.331587334785659</v>
      </c>
      <c r="AZ20" s="412">
        <f>'Inputs - network configuration'!AT49</f>
        <v>0.9</v>
      </c>
      <c r="BA20" s="856">
        <f>AX20*PMT('Inputs - network configuration'!$D$7,AY20,-1)/AW20/1000*(1-AZ20)</f>
        <v>5.5604295985853414</v>
      </c>
      <c r="BB20" s="294">
        <f>BB19</f>
        <v>3.7500000000000006E-2</v>
      </c>
      <c r="BC20" s="78">
        <f>BB20*AX20</f>
        <v>316058.51975425635</v>
      </c>
      <c r="BD20" s="160">
        <f>BC20/AW20/1000</f>
        <v>50.72897048324139</v>
      </c>
      <c r="BE20" s="161">
        <f>BA20+BD20</f>
        <v>56.289400081826734</v>
      </c>
      <c r="BF20" s="125"/>
      <c r="BG20" s="125"/>
      <c r="BH20" s="125"/>
    </row>
    <row r="21" spans="2:60" x14ac:dyDescent="0.2">
      <c r="B21" s="2"/>
      <c r="D21" s="86"/>
      <c r="E21" s="86"/>
      <c r="F21" s="86"/>
      <c r="G21" s="79">
        <f>SUM(G13:G20)</f>
        <v>1835849296.540277</v>
      </c>
      <c r="H21" s="79"/>
      <c r="J21" s="79"/>
      <c r="L21" s="284">
        <f>SUM(L13:L20)</f>
        <v>39340170.073068812</v>
      </c>
      <c r="M21" s="79"/>
      <c r="N21" s="79"/>
      <c r="O21" s="86"/>
      <c r="P21" s="861"/>
      <c r="Q21" s="861"/>
      <c r="R21" s="861"/>
      <c r="S21" s="861"/>
      <c r="T21" s="861"/>
      <c r="U21" s="861"/>
      <c r="V21" s="861"/>
      <c r="W21" s="861"/>
      <c r="X21" s="861"/>
      <c r="Y21" s="86"/>
      <c r="Z21" s="86"/>
      <c r="AA21" s="689"/>
      <c r="AB21" s="690">
        <f>SUM(AB13:AB20)</f>
        <v>350491737.07739419</v>
      </c>
      <c r="AC21" s="151"/>
      <c r="AE21" s="151"/>
      <c r="AG21" s="284">
        <f>SUM(AG13:AG20)</f>
        <v>10721679.486513883</v>
      </c>
      <c r="AH21" s="151"/>
      <c r="AI21" s="151"/>
      <c r="AU21" s="86"/>
      <c r="AV21" s="86"/>
      <c r="AW21" s="689"/>
      <c r="AX21" s="690">
        <f>SUM(AX13:AX20)</f>
        <v>14369982.245307777</v>
      </c>
      <c r="AY21" s="151"/>
      <c r="BA21" s="151"/>
      <c r="BC21" s="284">
        <f>SUM(BC13:BC20)</f>
        <v>538874.33419904171</v>
      </c>
      <c r="BD21" s="151"/>
      <c r="BE21" s="151"/>
    </row>
    <row r="22" spans="2:60" x14ac:dyDescent="0.2">
      <c r="B22" s="2"/>
      <c r="D22" s="16"/>
      <c r="E22" s="16"/>
      <c r="F22" s="69"/>
      <c r="G22" s="16"/>
      <c r="H22" s="16"/>
      <c r="J22" s="283"/>
      <c r="K22" s="4" t="s">
        <v>179</v>
      </c>
      <c r="N22" s="16"/>
      <c r="O22" s="16"/>
      <c r="P22" s="16"/>
      <c r="Q22" s="16"/>
      <c r="R22" s="16"/>
      <c r="S22" s="16"/>
      <c r="T22" s="16"/>
      <c r="U22" s="16"/>
      <c r="V22" s="16"/>
      <c r="W22" s="16"/>
      <c r="X22" s="16"/>
      <c r="Y22" s="16"/>
      <c r="Z22" s="16"/>
      <c r="AA22" s="69"/>
      <c r="AB22" s="16"/>
      <c r="AC22" s="16"/>
      <c r="AD22" s="16"/>
      <c r="AE22" s="283"/>
      <c r="AF22" s="4" t="s">
        <v>179</v>
      </c>
      <c r="AG22" s="16"/>
      <c r="AH22" s="16"/>
      <c r="AI22" s="16"/>
      <c r="AJ22" s="16"/>
      <c r="AK22" s="16"/>
      <c r="AL22" s="16"/>
      <c r="AM22" s="16"/>
      <c r="AN22" s="16"/>
      <c r="AO22" s="16"/>
      <c r="AP22" s="16"/>
      <c r="AQ22" s="16"/>
      <c r="AR22" s="16"/>
      <c r="AS22" s="16"/>
      <c r="AT22" s="16"/>
      <c r="AU22" s="16"/>
      <c r="AV22" s="16"/>
      <c r="AW22" s="69"/>
      <c r="AX22" s="16"/>
      <c r="AY22" s="16"/>
      <c r="AZ22" s="16"/>
      <c r="BA22" s="283"/>
      <c r="BB22" s="4" t="s">
        <v>179</v>
      </c>
    </row>
    <row r="23" spans="2:60" x14ac:dyDescent="0.2">
      <c r="B23" s="2"/>
      <c r="D23" s="298"/>
      <c r="E23" s="298"/>
      <c r="F23" s="298"/>
      <c r="G23" s="298"/>
      <c r="H23" s="298"/>
      <c r="L23" s="80"/>
      <c r="M23" s="80"/>
      <c r="N23" s="298"/>
      <c r="O23" s="298"/>
      <c r="P23" s="298"/>
      <c r="Q23" s="298"/>
      <c r="R23" s="298"/>
      <c r="S23" s="298"/>
      <c r="T23" s="298"/>
      <c r="U23" s="298"/>
      <c r="V23" s="298"/>
      <c r="W23" s="298"/>
      <c r="X23" s="298"/>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row>
    <row r="24" spans="2:60" x14ac:dyDescent="0.2">
      <c r="C24" s="81"/>
      <c r="D24" s="80"/>
      <c r="E24" s="80"/>
      <c r="F24" s="80"/>
      <c r="G24" s="80"/>
      <c r="H24" s="80"/>
      <c r="J24" s="80"/>
      <c r="AU24" s="16"/>
    </row>
    <row r="25" spans="2:60" x14ac:dyDescent="0.2">
      <c r="AU25" s="16"/>
    </row>
  </sheetData>
  <mergeCells count="3">
    <mergeCell ref="D11:O11"/>
    <mergeCell ref="Y11:AK11"/>
    <mergeCell ref="AU11:BH11"/>
  </mergeCells>
  <pageMargins left="0.7" right="0.7" top="0.75" bottom="0.75" header="0.3" footer="0.3"/>
  <pageSetup paperSize="9" scale="29" orientation="landscape" horizontalDpi="300" verticalDpi="300" r:id="rId1"/>
  <headerFooter>
    <oddFooter>&amp;C&amp;"Arial,Bold"MODEL FOR DEMONSTRATION ONLY
The data contained in this model is for demonstration only.  Network and tariff data may not neccesarily represent the Energex network.</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Document_x0020_Section xmlns="65930c9a-4307-4bf5-9068-61a0eebb0c4e" xsi:nil="true"/>
    <Internal_x0020__x002f__x0020_Public xmlns="65930c9a-4307-4bf5-9068-61a0eebb0c4e" xsi:nil="true"/>
    <Stage xmlns="65930c9a-4307-4bf5-9068-61a0eebb0c4e" xsi:nil="true"/>
    <Responsibility xmlns="65930c9a-4307-4bf5-9068-61a0eebb0c4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72CF69EB15E147BA3769A3537F3E8C" ma:contentTypeVersion="6" ma:contentTypeDescription="Create a new document." ma:contentTypeScope="" ma:versionID="f88b757df27e13299a9d592fdb907366">
  <xsd:schema xmlns:xsd="http://www.w3.org/2001/XMLSchema" xmlns:xs="http://www.w3.org/2001/XMLSchema" xmlns:p="http://schemas.microsoft.com/office/2006/metadata/properties" xmlns:ns2="65930c9a-4307-4bf5-9068-61a0eebb0c4e" xmlns:ns3="http://schemas.microsoft.com/sharepoint/v3/fields" targetNamespace="http://schemas.microsoft.com/office/2006/metadata/properties" ma:root="true" ma:fieldsID="4e18a3f193d1ae7930018ea8f15fc6c7" ns2:_="" ns3:_="">
    <xsd:import namespace="65930c9a-4307-4bf5-9068-61a0eebb0c4e"/>
    <xsd:import namespace="http://schemas.microsoft.com/sharepoint/v3/fields"/>
    <xsd:element name="properties">
      <xsd:complexType>
        <xsd:sequence>
          <xsd:element name="documentManagement">
            <xsd:complexType>
              <xsd:all>
                <xsd:element ref="ns2:Internal_x0020__x002f__x0020_Public" minOccurs="0"/>
                <xsd:element ref="ns2:Stage" minOccurs="0"/>
                <xsd:element ref="ns2:Document_x0020_Section" minOccurs="0"/>
                <xsd:element ref="ns2:Responsibility"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930c9a-4307-4bf5-9068-61a0eebb0c4e" elementFormDefault="qualified">
    <xsd:import namespace="http://schemas.microsoft.com/office/2006/documentManagement/types"/>
    <xsd:import namespace="http://schemas.microsoft.com/office/infopath/2007/PartnerControls"/>
    <xsd:element name="Internal_x0020__x002f__x0020_Public" ma:index="8" nillable="true" ma:displayName="Internal / Public" ma:format="Dropdown" ma:internalName="Internal_x0020__x002f__x0020_Public">
      <xsd:simpleType>
        <xsd:restriction base="dms:Choice">
          <xsd:enumeration value="Internal"/>
          <xsd:enumeration value="Public"/>
        </xsd:restriction>
      </xsd:simpleType>
    </xsd:element>
    <xsd:element name="Stage" ma:index="9" nillable="true" ma:displayName="Document Type" ma:format="Dropdown" ma:internalName="Stage">
      <xsd:simpleType>
        <xsd:restriction base="dms:Choice">
          <xsd:enumeration value="Forecast"/>
          <xsd:enumeration value="Historical"/>
          <xsd:enumeration value="Regulatory documents"/>
          <xsd:enumeration value="Submitted justification documents"/>
          <xsd:enumeration value="Management"/>
          <xsd:enumeration value="Template"/>
          <xsd:enumeration value="Internal Comms"/>
          <xsd:enumeration value="Governance"/>
          <xsd:enumeration value="Decision Support"/>
          <xsd:enumeration value="Customer Communications"/>
          <xsd:enumeration value="AER communications"/>
          <xsd:enumeration value="Government Relations"/>
          <xsd:enumeration value="Preliminary Proposal"/>
        </xsd:restriction>
      </xsd:simpleType>
    </xsd:element>
    <xsd:element name="Document_x0020_Section" ma:index="10" nillable="true" ma:displayName="Audience" ma:format="Dropdown" ma:internalName="Document_x0020_Section">
      <xsd:simpleType>
        <xsd:restriction base="dms:Choice">
          <xsd:enumeration value="Project internal"/>
          <xsd:enumeration value="GM Governance Group"/>
          <xsd:enumeration value="RSSC"/>
          <xsd:enumeration value="DNSP Boards"/>
          <xsd:enumeration value="Board Regulatory Committee"/>
          <xsd:enumeration value="EQL Board"/>
          <xsd:enumeration value="Public"/>
        </xsd:restriction>
      </xsd:simpleType>
    </xsd:element>
    <xsd:element name="Responsibility" ma:index="11" nillable="true" ma:displayName="Responsibility" ma:format="Dropdown" ma:indexed="true" ma:internalName="Responsibility">
      <xsd:simpleType>
        <xsd:restriction base="dms:Choice">
          <xsd:enumeration value="Central"/>
          <xsd:enumeration value="Regulatory"/>
          <xsd:enumeration value="Customer"/>
          <xsd:enumeration value="Investment"/>
          <xsd:enumeration value="Finance"/>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12"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7DBCEF-99C2-4190-8604-DC6467C40356}">
  <ds:schemaRefs>
    <ds:schemaRef ds:uri="http://schemas.openxmlformats.org/package/2006/metadata/core-properties"/>
    <ds:schemaRef ds:uri="http://schemas.microsoft.com/office/2006/documentManagement/types"/>
    <ds:schemaRef ds:uri="http://purl.org/dc/terms/"/>
    <ds:schemaRef ds:uri="http://purl.org/dc/dcmitype/"/>
    <ds:schemaRef ds:uri="65930c9a-4307-4bf5-9068-61a0eebb0c4e"/>
    <ds:schemaRef ds:uri="http://schemas.microsoft.com/office/infopath/2007/PartnerControls"/>
    <ds:schemaRef ds:uri="http://purl.org/dc/elements/1.1/"/>
    <ds:schemaRef ds:uri="http://schemas.microsoft.com/sharepoint/v3/field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292564A4-FC1A-45E2-A7D9-4032124A3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930c9a-4307-4bf5-9068-61a0eebb0c4e"/>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4B5DE4-D781-444C-9FC2-0E69CA311D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Cover</vt:lpstr>
      <vt:lpstr>Required Inputs</vt:lpstr>
      <vt:lpstr>Model Notes</vt:lpstr>
      <vt:lpstr>Version Control</vt:lpstr>
      <vt:lpstr>Inputs - network configuration</vt:lpstr>
      <vt:lpstr>Inputs - tariff class</vt:lpstr>
      <vt:lpstr>Standard estimates</vt:lpstr>
      <vt:lpstr>Calcs - LRIC - Asset costs</vt:lpstr>
      <vt:lpstr>Calcs - LRIC - $kW by voltage</vt:lpstr>
      <vt:lpstr>Calcs - Ergon TC</vt:lpstr>
      <vt:lpstr>'Standard estimates'!Print_Area</vt:lpstr>
      <vt:lpstr>std_est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 14.009 2020-25 LRMC Model JAN19 PUBLIC</dc:title>
  <cp:lastModifiedBy>hg027</cp:lastModifiedBy>
  <cp:lastPrinted>2019-01-28T05:50:33Z</cp:lastPrinted>
  <dcterms:created xsi:type="dcterms:W3CDTF">2013-03-21T22:29:28Z</dcterms:created>
  <dcterms:modified xsi:type="dcterms:W3CDTF">2019-01-28T05:51:37Z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0x0101006672CF69EB15E147BA3769A3537F3E8C</vt:lpwstr>
  </property>
</Properties>
</file>