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S:\QldSA DX 2020-25 resets\Ergon Energy\4 Revised proposal\WEB\Models\"/>
    </mc:Choice>
  </mc:AlternateContent>
  <bookViews>
    <workbookView xWindow="2475" yWindow="1755" windowWidth="21480" windowHeight="11055"/>
  </bookViews>
  <sheets>
    <sheet name="Revised Regulatory Propos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cap_max">'[1]AER Inputs'!$D$7</definedName>
    <definedName name="cap_max1520">'[1]AER Inputs'!$K$7</definedName>
    <definedName name="cap_min">'[1]AER Inputs'!$D$8</definedName>
    <definedName name="cap_min1520">'[1]AER Inputs'!$K$8</definedName>
    <definedName name="CRY">'[2]Business &amp; other details'!$D$44</definedName>
    <definedName name="cs_max">'[1]AER Inputs'!$D$10</definedName>
    <definedName name="cs_max1520">'[1]AER Inputs'!$K$10</definedName>
    <definedName name="cs_min">'[1]AER Inputs'!$D$11</definedName>
    <definedName name="cs_min1520">'[1]AER Inputs'!$K$11</definedName>
    <definedName name="ics_max">'[1]AER Inputs'!$D$13</definedName>
    <definedName name="ics_max1520">'[1]AER Inputs'!$K$13</definedName>
    <definedName name="ics_min">'[1]AER Inputs'!$D$14</definedName>
    <definedName name="ics_min1520">'[1]AER Inputs'!$K$14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0" i="8" l="1"/>
  <c r="C87" i="8" l="1"/>
  <c r="D87" i="8"/>
  <c r="E87" i="8"/>
  <c r="F87" i="8"/>
  <c r="B87" i="8"/>
  <c r="C13" i="8"/>
  <c r="D13" i="8"/>
  <c r="E13" i="8"/>
  <c r="F13" i="8"/>
  <c r="B13" i="8"/>
  <c r="G13" i="8" s="1"/>
  <c r="I96" i="8" l="1"/>
  <c r="D26" i="8" s="1"/>
  <c r="I97" i="8"/>
  <c r="E26" i="8" s="1"/>
  <c r="I95" i="8"/>
  <c r="C26" i="8" s="1"/>
  <c r="C89" i="8"/>
  <c r="D89" i="8"/>
  <c r="E89" i="8"/>
  <c r="F89" i="8"/>
  <c r="B89" i="8"/>
  <c r="G89" i="8" s="1"/>
  <c r="D32" i="8" s="1"/>
  <c r="F2" i="8"/>
  <c r="F86" i="8" s="1"/>
  <c r="E2" i="8"/>
  <c r="E73" i="8" s="1"/>
  <c r="D2" i="8"/>
  <c r="D86" i="8" s="1"/>
  <c r="C2" i="8"/>
  <c r="C86" i="8" s="1"/>
  <c r="B2" i="8"/>
  <c r="B73" i="8" s="1"/>
  <c r="D73" i="8" l="1"/>
  <c r="F73" i="8"/>
  <c r="B86" i="8"/>
  <c r="E86" i="8"/>
  <c r="C73" i="8"/>
  <c r="M5" i="8" l="1"/>
  <c r="D34" i="8" l="1"/>
  <c r="D46" i="8"/>
  <c r="D65" i="8" s="1"/>
  <c r="E24" i="8"/>
  <c r="C23" i="8"/>
  <c r="C38" i="8" l="1"/>
  <c r="C41" i="8" s="1"/>
  <c r="D38" i="8"/>
  <c r="D41" i="8" s="1"/>
  <c r="E38" i="8"/>
  <c r="E41" i="8" s="1"/>
  <c r="D33" i="8"/>
  <c r="E11" i="8" l="1"/>
  <c r="F11" i="8"/>
  <c r="C11" i="8"/>
  <c r="B11" i="8"/>
  <c r="D11" i="8"/>
  <c r="F10" i="8"/>
  <c r="C10" i="8"/>
  <c r="D10" i="8"/>
  <c r="B10" i="8"/>
  <c r="E10" i="8"/>
  <c r="E9" i="8"/>
  <c r="F9" i="8"/>
  <c r="C9" i="8"/>
  <c r="D9" i="8"/>
  <c r="B9" i="8"/>
  <c r="E36" i="8"/>
  <c r="E40" i="8" s="1"/>
  <c r="D36" i="8"/>
  <c r="D40" i="8" s="1"/>
  <c r="C36" i="8"/>
  <c r="C40" i="8" s="1"/>
  <c r="E27" i="8"/>
  <c r="E6" i="8" l="1"/>
  <c r="D6" i="8"/>
  <c r="F6" i="8"/>
  <c r="C6" i="8"/>
  <c r="B6" i="8"/>
  <c r="C4" i="8"/>
  <c r="B4" i="8"/>
  <c r="E4" i="8"/>
  <c r="F4" i="8"/>
  <c r="D4" i="8"/>
  <c r="D5" i="8"/>
  <c r="C5" i="8"/>
  <c r="E5" i="8"/>
  <c r="F5" i="8"/>
  <c r="B5" i="8"/>
  <c r="G9" i="8"/>
  <c r="G11" i="8"/>
  <c r="G10" i="8"/>
  <c r="B54" i="8" l="1"/>
  <c r="B57" i="8"/>
  <c r="B60" i="8"/>
  <c r="E29" i="8"/>
  <c r="G6" i="8"/>
  <c r="G5" i="8"/>
  <c r="G4" i="8"/>
  <c r="D23" i="8"/>
  <c r="E23" i="8" s="1"/>
  <c r="B53" i="8" l="1"/>
  <c r="B56" i="8"/>
  <c r="B59" i="8"/>
  <c r="E28" i="8"/>
  <c r="E21" i="8" s="1"/>
  <c r="E20" i="8"/>
  <c r="D48" i="8" l="1"/>
  <c r="D47" i="8"/>
  <c r="D24" i="8"/>
  <c r="C24" i="8"/>
  <c r="C27" i="8"/>
  <c r="D27" i="8" l="1"/>
  <c r="B66" i="8" l="1"/>
  <c r="C66" i="8" s="1"/>
  <c r="D66" i="8" s="1"/>
  <c r="B62" i="8" l="1"/>
  <c r="D20" i="8" l="1"/>
  <c r="C20" i="8" l="1"/>
  <c r="C46" i="8"/>
  <c r="C65" i="8" s="1"/>
  <c r="B46" i="8"/>
  <c r="B65" i="8" s="1"/>
  <c r="D29" i="8" l="1"/>
  <c r="C29" i="8"/>
  <c r="C28" i="8" l="1"/>
  <c r="C21" i="8" s="1"/>
  <c r="D28" i="8"/>
  <c r="C47" i="8" l="1"/>
  <c r="D21" i="8"/>
  <c r="B47" i="8" l="1"/>
  <c r="B48" i="8"/>
  <c r="C48" i="8"/>
</calcChain>
</file>

<file path=xl/sharedStrings.xml><?xml version="1.0" encoding="utf-8"?>
<sst xmlns="http://schemas.openxmlformats.org/spreadsheetml/2006/main" count="88" uniqueCount="65">
  <si>
    <t>SAIDI</t>
  </si>
  <si>
    <t>Unplanned SAIDI - CBD</t>
  </si>
  <si>
    <t>Unplanned SAIDI - urban</t>
  </si>
  <si>
    <t>Unplanned SAIDI - short rural</t>
  </si>
  <si>
    <t>Unplanned SAIDI - long rural</t>
  </si>
  <si>
    <t>Unplanned SAIFI - CBD</t>
  </si>
  <si>
    <t>Unplanned SAIFI - urban</t>
  </si>
  <si>
    <t>Unplanned SAIFI - short rural</t>
  </si>
  <si>
    <t>Unplanned SAIFI - long rural</t>
  </si>
  <si>
    <t>Telephone answering parameter (measured as a percentage in STPIS)</t>
  </si>
  <si>
    <t>Measure</t>
  </si>
  <si>
    <t>Urban</t>
  </si>
  <si>
    <t>Output parmaeters</t>
  </si>
  <si>
    <t>ir - SAIDI</t>
  </si>
  <si>
    <t>ir - SAIFI</t>
  </si>
  <si>
    <t>Input parameters</t>
  </si>
  <si>
    <t>VCR</t>
  </si>
  <si>
    <t>CPI</t>
  </si>
  <si>
    <t>w_n</t>
  </si>
  <si>
    <t>C_n</t>
  </si>
  <si>
    <t>R</t>
  </si>
  <si>
    <t>SAIFI</t>
  </si>
  <si>
    <t>Smoothed MAR</t>
  </si>
  <si>
    <t>Output tables</t>
  </si>
  <si>
    <t>value</t>
  </si>
  <si>
    <t>Telephone answering</t>
  </si>
  <si>
    <t>Percentage of calls will be answered within 30 seconds</t>
  </si>
  <si>
    <t>Table 3</t>
  </si>
  <si>
    <t>Short rural</t>
  </si>
  <si>
    <t>Targets</t>
  </si>
  <si>
    <t>Index Numbers All groups CPI</t>
  </si>
  <si>
    <t>Source: ABS</t>
  </si>
  <si>
    <t>Escalation</t>
  </si>
  <si>
    <t>Long rural</t>
  </si>
  <si>
    <t>SAIDI proportion</t>
  </si>
  <si>
    <t>SAIFI proportion</t>
  </si>
  <si>
    <t>Adj required to 2025-25 RCP reliability targets due to R@R cap for 2015/16 SAIDI</t>
  </si>
  <si>
    <t>Adj required to 2025-25 RCP reliability targets due to R@R cap for 2015/16 SAIFI</t>
  </si>
  <si>
    <t>%above cap exlcuding telephone answering</t>
  </si>
  <si>
    <t>Table 1 incentive rates</t>
  </si>
  <si>
    <t>Table 2 targets</t>
  </si>
  <si>
    <t>from final decision</t>
  </si>
  <si>
    <t>Adj required to 2025-25 RCP reliability targets due to R@R</t>
  </si>
  <si>
    <t>performance over the cap</t>
  </si>
  <si>
    <t>Reliability cap</t>
  </si>
  <si>
    <t>sum of the raw s-factors for the relaibility of supply parameters</t>
  </si>
  <si>
    <t>.</t>
  </si>
  <si>
    <t>5 years (2014/15 to 2018/19)</t>
  </si>
  <si>
    <t>incentive in current period final decision (2015/20 SAIDI IR)</t>
  </si>
  <si>
    <t>incentive in current period final decision (2015/20 SAIFI IR)</t>
  </si>
  <si>
    <t>FORECAST ENERGY CONSUMPTION BY NETWORK TYPE</t>
  </si>
  <si>
    <t>Network Type</t>
  </si>
  <si>
    <t>Source</t>
  </si>
  <si>
    <t xml:space="preserve"> URBAN</t>
  </si>
  <si>
    <t xml:space="preserve"> SHORT RURAL</t>
  </si>
  <si>
    <t xml:space="preserve"> LONG RURAL</t>
  </si>
  <si>
    <t>5 Year Average MWH</t>
  </si>
  <si>
    <t>2020-21</t>
  </si>
  <si>
    <t>2021-22</t>
  </si>
  <si>
    <t>2022-23</t>
  </si>
  <si>
    <t>2023-24</t>
  </si>
  <si>
    <t>2024-25</t>
  </si>
  <si>
    <t>Cumulative</t>
  </si>
  <si>
    <t>Backcasted  data Actual Data (Exclude &lt;= 3min Momentary)</t>
  </si>
  <si>
    <t>S-Factor (DRAFT Ergon Energy - STPIS Compliance Model 201819.xlsx)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</si>
</sst>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0.000"/>
    <numFmt numFmtId="167" formatCode="0.0000"/>
    <numFmt numFmtId="168" formatCode="0.000000"/>
    <numFmt numFmtId="169" formatCode="_-* #,##0_-;\-* #,##0_-;_-* &quot;-&quot;??_-;_-@_-"/>
    <numFmt numFmtId="170" formatCode="#,##0.000"/>
    <numFmt numFmtId="171" formatCode="#,##0.0000"/>
    <numFmt numFmtId="172" formatCode="0.00000"/>
    <numFmt numFmtId="173" formatCode="0.0;\-0.0;0.0;@"/>
    <numFmt numFmtId="174" formatCode="0.0000%"/>
    <numFmt numFmtId="175" formatCode="0.00;\-0.00;\-;@"/>
    <numFmt numFmtId="176" formatCode="0.000;\-0.000;\-;@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rgb="FF006100"/>
      <name val="Calibri"/>
      <family val="2"/>
      <scheme val="minor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rgb="FF006100"/>
      <name val="Arial"/>
      <family val="2"/>
    </font>
    <font>
      <b/>
      <sz val="8"/>
      <color rgb="FFFFFFFF"/>
      <name val="Arial"/>
      <family val="2"/>
    </font>
    <font>
      <b/>
      <sz val="8"/>
      <color rgb="FF170017"/>
      <name val="Arial"/>
      <family val="2"/>
    </font>
    <font>
      <sz val="8"/>
      <color rgb="FF170017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Helvetica"/>
      <family val="2"/>
    </font>
    <font>
      <b/>
      <sz val="10"/>
      <name val="Calibri"/>
      <family val="2"/>
      <scheme val="minor"/>
    </font>
    <font>
      <sz val="10"/>
      <color theme="4"/>
      <name val="Helvetica"/>
      <family val="2"/>
    </font>
    <font>
      <sz val="10"/>
      <color theme="4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sz val="10"/>
      <color theme="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6EFCE"/>
      </patternFill>
    </fill>
    <fill>
      <patternFill patternType="solid">
        <fgColor indexed="9"/>
        <bgColor indexed="64"/>
      </patternFill>
    </fill>
    <fill>
      <patternFill patternType="solid">
        <fgColor rgb="FF365F91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5" fillId="4" borderId="0" applyNumberFormat="0" applyBorder="0" applyAlignment="0" applyProtection="0"/>
    <xf numFmtId="0" fontId="1" fillId="5" borderId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10" borderId="0" applyNumberFormat="0" applyBorder="0" applyAlignment="0" applyProtection="0"/>
    <xf numFmtId="0" fontId="20" fillId="0" borderId="0" applyFill="0" applyBorder="0">
      <alignment horizontal="left" vertical="center"/>
    </xf>
    <xf numFmtId="0" fontId="22" fillId="12" borderId="4">
      <alignment horizontal="left" vertical="center"/>
      <protection locked="0"/>
    </xf>
    <xf numFmtId="0" fontId="25" fillId="0" borderId="0" applyFill="0" applyBorder="0">
      <alignment vertical="center"/>
    </xf>
    <xf numFmtId="0" fontId="27" fillId="0" borderId="0"/>
    <xf numFmtId="0" fontId="16" fillId="0" borderId="0"/>
    <xf numFmtId="0" fontId="16" fillId="0" borderId="0"/>
    <xf numFmtId="0" fontId="23" fillId="12" borderId="4">
      <alignment horizontal="left" vertical="center"/>
      <protection locked="0"/>
    </xf>
    <xf numFmtId="37" fontId="1" fillId="0" borderId="0">
      <alignment horizontal="right"/>
    </xf>
  </cellStyleXfs>
  <cellXfs count="10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Fill="1" applyBorder="1" applyProtection="1">
      <protection locked="0"/>
    </xf>
    <xf numFmtId="0" fontId="10" fillId="0" borderId="0" xfId="0" applyFont="1"/>
    <xf numFmtId="167" fontId="2" fillId="3" borderId="0" xfId="0" applyNumberFormat="1" applyFont="1" applyFill="1" applyBorder="1" applyProtection="1">
      <protection locked="0"/>
    </xf>
    <xf numFmtId="0" fontId="11" fillId="0" borderId="0" xfId="0" applyFont="1"/>
    <xf numFmtId="165" fontId="9" fillId="0" borderId="0" xfId="0" applyNumberFormat="1" applyFont="1"/>
    <xf numFmtId="0" fontId="4" fillId="0" borderId="0" xfId="0" applyFont="1"/>
    <xf numFmtId="168" fontId="12" fillId="4" borderId="0" xfId="4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2" borderId="0" xfId="0" applyFont="1" applyFill="1" applyAlignment="1">
      <alignment horizontal="right"/>
    </xf>
    <xf numFmtId="164" fontId="2" fillId="2" borderId="0" xfId="1" applyFont="1" applyFill="1" applyAlignment="1">
      <alignment horizontal="right"/>
    </xf>
    <xf numFmtId="4" fontId="2" fillId="2" borderId="0" xfId="0" applyNumberFormat="1" applyFont="1" applyFill="1" applyAlignment="1">
      <alignment horizontal="right"/>
    </xf>
    <xf numFmtId="10" fontId="2" fillId="2" borderId="0" xfId="0" applyNumberFormat="1" applyFont="1" applyFill="1" applyAlignment="1">
      <alignment horizontal="right"/>
    </xf>
    <xf numFmtId="3" fontId="2" fillId="2" borderId="0" xfId="0" applyNumberFormat="1" applyFont="1" applyFill="1" applyAlignment="1">
      <alignment horizontal="right"/>
    </xf>
    <xf numFmtId="169" fontId="2" fillId="2" borderId="0" xfId="1" applyNumberFormat="1" applyFont="1" applyFill="1" applyAlignment="1">
      <alignment horizontal="right"/>
    </xf>
    <xf numFmtId="2" fontId="2" fillId="2" borderId="0" xfId="0" applyNumberFormat="1" applyFont="1" applyFill="1" applyAlignment="1">
      <alignment horizontal="right"/>
    </xf>
    <xf numFmtId="0" fontId="6" fillId="0" borderId="0" xfId="0" applyFont="1"/>
    <xf numFmtId="0" fontId="13" fillId="6" borderId="0" xfId="0" applyFont="1" applyFill="1" applyAlignment="1">
      <alignment horizontal="center" vertical="center" wrapText="1"/>
    </xf>
    <xf numFmtId="0" fontId="13" fillId="6" borderId="0" xfId="0" applyFont="1" applyFill="1" applyAlignment="1">
      <alignment horizontal="right" vertical="center" wrapText="1"/>
    </xf>
    <xf numFmtId="0" fontId="3" fillId="6" borderId="0" xfId="0" applyFont="1" applyFill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10" fillId="2" borderId="0" xfId="0" applyFont="1" applyFill="1"/>
    <xf numFmtId="0" fontId="14" fillId="0" borderId="0" xfId="0" applyFont="1" applyFill="1" applyAlignment="1">
      <alignment vertical="center" wrapText="1"/>
    </xf>
    <xf numFmtId="0" fontId="10" fillId="0" borderId="0" xfId="0" applyFont="1" applyFill="1"/>
    <xf numFmtId="0" fontId="3" fillId="0" borderId="0" xfId="0" applyFont="1" applyFill="1" applyAlignment="1">
      <alignment vertical="center" wrapText="1"/>
    </xf>
    <xf numFmtId="0" fontId="0" fillId="0" borderId="0" xfId="0" applyFill="1"/>
    <xf numFmtId="0" fontId="15" fillId="0" borderId="0" xfId="0" applyFont="1" applyFill="1" applyAlignment="1">
      <alignment vertical="center" wrapText="1"/>
    </xf>
    <xf numFmtId="0" fontId="8" fillId="7" borderId="0" xfId="0" applyFont="1" applyFill="1" applyProtection="1">
      <protection locked="0"/>
    </xf>
    <xf numFmtId="0" fontId="8" fillId="7" borderId="0" xfId="0" applyFon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>
      <alignment vertical="center" wrapText="1"/>
    </xf>
    <xf numFmtId="0" fontId="0" fillId="0" borderId="2" xfId="0" applyBorder="1"/>
    <xf numFmtId="170" fontId="2" fillId="0" borderId="0" xfId="0" applyNumberFormat="1" applyFont="1" applyFill="1" applyBorder="1" applyProtection="1">
      <protection locked="0"/>
    </xf>
    <xf numFmtId="171" fontId="3" fillId="0" borderId="0" xfId="0" applyNumberFormat="1" applyFont="1"/>
    <xf numFmtId="171" fontId="2" fillId="0" borderId="0" xfId="0" applyNumberFormat="1" applyFont="1" applyFill="1" applyBorder="1" applyProtection="1">
      <protection locked="0"/>
    </xf>
    <xf numFmtId="171" fontId="2" fillId="3" borderId="0" xfId="0" applyNumberFormat="1" applyFont="1" applyFill="1" applyBorder="1" applyProtection="1">
      <protection locked="0"/>
    </xf>
    <xf numFmtId="171" fontId="7" fillId="3" borderId="0" xfId="5" applyNumberFormat="1" applyFont="1" applyFill="1" applyBorder="1" applyAlignment="1" applyProtection="1">
      <alignment horizontal="right" vertical="center" wrapText="1"/>
    </xf>
    <xf numFmtId="0" fontId="0" fillId="0" borderId="0" xfId="0" applyBorder="1"/>
    <xf numFmtId="172" fontId="12" fillId="4" borderId="0" xfId="4" applyNumberFormat="1" applyFont="1" applyAlignment="1">
      <alignment horizontal="right"/>
    </xf>
    <xf numFmtId="172" fontId="3" fillId="0" borderId="0" xfId="0" applyNumberFormat="1" applyFont="1" applyFill="1" applyAlignment="1">
      <alignment horizontal="right" vertical="center" wrapText="1"/>
    </xf>
    <xf numFmtId="43" fontId="3" fillId="0" borderId="1" xfId="6" applyFont="1" applyFill="1" applyBorder="1" applyAlignment="1">
      <alignment vertical="center" wrapText="1"/>
    </xf>
    <xf numFmtId="166" fontId="3" fillId="0" borderId="0" xfId="0" applyNumberFormat="1" applyFont="1" applyFill="1" applyAlignment="1">
      <alignment horizontal="right" vertical="center" wrapText="1"/>
    </xf>
    <xf numFmtId="170" fontId="9" fillId="0" borderId="0" xfId="0" applyNumberFormat="1" applyFont="1" applyFill="1" applyBorder="1" applyAlignment="1" applyProtection="1">
      <alignment horizontal="right"/>
      <protection locked="0"/>
    </xf>
    <xf numFmtId="170" fontId="9" fillId="0" borderId="0" xfId="0" applyNumberFormat="1" applyFont="1" applyFill="1" applyBorder="1" applyProtection="1">
      <protection locked="0"/>
    </xf>
    <xf numFmtId="0" fontId="4" fillId="0" borderId="0" xfId="0" applyFont="1" applyBorder="1"/>
    <xf numFmtId="0" fontId="3" fillId="0" borderId="0" xfId="0" applyFont="1" applyBorder="1"/>
    <xf numFmtId="17" fontId="3" fillId="0" borderId="0" xfId="0" applyNumberFormat="1" applyFont="1" applyBorder="1" applyAlignment="1">
      <alignment horizontal="left"/>
    </xf>
    <xf numFmtId="173" fontId="2" fillId="0" borderId="0" xfId="0" applyNumberFormat="1" applyFont="1" applyFill="1" applyBorder="1" applyAlignment="1"/>
    <xf numFmtId="17" fontId="3" fillId="0" borderId="0" xfId="0" applyNumberFormat="1" applyFont="1" applyFill="1" applyBorder="1" applyAlignment="1">
      <alignment horizontal="left"/>
    </xf>
    <xf numFmtId="10" fontId="2" fillId="0" borderId="0" xfId="7" applyNumberFormat="1" applyFont="1" applyFill="1" applyBorder="1" applyAlignment="1"/>
    <xf numFmtId="0" fontId="17" fillId="0" borderId="0" xfId="0" applyFont="1" applyBorder="1"/>
    <xf numFmtId="170" fontId="9" fillId="0" borderId="0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43" fontId="2" fillId="0" borderId="0" xfId="6" applyFont="1"/>
    <xf numFmtId="4" fontId="8" fillId="7" borderId="0" xfId="0" applyNumberFormat="1" applyFont="1" applyFill="1" applyBorder="1" applyAlignment="1" applyProtection="1">
      <alignment horizontal="right"/>
      <protection locked="0"/>
    </xf>
    <xf numFmtId="2" fontId="3" fillId="0" borderId="0" xfId="7" applyNumberFormat="1" applyFont="1"/>
    <xf numFmtId="2" fontId="3" fillId="0" borderId="1" xfId="0" applyNumberFormat="1" applyFont="1" applyFill="1" applyBorder="1" applyAlignment="1">
      <alignment horizontal="right" vertical="center" wrapText="1"/>
    </xf>
    <xf numFmtId="167" fontId="2" fillId="2" borderId="0" xfId="0" applyNumberFormat="1" applyFont="1" applyFill="1" applyBorder="1" applyProtection="1">
      <protection locked="0"/>
    </xf>
    <xf numFmtId="168" fontId="9" fillId="0" borderId="0" xfId="0" applyNumberFormat="1" applyFont="1"/>
    <xf numFmtId="10" fontId="3" fillId="0" borderId="0" xfId="7" applyNumberFormat="1" applyFont="1"/>
    <xf numFmtId="10" fontId="2" fillId="2" borderId="0" xfId="7" applyNumberFormat="1" applyFont="1" applyFill="1" applyBorder="1" applyProtection="1">
      <protection locked="0"/>
    </xf>
    <xf numFmtId="10" fontId="0" fillId="0" borderId="0" xfId="0" applyNumberFormat="1"/>
    <xf numFmtId="10" fontId="9" fillId="0" borderId="0" xfId="0" applyNumberFormat="1" applyFont="1"/>
    <xf numFmtId="167" fontId="2" fillId="0" borderId="0" xfId="7" applyNumberFormat="1" applyFont="1"/>
    <xf numFmtId="10" fontId="3" fillId="8" borderId="0" xfId="7" applyNumberFormat="1" applyFont="1" applyFill="1"/>
    <xf numFmtId="2" fontId="3" fillId="8" borderId="0" xfId="7" applyNumberFormat="1" applyFont="1" applyFill="1"/>
    <xf numFmtId="170" fontId="9" fillId="8" borderId="0" xfId="0" applyNumberFormat="1" applyFont="1" applyFill="1" applyBorder="1" applyProtection="1">
      <protection locked="0"/>
    </xf>
    <xf numFmtId="0" fontId="2" fillId="0" borderId="0" xfId="2" applyFont="1" applyFill="1" applyBorder="1" applyProtection="1">
      <protection locked="0"/>
    </xf>
    <xf numFmtId="10" fontId="6" fillId="0" borderId="3" xfId="8" applyNumberFormat="1" applyFont="1" applyFill="1" applyBorder="1" applyProtection="1"/>
    <xf numFmtId="10" fontId="2" fillId="0" borderId="3" xfId="8" applyNumberFormat="1" applyFont="1" applyFill="1" applyBorder="1" applyProtection="1"/>
    <xf numFmtId="10" fontId="3" fillId="9" borderId="0" xfId="7" applyNumberFormat="1" applyFont="1" applyFill="1"/>
    <xf numFmtId="0" fontId="19" fillId="11" borderId="0" xfId="9" applyFont="1" applyFill="1" applyBorder="1" applyAlignment="1">
      <alignment horizontal="left" vertical="center"/>
    </xf>
    <xf numFmtId="175" fontId="23" fillId="12" borderId="5" xfId="11" applyNumberFormat="1" applyFont="1" applyBorder="1" applyAlignment="1">
      <alignment horizontal="center" vertical="center"/>
      <protection locked="0"/>
    </xf>
    <xf numFmtId="176" fontId="23" fillId="12" borderId="5" xfId="11" applyNumberFormat="1" applyFont="1" applyBorder="1" applyAlignment="1">
      <alignment horizontal="center" vertical="center"/>
      <protection locked="0"/>
    </xf>
    <xf numFmtId="0" fontId="2" fillId="0" borderId="0" xfId="2" applyFont="1" applyFill="1" applyBorder="1" applyAlignment="1" applyProtection="1">
      <alignment wrapText="1"/>
      <protection locked="0"/>
    </xf>
    <xf numFmtId="4" fontId="21" fillId="0" borderId="1" xfId="10" applyNumberFormat="1" applyFont="1" applyBorder="1" applyAlignment="1">
      <alignment horizontal="center" wrapText="1"/>
    </xf>
    <xf numFmtId="174" fontId="2" fillId="0" borderId="0" xfId="7" applyNumberFormat="1" applyFont="1"/>
    <xf numFmtId="174" fontId="9" fillId="0" borderId="0" xfId="7" applyNumberFormat="1" applyFont="1"/>
    <xf numFmtId="170" fontId="3" fillId="13" borderId="0" xfId="0" applyNumberFormat="1" applyFont="1" applyFill="1"/>
    <xf numFmtId="3" fontId="24" fillId="0" borderId="0" xfId="10" applyNumberFormat="1" applyFont="1" applyBorder="1" applyAlignment="1">
      <alignment horizontal="center" vertical="center"/>
    </xf>
    <xf numFmtId="0" fontId="3" fillId="0" borderId="0" xfId="13" applyFont="1"/>
    <xf numFmtId="0" fontId="16" fillId="0" borderId="0" xfId="14" applyAlignment="1">
      <alignment vertical="center"/>
    </xf>
    <xf numFmtId="0" fontId="16" fillId="0" borderId="0" xfId="15" applyAlignment="1">
      <alignment vertical="center"/>
    </xf>
    <xf numFmtId="0" fontId="26" fillId="0" borderId="1" xfId="10" applyFont="1" applyBorder="1" applyAlignment="1">
      <alignment horizontal="left"/>
    </xf>
    <xf numFmtId="0" fontId="21" fillId="0" borderId="1" xfId="10" applyFont="1" applyBorder="1" applyAlignment="1">
      <alignment horizontal="center" vertical="center" wrapText="1"/>
    </xf>
    <xf numFmtId="0" fontId="21" fillId="0" borderId="6" xfId="10" applyFont="1" applyBorder="1" applyAlignment="1">
      <alignment horizontal="center" vertical="center" wrapText="1"/>
    </xf>
    <xf numFmtId="0" fontId="23" fillId="12" borderId="4" xfId="16" applyFill="1">
      <alignment horizontal="left" vertical="center"/>
      <protection locked="0"/>
    </xf>
    <xf numFmtId="0" fontId="23" fillId="12" borderId="4" xfId="16">
      <alignment horizontal="left" vertical="center"/>
      <protection locked="0"/>
    </xf>
    <xf numFmtId="3" fontId="23" fillId="12" borderId="5" xfId="11" applyNumberFormat="1" applyFont="1" applyBorder="1" applyAlignment="1">
      <alignment horizontal="center" vertical="center"/>
      <protection locked="0"/>
    </xf>
    <xf numFmtId="0" fontId="26" fillId="0" borderId="2" xfId="12" applyFont="1" applyBorder="1" applyAlignment="1" applyProtection="1">
      <alignment horizontal="left" vertical="center"/>
    </xf>
    <xf numFmtId="3" fontId="25" fillId="0" borderId="2" xfId="17" applyNumberFormat="1" applyFont="1" applyBorder="1" applyAlignment="1" applyProtection="1">
      <alignment horizontal="center" vertical="center"/>
    </xf>
    <xf numFmtId="172" fontId="3" fillId="13" borderId="0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166" fontId="0" fillId="0" borderId="0" xfId="0" applyNumberFormat="1"/>
    <xf numFmtId="175" fontId="0" fillId="0" borderId="0" xfId="0" applyNumberFormat="1"/>
    <xf numFmtId="167" fontId="0" fillId="0" borderId="0" xfId="0" applyNumberFormat="1"/>
    <xf numFmtId="4" fontId="2" fillId="13" borderId="0" xfId="0" applyNumberFormat="1" applyFont="1" applyFill="1" applyBorder="1" applyProtection="1">
      <protection locked="0"/>
    </xf>
    <xf numFmtId="4" fontId="3" fillId="13" borderId="0" xfId="0" applyNumberFormat="1" applyFont="1" applyFill="1"/>
    <xf numFmtId="4" fontId="7" fillId="13" borderId="0" xfId="5" applyNumberFormat="1" applyFont="1" applyFill="1" applyBorder="1" applyAlignment="1" applyProtection="1">
      <alignment horizontal="right" vertical="center" wrapText="1"/>
    </xf>
    <xf numFmtId="170" fontId="2" fillId="13" borderId="0" xfId="0" applyNumberFormat="1" applyFont="1" applyFill="1" applyBorder="1" applyProtection="1">
      <protection locked="0"/>
    </xf>
    <xf numFmtId="43" fontId="2" fillId="9" borderId="0" xfId="6" applyFont="1" applyFill="1"/>
    <xf numFmtId="0" fontId="23" fillId="12" borderId="7" xfId="16" applyBorder="1" applyAlignment="1">
      <alignment horizontal="center" vertical="center" wrapText="1"/>
      <protection locked="0"/>
    </xf>
  </cellXfs>
  <cellStyles count="18">
    <cellStyle name="Accent1" xfId="9" builtinId="29"/>
    <cellStyle name="Comma" xfId="6" builtinId="3"/>
    <cellStyle name="Comma 2" xfId="1"/>
    <cellStyle name="Currency 2" xfId="3"/>
    <cellStyle name="Good" xfId="4" builtinId="26"/>
    <cellStyle name="Heading 3 Output" xfId="10"/>
    <cellStyle name="Heading 4 Assumptions" xfId="16"/>
    <cellStyle name="Heading 4 Assumptions 2" xfId="11"/>
    <cellStyle name="Heading 4 Output" xfId="12"/>
    <cellStyle name="Normal" xfId="0" builtinId="0"/>
    <cellStyle name="Normal 11 6" xfId="15"/>
    <cellStyle name="Normal 123 2" xfId="14"/>
    <cellStyle name="Normal 146" xfId="13"/>
    <cellStyle name="Normal 2" xfId="2"/>
    <cellStyle name="Normal_2010 07 28 - AA - Template for data collection" xfId="5"/>
    <cellStyle name="Number 3" xfId="17"/>
    <cellStyle name="Percent" xfId="7" builtinId="5"/>
    <cellStyle name="Percent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m106\AppData\Local\Microsoft\Windows\INetCache\Content.Outlook\SZ9S8Q3L\FINAL%20Ergon%20Energy%20-%20STPIS%20Compliance%20Model%202017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ER/STPIS%20annual%20compliance/NSW%20QLD%20SA%20TAS%202017-18/Ergon/Final%20model%20to%20DB%2013%20Mar%2019/Ergon%202016-17%20Annual%20RIN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Projects\__AER\AER%20Reset%202020-25\2020_25%20AER%20RESET\2019.10%20Draft%20Descisions\2019.10.16%20-%20STPIS%20Models\Ergon\FINAL%20Ergon%20Energy%20-%20STPIS%20Compliance%20Model%202018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Projects\__AER\AER%20Reset%202020-25\2020_25%20AER%20RESET\2019.10%20Draft%20Descisions\2019.10.16%20-%20STPIS%20Models\Ergon\DRAFT%20Ergon%20Energy%20-%20STPIS%20Compliance%20Model%202018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ER2020%20Project\Modelling\Revised%20Regulatory%20Proposal\Final\Standard%20Control\Ergon\Ergon%20Energy%202020-25%20-%20Revised%20Regulatory%20Proposal%20-%20PTRM_OH%20-%20December%202019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-18 Telephone Answering"/>
      <sheetName val="2017-18 Major Event Days"/>
      <sheetName val="2017-18 Daily Performance "/>
      <sheetName val="AER Inputs"/>
      <sheetName val="S-factor"/>
      <sheetName val="Actual Performance"/>
      <sheetName val="2016-17 Daily Performance"/>
      <sheetName val="2016-17 Major Event Days"/>
      <sheetName val="2016-17 Telephone Answering"/>
      <sheetName val="2015-16 Daily Performance"/>
      <sheetName val="STPIS Performance Calculations"/>
      <sheetName val="Overlap between reg periods"/>
      <sheetName val="2015-16 Major Event Days"/>
      <sheetName val="2015-16 Telephone Answering"/>
      <sheetName val="Customer numbers"/>
      <sheetName val="2014-15 Telephone Answering"/>
      <sheetName val="2014-15 Major Event Days"/>
      <sheetName val="2014-15 Daily Performance "/>
      <sheetName val="2014-15 STPIS Exclusions"/>
      <sheetName val="2013-14 STPIS Exclusions"/>
      <sheetName val="2013-14 Major Event Days"/>
      <sheetName val="2013-14 Daily Performance Data"/>
      <sheetName val="2013-14 Telephone Answering"/>
      <sheetName val="2012-13 STPIS Exclusions"/>
      <sheetName val="2012-13 Major Event Days"/>
      <sheetName val="2012-13 Daily Performance Data"/>
      <sheetName val="2012-13 Telephone Answering"/>
      <sheetName val="2011-12 Major Event Days"/>
      <sheetName val="2011-12 Daily Performance Data"/>
      <sheetName val="2011-12 Telephone Answering"/>
      <sheetName val="2011-12 STPIS Exclusions"/>
    </sheetNames>
    <sheetDataSet>
      <sheetData sheetId="0"/>
      <sheetData sheetId="1"/>
      <sheetData sheetId="2"/>
      <sheetData sheetId="3">
        <row r="7">
          <cell r="D7">
            <v>0.02</v>
          </cell>
          <cell r="K7">
            <v>0.02</v>
          </cell>
        </row>
        <row r="8">
          <cell r="D8">
            <v>-0.02</v>
          </cell>
          <cell r="K8">
            <v>-0.02</v>
          </cell>
        </row>
        <row r="10">
          <cell r="D10">
            <v>0.01</v>
          </cell>
          <cell r="K10">
            <v>0.01</v>
          </cell>
        </row>
        <row r="11">
          <cell r="D11">
            <v>-0.01</v>
          </cell>
          <cell r="K11">
            <v>-0.01</v>
          </cell>
        </row>
        <row r="13">
          <cell r="D13">
            <v>2E-3</v>
          </cell>
          <cell r="K13">
            <v>2E-3</v>
          </cell>
        </row>
        <row r="14">
          <cell r="D14">
            <v>-2E-3</v>
          </cell>
          <cell r="K14">
            <v>-2E-3</v>
          </cell>
        </row>
      </sheetData>
      <sheetData sheetId="4"/>
      <sheetData sheetId="5">
        <row r="10">
          <cell r="C10">
            <v>122</v>
          </cell>
        </row>
      </sheetData>
      <sheetData sheetId="6"/>
      <sheetData sheetId="7"/>
      <sheetData sheetId="8"/>
      <sheetData sheetId="9"/>
      <sheetData sheetId="10"/>
      <sheetData sheetId="11">
        <row r="5">
          <cell r="C5">
            <v>2.0004038010837499E-2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only"/>
      <sheetName val="Contents"/>
      <sheetName val="Instructions"/>
      <sheetName val="Business &amp; other details"/>
      <sheetName val="2.11 Labour"/>
      <sheetName val="3.6 Quality of services"/>
      <sheetName val="3.6.8 Network-feeders"/>
      <sheetName val="3.6.9 Network-reliability"/>
      <sheetName val="4.1 Public lighting"/>
      <sheetName val="6.2 STPIS Reliability"/>
      <sheetName val="6.6 STPIS Customer Service"/>
      <sheetName val="6.7 STPIS Daily Performance"/>
      <sheetName val="6.8 STPIS Exclusions"/>
      <sheetName val="6.9 STPIS - GSL"/>
      <sheetName val="7.8 Avoided TUOS Payments"/>
      <sheetName val="7.10 Juris Scheme"/>
      <sheetName val="7.11 DMIS-DMIA"/>
      <sheetName val="7.12 Safety and Bushfire"/>
      <sheetName val="7.13 TARC"/>
      <sheetName val="8.1 Income"/>
      <sheetName val="8.2 Capex"/>
      <sheetName val="8.4 Opex"/>
      <sheetName val="9.5 TUoS"/>
      <sheetName val="unlocked"/>
    </sheetNames>
    <sheetDataSet>
      <sheetData sheetId="0"/>
      <sheetData sheetId="1"/>
      <sheetData sheetId="2"/>
      <sheetData sheetId="3">
        <row r="14">
          <cell r="D14" t="str">
            <v>Ergon Energy</v>
          </cell>
        </row>
        <row r="44">
          <cell r="D44" t="str">
            <v>2016-17</v>
          </cell>
        </row>
      </sheetData>
      <sheetData sheetId="4"/>
      <sheetData sheetId="5"/>
      <sheetData sheetId="6"/>
      <sheetData sheetId="7"/>
      <sheetData sheetId="8"/>
      <sheetData sheetId="9">
        <row r="94">
          <cell r="D94">
            <v>213300</v>
          </cell>
        </row>
      </sheetData>
      <sheetData sheetId="10"/>
      <sheetData sheetId="11">
        <row r="16">
          <cell r="C16">
            <v>190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Inputs"/>
      <sheetName val="Actual Performance"/>
      <sheetName val="S-factor"/>
      <sheetName val="Overlap between reg periods"/>
      <sheetName val="Customer numbers"/>
      <sheetName val="2018-19 Daily Performance"/>
      <sheetName val="2017-18 Daily Performance"/>
      <sheetName val="2016-17 Daily Performance"/>
      <sheetName val="2018-19 Major Event Days"/>
      <sheetName val="2017-18 Major Event Days"/>
      <sheetName val="2016-17 Major Event Days"/>
      <sheetName val="2018-19 Telephone Answering"/>
      <sheetName val="2017-18 Telephone Answering"/>
      <sheetName val="2016-17 Telephone Answering"/>
      <sheetName val="2015-16 Daily Performance"/>
      <sheetName val="STPIS Performance Calculations"/>
      <sheetName val="2015-16 Major Event Days"/>
      <sheetName val="2015-16 Telephone Answering"/>
      <sheetName val="2014-15 Telephone Answering"/>
      <sheetName val="2014-15 Major Event Days"/>
      <sheetName val="2014-15 Daily Performance "/>
      <sheetName val="2014-15 STPIS Exclusions"/>
      <sheetName val="2013-14 STPIS Exclusions"/>
      <sheetName val="2013-14 Major Event Days"/>
      <sheetName val="2013-14 Daily Performance Data"/>
      <sheetName val="2013-14 Telephone Answering"/>
      <sheetName val="2012-13 STPIS Exclusions"/>
      <sheetName val="2012-13 Major Event Days"/>
      <sheetName val="2012-13 Daily Performance Data"/>
      <sheetName val="2012-13 Telephone Answering"/>
      <sheetName val="2011-12 Major Event Days"/>
      <sheetName val="2011-12 Daily Performance Data"/>
      <sheetName val="2011-12 Telephone Answering"/>
      <sheetName val="2011-12 STPIS Exclusions"/>
    </sheetNames>
    <sheetDataSet>
      <sheetData sheetId="0"/>
      <sheetData sheetId="1">
        <row r="8">
          <cell r="F8" t="str">
            <v>2014-15</v>
          </cell>
          <cell r="G8" t="str">
            <v>2015-16</v>
          </cell>
          <cell r="H8" t="str">
            <v>2016-17</v>
          </cell>
          <cell r="I8" t="str">
            <v>2017-18</v>
          </cell>
          <cell r="J8" t="str">
            <v>2018-19</v>
          </cell>
        </row>
      </sheetData>
      <sheetData sheetId="2">
        <row r="10">
          <cell r="I10">
            <v>6.0007706816217641E-3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Inputs"/>
      <sheetName val="Actual Performance"/>
      <sheetName val="S-factor"/>
      <sheetName val="Overlap between reg periods"/>
      <sheetName val="Customer numbers"/>
      <sheetName val="2018-19 Daily Performance"/>
      <sheetName val="2017-18 Daily Performance"/>
      <sheetName val="2016-17 Daily Performance"/>
      <sheetName val="2018-19 Major Event Days"/>
      <sheetName val="2017-18 Major Event Days"/>
      <sheetName val="2016-17 Major Event Days"/>
      <sheetName val="2018-19 Telephone Answering"/>
      <sheetName val="2017-18 Telephone Answering"/>
      <sheetName val="2016-17 Telephone Answering"/>
      <sheetName val="2015-16 Daily Performance"/>
      <sheetName val="STPIS Performance Calculations"/>
      <sheetName val="2015-16 Major Event Days"/>
      <sheetName val="2015-16 Telephone Answering"/>
      <sheetName val="2014-15 Telephone Answering"/>
      <sheetName val="2014-15 Major Event Days"/>
      <sheetName val="2014-15 Daily Performance "/>
      <sheetName val="2014-15 STPIS Exclusions"/>
      <sheetName val="2013-14 STPIS Exclusions"/>
      <sheetName val="2013-14 Major Event Days"/>
      <sheetName val="2013-14 Daily Performance Data"/>
      <sheetName val="2013-14 Telephone Answering"/>
      <sheetName val="2012-13 STPIS Exclusions"/>
      <sheetName val="2012-13 Major Event Days"/>
      <sheetName val="2012-13 Daily Performance Data"/>
      <sheetName val="2012-13 Telephone Answering"/>
      <sheetName val="2011-12 Major Event Days"/>
      <sheetName val="2011-12 Daily Performance Data"/>
      <sheetName val="2011-12 Telephone Answering"/>
      <sheetName val="2011-12 STPIS Exclusions"/>
    </sheetNames>
    <sheetDataSet>
      <sheetData sheetId="0"/>
      <sheetData sheetId="1">
        <row r="17">
          <cell r="F17">
            <v>80.532550782020834</v>
          </cell>
          <cell r="G17">
            <v>79.485700742613361</v>
          </cell>
          <cell r="H17">
            <v>80.202582271877574</v>
          </cell>
          <cell r="I17">
            <v>79.644210379949243</v>
          </cell>
          <cell r="J17">
            <v>79.675168304301209</v>
          </cell>
        </row>
      </sheetData>
      <sheetData sheetId="2">
        <row r="10">
          <cell r="I10">
            <v>6.0007706816217641E-3</v>
          </cell>
          <cell r="J10">
            <v>5.1073600690592705E-3</v>
          </cell>
          <cell r="K10">
            <v>7.5214627477730913E-3</v>
          </cell>
          <cell r="L10">
            <v>6.7063877029452622E-3</v>
          </cell>
          <cell r="M10">
            <v>3.7608915746700062E-3</v>
          </cell>
        </row>
        <row r="11">
          <cell r="I11">
            <v>1.137644297928874E-3</v>
          </cell>
          <cell r="J11">
            <v>6.4040591811657986E-3</v>
          </cell>
          <cell r="K11">
            <v>1.6523922637731392E-2</v>
          </cell>
          <cell r="L11">
            <v>1.3116744382276861E-2</v>
          </cell>
          <cell r="M11">
            <v>4.6754602504199966E-3</v>
          </cell>
        </row>
        <row r="12">
          <cell r="I12">
            <v>-1.0251721591783248E-2</v>
          </cell>
          <cell r="J12">
            <v>-2.6953949281344554E-3</v>
          </cell>
          <cell r="K12">
            <v>4.0116983602014123E-3</v>
          </cell>
          <cell r="L12">
            <v>2.0703008361670642E-3</v>
          </cell>
          <cell r="M12">
            <v>6.6253093124000919E-4</v>
          </cell>
        </row>
        <row r="13">
          <cell r="I13"/>
          <cell r="J13"/>
          <cell r="K13"/>
          <cell r="L13"/>
          <cell r="M13"/>
        </row>
        <row r="14">
          <cell r="I14">
            <v>9.0221628492578032E-3</v>
          </cell>
          <cell r="J14">
            <v>5.9792580101353035E-3</v>
          </cell>
          <cell r="K14">
            <v>8.0345717660572028E-3</v>
          </cell>
          <cell r="L14">
            <v>3.7270889987621497E-3</v>
          </cell>
          <cell r="M14">
            <v>5.9112808518500069E-3</v>
          </cell>
        </row>
        <row r="15">
          <cell r="I15">
            <v>3.4813446677671696E-3</v>
          </cell>
          <cell r="J15">
            <v>7.8190204434355221E-3</v>
          </cell>
          <cell r="K15">
            <v>1.3731369897384087E-2</v>
          </cell>
          <cell r="L15">
            <v>1.3878034657910659E-2</v>
          </cell>
          <cell r="M15">
            <v>8.1748998980100442E-3</v>
          </cell>
        </row>
        <row r="16">
          <cell r="I16">
            <v>-3.6102321053309884E-3</v>
          </cell>
          <cell r="J16">
            <v>-3.5480407917698412E-3</v>
          </cell>
          <cell r="K16">
            <v>2.355669594933084E-3</v>
          </cell>
          <cell r="L16">
            <v>4.178814966780014E-3</v>
          </cell>
          <cell r="M16">
            <v>4.6164755779200088E-3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NRs"/>
      <sheetName val="AER lookups"/>
      <sheetName val="AER ETL"/>
      <sheetName val="Business &amp; other details"/>
      <sheetName val="Intro"/>
      <sheetName val="DMS input"/>
      <sheetName val="PTRM input"/>
      <sheetName val="WACC"/>
      <sheetName val="Assets"/>
      <sheetName val="DMIA"/>
      <sheetName val="Analysis"/>
      <sheetName val="Forecast revenues"/>
      <sheetName val="X factors"/>
      <sheetName val="Revenue summary"/>
      <sheetName val="Equity raising costs"/>
      <sheetName val="Debt Raising Costs"/>
      <sheetName val="Chart 1-Revenue"/>
      <sheetName val="Chart 2-Price path"/>
      <sheetName val="Chart 3-Building bloc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4">
          <cell r="G44">
            <v>1143.9975758855662</v>
          </cell>
          <cell r="H44">
            <v>1143.9975758855662</v>
          </cell>
          <cell r="I44">
            <v>1143.9975758855662</v>
          </cell>
          <cell r="J44">
            <v>1143.9975758855662</v>
          </cell>
          <cell r="K44">
            <v>1143.9975758855662</v>
          </cell>
        </row>
      </sheetData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showGridLines="0" tabSelected="1" zoomScale="115" zoomScaleNormal="115" workbookViewId="0"/>
  </sheetViews>
  <sheetFormatPr defaultRowHeight="15" x14ac:dyDescent="0.25"/>
  <cols>
    <col min="1" max="1" width="54.7109375" customWidth="1"/>
    <col min="2" max="7" width="14.7109375" customWidth="1"/>
    <col min="8" max="8" width="12.7109375" customWidth="1"/>
    <col min="9" max="9" width="15.42578125" customWidth="1"/>
    <col min="10" max="14" width="12.7109375" customWidth="1"/>
  </cols>
  <sheetData>
    <row r="1" spans="1:14" ht="15" customHeight="1" x14ac:dyDescent="0.25">
      <c r="H1" s="33"/>
      <c r="L1" s="46" t="s">
        <v>32</v>
      </c>
      <c r="M1" s="38"/>
      <c r="N1" s="38"/>
    </row>
    <row r="2" spans="1:14" ht="15" customHeight="1" x14ac:dyDescent="0.25">
      <c r="A2" s="29" t="s">
        <v>10</v>
      </c>
      <c r="B2" s="55" t="str">
        <f>'[3]Actual Performance'!F$8</f>
        <v>2014-15</v>
      </c>
      <c r="C2" s="55" t="str">
        <f>'[3]Actual Performance'!G$8</f>
        <v>2015-16</v>
      </c>
      <c r="D2" s="55" t="str">
        <f>'[3]Actual Performance'!H$8</f>
        <v>2016-17</v>
      </c>
      <c r="E2" s="55" t="str">
        <f>'[3]Actual Performance'!I$8</f>
        <v>2017-18</v>
      </c>
      <c r="F2" s="55" t="str">
        <f>'[3]Actual Performance'!J$8</f>
        <v>2018-19</v>
      </c>
      <c r="G2" s="30" t="s">
        <v>29</v>
      </c>
      <c r="H2" s="43"/>
      <c r="L2" s="45" t="s">
        <v>30</v>
      </c>
      <c r="M2" s="46"/>
      <c r="N2" s="38"/>
    </row>
    <row r="3" spans="1:14" ht="15" customHeight="1" x14ac:dyDescent="0.25">
      <c r="A3" s="3" t="s">
        <v>1</v>
      </c>
      <c r="B3" s="36" t="s">
        <v>46</v>
      </c>
      <c r="C3" s="36"/>
      <c r="D3" s="37"/>
      <c r="E3" s="37"/>
      <c r="F3" s="37"/>
      <c r="G3" s="37"/>
      <c r="H3" s="44"/>
      <c r="L3" s="47">
        <v>41883</v>
      </c>
      <c r="M3" s="48">
        <v>106.4</v>
      </c>
      <c r="N3" s="38"/>
    </row>
    <row r="4" spans="1:14" ht="15" customHeight="1" x14ac:dyDescent="0.25">
      <c r="A4" s="3" t="s">
        <v>2</v>
      </c>
      <c r="B4" s="35">
        <f>B75+$C40</f>
        <v>117.20371210949467</v>
      </c>
      <c r="C4" s="35">
        <f t="shared" ref="C4:F4" si="0">C75+$C40</f>
        <v>123.56031784909325</v>
      </c>
      <c r="D4" s="35">
        <f t="shared" si="0"/>
        <v>98.479604780075746</v>
      </c>
      <c r="E4" s="35">
        <f t="shared" si="0"/>
        <v>117.31403546994261</v>
      </c>
      <c r="F4" s="35">
        <f t="shared" si="0"/>
        <v>128.64234766101166</v>
      </c>
      <c r="G4" s="97">
        <f>AVERAGE(B4:F4)</f>
        <v>117.04000357392358</v>
      </c>
      <c r="H4" s="44"/>
      <c r="L4" s="49">
        <v>43435</v>
      </c>
      <c r="M4" s="48">
        <v>116.9</v>
      </c>
      <c r="N4" s="38"/>
    </row>
    <row r="5" spans="1:14" ht="15" customHeight="1" x14ac:dyDescent="0.25">
      <c r="A5" s="3" t="s">
        <v>3</v>
      </c>
      <c r="B5" s="35">
        <f>B76+$D40</f>
        <v>291.98819810770937</v>
      </c>
      <c r="C5" s="35">
        <f t="shared" ref="C5:F5" si="1">C76+$D40</f>
        <v>299.2583578682657</v>
      </c>
      <c r="D5" s="35">
        <f t="shared" si="1"/>
        <v>245.48277936467758</v>
      </c>
      <c r="E5" s="35">
        <f t="shared" si="1"/>
        <v>254.66201472124578</v>
      </c>
      <c r="F5" s="35">
        <f t="shared" si="1"/>
        <v>312.59653955746478</v>
      </c>
      <c r="G5" s="97">
        <f t="shared" ref="G5:G6" si="2">AVERAGE(B5:F5)</f>
        <v>280.79757792387261</v>
      </c>
      <c r="H5" s="44"/>
      <c r="L5" s="47" t="s">
        <v>17</v>
      </c>
      <c r="M5" s="50">
        <f>M4/M3-1</f>
        <v>9.8684210526315708E-2</v>
      </c>
      <c r="N5" s="38"/>
    </row>
    <row r="6" spans="1:14" ht="15" customHeight="1" x14ac:dyDescent="0.25">
      <c r="A6" s="3" t="s">
        <v>4</v>
      </c>
      <c r="B6" s="35">
        <f>B77+$E40</f>
        <v>916.88416177165027</v>
      </c>
      <c r="C6" s="35">
        <f t="shared" ref="C6:F6" si="3">C77+$E40</f>
        <v>848.35198449242466</v>
      </c>
      <c r="D6" s="35">
        <f t="shared" si="3"/>
        <v>648.20316177260247</v>
      </c>
      <c r="E6" s="35">
        <f t="shared" si="3"/>
        <v>705.17776969038596</v>
      </c>
      <c r="F6" s="35">
        <f t="shared" si="3"/>
        <v>746.64668715957055</v>
      </c>
      <c r="G6" s="97">
        <f t="shared" si="2"/>
        <v>773.0527529773268</v>
      </c>
      <c r="H6" s="44"/>
      <c r="L6" s="46" t="s">
        <v>31</v>
      </c>
      <c r="M6" s="51"/>
      <c r="N6" s="38"/>
    </row>
    <row r="7" spans="1:14" ht="15" customHeight="1" x14ac:dyDescent="0.25">
      <c r="A7" s="6"/>
      <c r="B7" s="34"/>
      <c r="C7" s="34"/>
      <c r="D7" s="34"/>
      <c r="E7" s="34"/>
      <c r="F7" s="34"/>
      <c r="G7" s="98"/>
      <c r="H7" s="44"/>
    </row>
    <row r="8" spans="1:14" ht="15" customHeight="1" x14ac:dyDescent="0.25">
      <c r="A8" s="3" t="s">
        <v>5</v>
      </c>
      <c r="B8" s="36"/>
      <c r="C8" s="36"/>
      <c r="D8" s="37"/>
      <c r="E8" s="37"/>
      <c r="F8" s="37"/>
      <c r="G8" s="99"/>
      <c r="H8" s="44"/>
    </row>
    <row r="9" spans="1:14" ht="15" customHeight="1" x14ac:dyDescent="0.25">
      <c r="A9" s="3" t="s">
        <v>6</v>
      </c>
      <c r="B9" s="35">
        <f>B80+$C41</f>
        <v>1.1648897442221677</v>
      </c>
      <c r="C9" s="35">
        <f t="shared" ref="C9:F9" si="4">C80+$C41</f>
        <v>1.2980129167877152</v>
      </c>
      <c r="D9" s="35">
        <f t="shared" si="4"/>
        <v>0.99028031379284198</v>
      </c>
      <c r="E9" s="35">
        <f t="shared" si="4"/>
        <v>1.326678543299876</v>
      </c>
      <c r="F9" s="35">
        <f t="shared" si="4"/>
        <v>1.1936660313327339</v>
      </c>
      <c r="G9" s="100">
        <f>AVERAGE(B9:F9)</f>
        <v>1.1947055098870671</v>
      </c>
      <c r="H9" s="44"/>
    </row>
    <row r="10" spans="1:14" ht="15" customHeight="1" x14ac:dyDescent="0.25">
      <c r="A10" s="3" t="s">
        <v>7</v>
      </c>
      <c r="B10" s="35">
        <f>B81+$D41</f>
        <v>2.7839827661388585</v>
      </c>
      <c r="C10" s="35">
        <f t="shared" ref="C10:F10" si="5">C81+$D41</f>
        <v>2.5924302680420812</v>
      </c>
      <c r="D10" s="35">
        <f t="shared" si="5"/>
        <v>2.4228134764507945</v>
      </c>
      <c r="E10" s="35">
        <f t="shared" si="5"/>
        <v>2.2879545071875342</v>
      </c>
      <c r="F10" s="35">
        <f t="shared" si="5"/>
        <v>2.5496923674915029</v>
      </c>
      <c r="G10" s="100">
        <f t="shared" ref="G10:G11" si="6">AVERAGE(B10:F10)</f>
        <v>2.5273746770621544</v>
      </c>
      <c r="H10" s="44"/>
    </row>
    <row r="11" spans="1:14" ht="15" customHeight="1" x14ac:dyDescent="0.25">
      <c r="A11" s="3" t="s">
        <v>8</v>
      </c>
      <c r="B11" s="35">
        <f>B82+$E41</f>
        <v>5.8816109034608628</v>
      </c>
      <c r="C11" s="35">
        <f t="shared" ref="C11:F11" si="7">C82+$E41</f>
        <v>5.8779031605572607</v>
      </c>
      <c r="D11" s="35">
        <f t="shared" si="7"/>
        <v>4.8539633015318069</v>
      </c>
      <c r="E11" s="35">
        <f t="shared" si="7"/>
        <v>4.4218484921496106</v>
      </c>
      <c r="F11" s="35">
        <f t="shared" si="7"/>
        <v>4.3557087563170906</v>
      </c>
      <c r="G11" s="100">
        <f t="shared" si="6"/>
        <v>5.0782069228033269</v>
      </c>
      <c r="H11" s="44"/>
    </row>
    <row r="12" spans="1:14" x14ac:dyDescent="0.25">
      <c r="A12" s="6"/>
      <c r="B12" s="34"/>
      <c r="C12" s="34"/>
      <c r="D12" s="34"/>
      <c r="E12" s="34"/>
      <c r="F12" s="34"/>
      <c r="G12" s="79"/>
      <c r="H12" s="44"/>
    </row>
    <row r="13" spans="1:14" ht="15" customHeight="1" x14ac:dyDescent="0.25">
      <c r="A13" s="3" t="s">
        <v>9</v>
      </c>
      <c r="B13" s="56">
        <f>'[4]Actual Performance'!F$17</f>
        <v>80.532550782020834</v>
      </c>
      <c r="C13" s="56">
        <f>'[4]Actual Performance'!G$17</f>
        <v>79.485700742613361</v>
      </c>
      <c r="D13" s="56">
        <f>'[4]Actual Performance'!H$17</f>
        <v>80.202582271877574</v>
      </c>
      <c r="E13" s="56">
        <f>'[4]Actual Performance'!I$17</f>
        <v>79.644210379949243</v>
      </c>
      <c r="F13" s="56">
        <f>'[4]Actual Performance'!J$17</f>
        <v>79.675168304301209</v>
      </c>
      <c r="G13" s="97">
        <f>AVERAGE(B13:F13)</f>
        <v>79.908042496152447</v>
      </c>
      <c r="H13" s="44"/>
    </row>
    <row r="14" spans="1:14" ht="15" customHeight="1" x14ac:dyDescent="0.25">
      <c r="A14" s="3"/>
      <c r="B14" s="56"/>
      <c r="C14" s="56"/>
      <c r="D14" s="56"/>
      <c r="E14" s="56"/>
      <c r="F14" s="56"/>
      <c r="G14" s="56"/>
      <c r="H14" s="44"/>
    </row>
    <row r="15" spans="1:14" ht="15" customHeight="1" x14ac:dyDescent="0.25">
      <c r="H15" s="44"/>
      <c r="I15" s="53"/>
    </row>
    <row r="16" spans="1:14" ht="15" customHeight="1" x14ac:dyDescent="0.25">
      <c r="H16" s="44"/>
      <c r="I16" s="53"/>
    </row>
    <row r="17" spans="1:12" ht="15" customHeight="1" x14ac:dyDescent="0.25">
      <c r="B17" s="2"/>
      <c r="C17" s="2"/>
      <c r="D17" s="2"/>
      <c r="E17" s="2"/>
      <c r="F17" s="2"/>
      <c r="G17" s="2"/>
      <c r="H17" s="44"/>
      <c r="I17" s="53"/>
    </row>
    <row r="18" spans="1:12" ht="15" customHeight="1" x14ac:dyDescent="0.25">
      <c r="A18" s="29"/>
      <c r="B18" s="29"/>
      <c r="C18" s="29" t="s">
        <v>11</v>
      </c>
      <c r="D18" s="29" t="s">
        <v>28</v>
      </c>
      <c r="E18" s="29" t="s">
        <v>33</v>
      </c>
      <c r="F18" s="29"/>
      <c r="G18" s="29"/>
      <c r="H18" s="44"/>
      <c r="I18" s="53"/>
    </row>
    <row r="19" spans="1:12" ht="15" customHeight="1" x14ac:dyDescent="0.25">
      <c r="A19" s="8" t="s">
        <v>12</v>
      </c>
      <c r="B19" s="1"/>
      <c r="C19" s="1"/>
      <c r="D19" s="1"/>
      <c r="E19" s="1"/>
      <c r="F19" s="1"/>
      <c r="G19" s="1"/>
      <c r="H19" s="44"/>
      <c r="I19" s="53"/>
    </row>
    <row r="20" spans="1:12" ht="15" customHeight="1" x14ac:dyDescent="0.25">
      <c r="A20" s="1" t="s">
        <v>13</v>
      </c>
      <c r="B20" s="5"/>
      <c r="C20" s="39">
        <f>((C23*(1+C24)*(1-(1/(1+C25)))*C26)/C27)/(365.25*24*60)*100</f>
        <v>2.1509035670906552E-2</v>
      </c>
      <c r="D20" s="39">
        <f>((D23*(1+D24)*(1-(1/(1+D25)))*D26)/D27)/(365.25*24*60)*100</f>
        <v>2.6386460922685862E-2</v>
      </c>
      <c r="E20" s="39">
        <f>((E23*(1+E24)*(1-(1/(1+E25)))*E26)/E27)/(365.25*24*60)*100</f>
        <v>5.6863162350040781E-3</v>
      </c>
      <c r="F20" s="9"/>
      <c r="G20" s="1"/>
      <c r="H20" s="44"/>
      <c r="I20" s="52"/>
    </row>
    <row r="21" spans="1:12" ht="15" customHeight="1" x14ac:dyDescent="0.25">
      <c r="A21" s="1" t="s">
        <v>14</v>
      </c>
      <c r="B21" s="5"/>
      <c r="C21" s="39">
        <f>(C23*(1+C24)/(1+C25))*C26/C27/(365.25*24*60)*C28/C29*100</f>
        <v>1.4047632608823233</v>
      </c>
      <c r="D21" s="39">
        <f>(D23*(1+D24)/(1+D25))*D26/D27/(365.25*24*60)*D28/D29*100</f>
        <v>1.9544007158410173</v>
      </c>
      <c r="E21" s="39">
        <f>(E23*(1+E24)/(1+E25))*E26/E27/(365.25*24*60)*E28/E29*100</f>
        <v>0.57708327454853436</v>
      </c>
      <c r="F21" s="9"/>
      <c r="G21" s="1"/>
      <c r="H21" s="44"/>
    </row>
    <row r="22" spans="1:12" ht="15" customHeight="1" x14ac:dyDescent="0.25">
      <c r="A22" s="8" t="s">
        <v>15</v>
      </c>
      <c r="B22" s="5"/>
      <c r="C22" s="10"/>
      <c r="D22" s="10"/>
      <c r="E22" s="10"/>
      <c r="F22" s="11"/>
      <c r="G22" s="1"/>
      <c r="H22" s="44"/>
      <c r="J22" s="80"/>
      <c r="K22" s="80"/>
      <c r="L22" s="80"/>
    </row>
    <row r="23" spans="1:12" ht="15" customHeight="1" x14ac:dyDescent="0.25">
      <c r="A23" s="1" t="s">
        <v>16</v>
      </c>
      <c r="B23" s="5"/>
      <c r="C23" s="12">
        <f>39710</f>
        <v>39710</v>
      </c>
      <c r="D23" s="12">
        <f>C23</f>
        <v>39710</v>
      </c>
      <c r="E23" s="12">
        <f>D23</f>
        <v>39710</v>
      </c>
      <c r="F23" s="13"/>
      <c r="G23" s="1"/>
      <c r="H23" s="44"/>
      <c r="J23" s="80"/>
    </row>
    <row r="24" spans="1:12" ht="15" customHeight="1" x14ac:dyDescent="0.25">
      <c r="A24" s="1" t="s">
        <v>17</v>
      </c>
      <c r="B24" s="5"/>
      <c r="C24" s="14">
        <f>M5</f>
        <v>9.8684210526315708E-2</v>
      </c>
      <c r="D24" s="14">
        <f>M5</f>
        <v>9.8684210526315708E-2</v>
      </c>
      <c r="E24" s="14">
        <f>M5</f>
        <v>9.8684210526315708E-2</v>
      </c>
      <c r="F24" s="14"/>
      <c r="G24" s="1"/>
      <c r="H24" s="44"/>
      <c r="J24" s="80"/>
    </row>
    <row r="25" spans="1:12" ht="15" customHeight="1" x14ac:dyDescent="0.25">
      <c r="A25" s="1" t="s">
        <v>18</v>
      </c>
      <c r="B25" s="5"/>
      <c r="C25" s="11">
        <v>1.5</v>
      </c>
      <c r="D25" s="11">
        <v>1.5</v>
      </c>
      <c r="E25" s="11">
        <v>1.5</v>
      </c>
      <c r="F25" s="11"/>
      <c r="G25" s="1"/>
      <c r="H25" s="44"/>
    </row>
    <row r="26" spans="1:12" ht="15" customHeight="1" x14ac:dyDescent="0.25">
      <c r="A26" s="1" t="s">
        <v>19</v>
      </c>
      <c r="B26" s="5"/>
      <c r="C26" s="15">
        <f>I95</f>
        <v>4943957.6286798399</v>
      </c>
      <c r="D26" s="15">
        <f>I96</f>
        <v>6065057.8095897008</v>
      </c>
      <c r="E26" s="15">
        <f>I97</f>
        <v>1307027.751465417</v>
      </c>
      <c r="F26" s="11"/>
      <c r="G26" s="1"/>
      <c r="H26" s="44"/>
    </row>
    <row r="27" spans="1:12" ht="15" customHeight="1" x14ac:dyDescent="0.25">
      <c r="A27" s="1" t="s">
        <v>20</v>
      </c>
      <c r="B27" s="5"/>
      <c r="C27" s="16">
        <f>G30</f>
        <v>1143997575.8855662</v>
      </c>
      <c r="D27" s="16">
        <f>$G$30</f>
        <v>1143997575.8855662</v>
      </c>
      <c r="E27" s="16">
        <f>$G$30</f>
        <v>1143997575.8855662</v>
      </c>
      <c r="F27" s="16"/>
      <c r="G27" s="1"/>
      <c r="H27" s="44"/>
    </row>
    <row r="28" spans="1:12" ht="15" customHeight="1" x14ac:dyDescent="0.25">
      <c r="A28" s="1" t="s">
        <v>0</v>
      </c>
      <c r="B28" s="5"/>
      <c r="C28" s="17">
        <f>G4</f>
        <v>117.04000357392358</v>
      </c>
      <c r="D28" s="17">
        <f>G5</f>
        <v>280.79757792387261</v>
      </c>
      <c r="E28" s="17">
        <f>G6</f>
        <v>773.0527529773268</v>
      </c>
      <c r="F28" s="11"/>
      <c r="G28" s="1"/>
      <c r="H28" s="44"/>
    </row>
    <row r="29" spans="1:12" ht="15" customHeight="1" x14ac:dyDescent="0.25">
      <c r="A29" s="1" t="s">
        <v>21</v>
      </c>
      <c r="B29" s="5"/>
      <c r="C29" s="17">
        <f>G9</f>
        <v>1.1947055098870671</v>
      </c>
      <c r="D29" s="17">
        <f>G10</f>
        <v>2.5273746770621544</v>
      </c>
      <c r="E29" s="17">
        <f>G11</f>
        <v>5.0782069228033269</v>
      </c>
      <c r="F29" s="11"/>
      <c r="G29" s="1"/>
      <c r="H29" s="44"/>
    </row>
    <row r="30" spans="1:12" ht="15" customHeight="1" x14ac:dyDescent="0.25">
      <c r="A30" s="1" t="s">
        <v>22</v>
      </c>
      <c r="B30" s="5"/>
      <c r="C30" s="5"/>
      <c r="D30" s="5"/>
      <c r="E30" s="5"/>
      <c r="F30" s="5"/>
      <c r="G30" s="101">
        <f>AVERAGE('[5]Revenue summary'!$G$44:$K$44)*1000000</f>
        <v>1143997575.8855662</v>
      </c>
      <c r="H30" s="44"/>
    </row>
    <row r="31" spans="1:12" ht="15" customHeight="1" x14ac:dyDescent="0.25">
      <c r="A31" s="1"/>
      <c r="B31" s="2"/>
      <c r="C31" s="2"/>
      <c r="D31" s="2"/>
      <c r="E31" s="2"/>
      <c r="F31" s="2"/>
      <c r="G31" s="54"/>
      <c r="H31" s="44"/>
    </row>
    <row r="32" spans="1:12" ht="15" customHeight="1" x14ac:dyDescent="0.25">
      <c r="A32" s="1" t="s">
        <v>38</v>
      </c>
      <c r="B32" s="56"/>
      <c r="C32" s="60"/>
      <c r="D32" s="71">
        <f>G89</f>
        <v>7.0723867616923952E-2</v>
      </c>
      <c r="E32" s="65"/>
      <c r="F32" s="66"/>
      <c r="G32" s="66" t="s">
        <v>47</v>
      </c>
      <c r="H32" s="67"/>
    </row>
    <row r="33" spans="1:11" ht="15" customHeight="1" x14ac:dyDescent="0.25">
      <c r="A33" s="1" t="s">
        <v>34</v>
      </c>
      <c r="B33" s="58"/>
      <c r="C33" s="61"/>
      <c r="D33" s="61">
        <f>D32*0.6</f>
        <v>4.2434320570154373E-2</v>
      </c>
      <c r="E33" s="61"/>
      <c r="F33" s="58"/>
      <c r="G33" s="54"/>
      <c r="H33" s="44"/>
    </row>
    <row r="34" spans="1:11" ht="15" customHeight="1" x14ac:dyDescent="0.25">
      <c r="A34" s="1" t="s">
        <v>35</v>
      </c>
      <c r="B34" s="58"/>
      <c r="C34" s="61"/>
      <c r="D34" s="61">
        <f>D32*0.4</f>
        <v>2.8289547046769583E-2</v>
      </c>
      <c r="E34" s="61"/>
      <c r="F34" s="58"/>
      <c r="G34" s="54"/>
      <c r="H34" s="44"/>
    </row>
    <row r="35" spans="1:11" ht="15" customHeight="1" x14ac:dyDescent="0.25">
      <c r="A35" s="1" t="s">
        <v>48</v>
      </c>
      <c r="B35" s="58"/>
      <c r="C35" s="77">
        <v>1.5899999999999999E-4</v>
      </c>
      <c r="D35" s="77">
        <v>1.5899999999999999E-4</v>
      </c>
      <c r="E35" s="77">
        <v>3.4E-5</v>
      </c>
      <c r="G35" s="54" t="s">
        <v>41</v>
      </c>
      <c r="H35" s="44"/>
    </row>
    <row r="36" spans="1:11" ht="15" customHeight="1" x14ac:dyDescent="0.25">
      <c r="A36" s="1" t="s">
        <v>36</v>
      </c>
      <c r="B36" s="7"/>
      <c r="C36" s="78">
        <f>$D33*C$35/(SUM($C$35:$E$35))</f>
        <v>1.9167775484814048E-2</v>
      </c>
      <c r="D36" s="78">
        <f t="shared" ref="D36:E36" si="8">$D33*D$35/(SUM($C$35:$E$35))</f>
        <v>1.9167775484814048E-2</v>
      </c>
      <c r="E36" s="78">
        <f t="shared" si="8"/>
        <v>4.0987696005262749E-3</v>
      </c>
      <c r="F36" s="7"/>
      <c r="H36" s="33"/>
    </row>
    <row r="37" spans="1:11" ht="15" customHeight="1" x14ac:dyDescent="0.25">
      <c r="A37" s="1" t="s">
        <v>49</v>
      </c>
      <c r="B37" s="7"/>
      <c r="C37" s="77">
        <v>1.3823E-2</v>
      </c>
      <c r="D37" s="77">
        <v>1.8113000000000001E-2</v>
      </c>
      <c r="E37" s="77">
        <v>5.1669999999999997E-3</v>
      </c>
      <c r="F37" s="7"/>
      <c r="H37" s="33"/>
    </row>
    <row r="38" spans="1:11" ht="15" customHeight="1" x14ac:dyDescent="0.25">
      <c r="A38" s="1" t="s">
        <v>37</v>
      </c>
      <c r="B38" s="7"/>
      <c r="C38" s="78">
        <f>$D34*C$37/SUM($C$37:$E$37)</f>
        <v>1.0539482220507667E-2</v>
      </c>
      <c r="D38" s="78">
        <f t="shared" ref="D38:E38" si="9">$D34*D$37/SUM($C$37:$E$37)</f>
        <v>1.3810434888233769E-2</v>
      </c>
      <c r="E38" s="78">
        <f t="shared" si="9"/>
        <v>3.93962993802815E-3</v>
      </c>
      <c r="F38" s="7"/>
      <c r="H38" s="33"/>
      <c r="K38" s="62"/>
    </row>
    <row r="39" spans="1:11" ht="15" customHeight="1" x14ac:dyDescent="0.25">
      <c r="A39" s="1"/>
      <c r="B39" s="7"/>
      <c r="C39" s="63"/>
      <c r="D39" s="63"/>
      <c r="E39" s="63"/>
      <c r="F39" s="7"/>
      <c r="H39" s="33"/>
      <c r="K39" s="62"/>
    </row>
    <row r="40" spans="1:11" ht="15" customHeight="1" x14ac:dyDescent="0.25">
      <c r="A40" s="1" t="s">
        <v>42</v>
      </c>
      <c r="B40" s="7"/>
      <c r="C40" s="64">
        <f>C36/C35/5</f>
        <v>24.110409414860438</v>
      </c>
      <c r="D40" s="64">
        <f t="shared" ref="D40:E40" si="10">D36/D35/5</f>
        <v>24.110409414860438</v>
      </c>
      <c r="E40" s="64">
        <f t="shared" si="10"/>
        <v>24.110409414860442</v>
      </c>
      <c r="F40" s="7"/>
      <c r="H40" s="33"/>
      <c r="K40" s="62"/>
    </row>
    <row r="41" spans="1:11" ht="15" customHeight="1" x14ac:dyDescent="0.25">
      <c r="A41" s="1" t="s">
        <v>42</v>
      </c>
      <c r="B41" s="4"/>
      <c r="C41" s="64">
        <f>C38/C37/5</f>
        <v>0.15249196586135666</v>
      </c>
      <c r="D41" s="64">
        <f t="shared" ref="D41:E41" si="11">D38/D37/5</f>
        <v>0.15249196586135669</v>
      </c>
      <c r="E41" s="64">
        <f t="shared" si="11"/>
        <v>0.15249196586135669</v>
      </c>
      <c r="F41" s="7"/>
      <c r="H41" s="33"/>
    </row>
    <row r="42" spans="1:11" ht="15" customHeight="1" x14ac:dyDescent="0.25">
      <c r="B42" s="40"/>
      <c r="C42" s="59"/>
      <c r="D42" s="59"/>
      <c r="E42" s="59"/>
      <c r="F42" s="7"/>
      <c r="H42" s="33"/>
      <c r="K42" s="62"/>
    </row>
    <row r="43" spans="1:11" ht="15" customHeight="1" x14ac:dyDescent="0.25">
      <c r="H43" s="33"/>
      <c r="K43" s="62"/>
    </row>
    <row r="44" spans="1:11" ht="15" customHeight="1" x14ac:dyDescent="0.25">
      <c r="A44" s="18" t="s">
        <v>23</v>
      </c>
      <c r="H44" s="33"/>
      <c r="K44" s="62"/>
    </row>
    <row r="45" spans="1:11" ht="15" customHeight="1" x14ac:dyDescent="0.25">
      <c r="A45" s="1" t="s">
        <v>39</v>
      </c>
    </row>
    <row r="46" spans="1:11" s="4" customFormat="1" ht="15" customHeight="1" x14ac:dyDescent="0.2">
      <c r="A46" s="19"/>
      <c r="B46" s="20" t="str">
        <f>C18</f>
        <v>Urban</v>
      </c>
      <c r="C46" s="20" t="str">
        <f>D18</f>
        <v>Short rural</v>
      </c>
      <c r="D46" s="20" t="str">
        <f>E18</f>
        <v>Long rural</v>
      </c>
    </row>
    <row r="47" spans="1:11" s="23" customFormat="1" ht="15" customHeight="1" x14ac:dyDescent="0.2">
      <c r="A47" s="22" t="s">
        <v>0</v>
      </c>
      <c r="B47" s="92">
        <f t="shared" ref="B47:D48" si="12">C20</f>
        <v>2.1509035670906552E-2</v>
      </c>
      <c r="C47" s="92">
        <f t="shared" si="12"/>
        <v>2.6386460922685862E-2</v>
      </c>
      <c r="D47" s="92">
        <f t="shared" si="12"/>
        <v>5.6863162350040781E-3</v>
      </c>
    </row>
    <row r="48" spans="1:11" s="23" customFormat="1" ht="15" customHeight="1" x14ac:dyDescent="0.2">
      <c r="A48" s="22" t="s">
        <v>21</v>
      </c>
      <c r="B48" s="92">
        <f t="shared" si="12"/>
        <v>1.4047632608823233</v>
      </c>
      <c r="C48" s="92">
        <f t="shared" si="12"/>
        <v>1.9544007158410173</v>
      </c>
      <c r="D48" s="92">
        <f t="shared" si="12"/>
        <v>0.57708327454853436</v>
      </c>
    </row>
    <row r="49" spans="1:4" s="4" customFormat="1" ht="15" customHeight="1" x14ac:dyDescent="0.2"/>
    <row r="50" spans="1:4" s="4" customFormat="1" ht="15" customHeight="1" x14ac:dyDescent="0.2">
      <c r="A50" s="1" t="s">
        <v>40</v>
      </c>
    </row>
    <row r="51" spans="1:4" s="4" customFormat="1" ht="15" customHeight="1" x14ac:dyDescent="0.2">
      <c r="A51" s="21"/>
      <c r="B51" s="20" t="s">
        <v>24</v>
      </c>
    </row>
    <row r="52" spans="1:4" s="25" customFormat="1" ht="15" customHeight="1" x14ac:dyDescent="0.2">
      <c r="A52" s="24" t="s">
        <v>11</v>
      </c>
      <c r="B52" s="40"/>
    </row>
    <row r="53" spans="1:4" s="25" customFormat="1" ht="15" customHeight="1" x14ac:dyDescent="0.2">
      <c r="A53" s="26" t="s">
        <v>0</v>
      </c>
      <c r="B53" s="42">
        <f>G4</f>
        <v>117.04000357392358</v>
      </c>
    </row>
    <row r="54" spans="1:4" s="25" customFormat="1" ht="15" customHeight="1" x14ac:dyDescent="0.2">
      <c r="A54" s="26" t="s">
        <v>21</v>
      </c>
      <c r="B54" s="42">
        <f>G9</f>
        <v>1.1947055098870671</v>
      </c>
    </row>
    <row r="55" spans="1:4" s="25" customFormat="1" ht="15" customHeight="1" x14ac:dyDescent="0.2">
      <c r="A55" s="24" t="s">
        <v>28</v>
      </c>
      <c r="B55" s="42"/>
    </row>
    <row r="56" spans="1:4" s="25" customFormat="1" ht="15" customHeight="1" x14ac:dyDescent="0.2">
      <c r="A56" s="26" t="s">
        <v>0</v>
      </c>
      <c r="B56" s="42">
        <f>G5</f>
        <v>280.79757792387261</v>
      </c>
    </row>
    <row r="57" spans="1:4" s="25" customFormat="1" ht="15" customHeight="1" x14ac:dyDescent="0.2">
      <c r="A57" s="26" t="s">
        <v>21</v>
      </c>
      <c r="B57" s="42">
        <f>G10</f>
        <v>2.5273746770621544</v>
      </c>
    </row>
    <row r="58" spans="1:4" s="25" customFormat="1" ht="15" customHeight="1" x14ac:dyDescent="0.2">
      <c r="A58" s="24" t="s">
        <v>33</v>
      </c>
      <c r="B58" s="42"/>
    </row>
    <row r="59" spans="1:4" s="25" customFormat="1" ht="15" customHeight="1" x14ac:dyDescent="0.2">
      <c r="A59" s="26" t="s">
        <v>0</v>
      </c>
      <c r="B59" s="42">
        <f>G6</f>
        <v>773.0527529773268</v>
      </c>
    </row>
    <row r="60" spans="1:4" s="25" customFormat="1" ht="15" customHeight="1" x14ac:dyDescent="0.2">
      <c r="A60" s="26" t="s">
        <v>21</v>
      </c>
      <c r="B60" s="42">
        <f>G11</f>
        <v>5.0782069228033269</v>
      </c>
    </row>
    <row r="61" spans="1:4" s="27" customFormat="1" ht="15" customHeight="1" x14ac:dyDescent="0.25">
      <c r="A61" s="28" t="s">
        <v>25</v>
      </c>
      <c r="B61" s="40"/>
    </row>
    <row r="62" spans="1:4" s="27" customFormat="1" ht="15" customHeight="1" x14ac:dyDescent="0.25">
      <c r="A62" s="31" t="s">
        <v>26</v>
      </c>
      <c r="B62" s="57">
        <f>G13</f>
        <v>79.908042496152447</v>
      </c>
    </row>
    <row r="63" spans="1:4" ht="15" customHeight="1" x14ac:dyDescent="0.25">
      <c r="A63" s="32"/>
      <c r="B63" s="32"/>
    </row>
    <row r="64" spans="1:4" x14ac:dyDescent="0.25">
      <c r="A64" s="1" t="s">
        <v>27</v>
      </c>
      <c r="D64" s="38"/>
    </row>
    <row r="65" spans="1:6" x14ac:dyDescent="0.25">
      <c r="A65" s="19"/>
      <c r="B65" s="20" t="str">
        <f>B46</f>
        <v>Urban</v>
      </c>
      <c r="C65" s="20" t="str">
        <f>C46</f>
        <v>Short rural</v>
      </c>
      <c r="D65" s="20" t="str">
        <f>D46</f>
        <v>Long rural</v>
      </c>
    </row>
    <row r="66" spans="1:6" x14ac:dyDescent="0.25">
      <c r="A66" s="31" t="s">
        <v>16</v>
      </c>
      <c r="B66" s="41">
        <f>C23</f>
        <v>39710</v>
      </c>
      <c r="C66" s="41">
        <f>B66</f>
        <v>39710</v>
      </c>
      <c r="D66" s="41">
        <f>C66</f>
        <v>39710</v>
      </c>
    </row>
    <row r="72" spans="1:6" x14ac:dyDescent="0.25">
      <c r="A72" s="72" t="s">
        <v>63</v>
      </c>
    </row>
    <row r="73" spans="1:6" x14ac:dyDescent="0.25">
      <c r="A73" s="29" t="s">
        <v>10</v>
      </c>
      <c r="B73" s="76" t="str">
        <f>B2</f>
        <v>2014-15</v>
      </c>
      <c r="C73" s="76" t="str">
        <f t="shared" ref="C73:F73" si="13">C2</f>
        <v>2015-16</v>
      </c>
      <c r="D73" s="76" t="str">
        <f t="shared" si="13"/>
        <v>2016-17</v>
      </c>
      <c r="E73" s="76" t="str">
        <f t="shared" si="13"/>
        <v>2017-18</v>
      </c>
      <c r="F73" s="76" t="str">
        <f t="shared" si="13"/>
        <v>2018-19</v>
      </c>
    </row>
    <row r="74" spans="1:6" x14ac:dyDescent="0.25">
      <c r="A74" s="3" t="s">
        <v>1</v>
      </c>
      <c r="B74" s="73"/>
      <c r="C74" s="73"/>
      <c r="D74" s="73"/>
      <c r="E74" s="73"/>
      <c r="F74" s="73"/>
    </row>
    <row r="75" spans="1:6" x14ac:dyDescent="0.25">
      <c r="A75" s="3" t="s">
        <v>2</v>
      </c>
      <c r="B75" s="73">
        <v>93.093302694634232</v>
      </c>
      <c r="C75" s="73">
        <v>99.44990843423281</v>
      </c>
      <c r="D75" s="73">
        <v>74.369195365215305</v>
      </c>
      <c r="E75" s="73">
        <v>93.203626055082168</v>
      </c>
      <c r="F75" s="73">
        <v>104.53193824615121</v>
      </c>
    </row>
    <row r="76" spans="1:6" x14ac:dyDescent="0.25">
      <c r="A76" s="3" t="s">
        <v>3</v>
      </c>
      <c r="B76" s="73">
        <v>267.87778869284892</v>
      </c>
      <c r="C76" s="73">
        <v>275.14794845340526</v>
      </c>
      <c r="D76" s="73">
        <v>221.37236994981714</v>
      </c>
      <c r="E76" s="73">
        <v>230.55160530638534</v>
      </c>
      <c r="F76" s="73">
        <v>288.48613014260434</v>
      </c>
    </row>
    <row r="77" spans="1:6" x14ac:dyDescent="0.25">
      <c r="A77" s="3" t="s">
        <v>4</v>
      </c>
      <c r="B77" s="73">
        <v>892.77375235678983</v>
      </c>
      <c r="C77" s="73">
        <v>824.24157507756422</v>
      </c>
      <c r="D77" s="73">
        <v>624.09275235774203</v>
      </c>
      <c r="E77" s="73">
        <v>681.06736027552552</v>
      </c>
      <c r="F77" s="73">
        <v>722.53627774471011</v>
      </c>
    </row>
    <row r="78" spans="1:6" x14ac:dyDescent="0.25">
      <c r="A78" s="3"/>
      <c r="B78" s="73"/>
      <c r="C78" s="73"/>
      <c r="D78" s="73"/>
      <c r="E78" s="73"/>
      <c r="F78" s="73"/>
    </row>
    <row r="79" spans="1:6" x14ac:dyDescent="0.25">
      <c r="A79" s="3" t="s">
        <v>5</v>
      </c>
      <c r="B79" s="73"/>
      <c r="C79" s="73"/>
      <c r="D79" s="73"/>
      <c r="E79" s="73"/>
      <c r="F79" s="73"/>
    </row>
    <row r="80" spans="1:6" x14ac:dyDescent="0.25">
      <c r="A80" s="3" t="s">
        <v>6</v>
      </c>
      <c r="B80" s="74">
        <v>1.0123977783608111</v>
      </c>
      <c r="C80" s="74">
        <v>1.1455209509263586</v>
      </c>
      <c r="D80" s="74">
        <v>0.83778834793148538</v>
      </c>
      <c r="E80" s="74">
        <v>1.1741865774385194</v>
      </c>
      <c r="F80" s="74">
        <v>1.0411740654713773</v>
      </c>
    </row>
    <row r="81" spans="1:9" x14ac:dyDescent="0.25">
      <c r="A81" s="3" t="s">
        <v>7</v>
      </c>
      <c r="B81" s="74">
        <v>2.6314908002775019</v>
      </c>
      <c r="C81" s="74">
        <v>2.4399383021807246</v>
      </c>
      <c r="D81" s="74">
        <v>2.2703215105894379</v>
      </c>
      <c r="E81" s="74">
        <v>2.1354625413261776</v>
      </c>
      <c r="F81" s="74">
        <v>2.3972004016301462</v>
      </c>
    </row>
    <row r="82" spans="1:9" x14ac:dyDescent="0.25">
      <c r="A82" s="3" t="s">
        <v>8</v>
      </c>
      <c r="B82" s="74">
        <v>5.7291189375995062</v>
      </c>
      <c r="C82" s="74">
        <v>5.7254111946959041</v>
      </c>
      <c r="D82" s="74">
        <v>4.7014713356704503</v>
      </c>
      <c r="E82" s="74">
        <v>4.269356526288254</v>
      </c>
      <c r="F82" s="74">
        <v>4.203216790455734</v>
      </c>
    </row>
    <row r="86" spans="1:9" x14ac:dyDescent="0.25">
      <c r="A86" s="72" t="s">
        <v>64</v>
      </c>
      <c r="B86" s="76" t="str">
        <f>B2</f>
        <v>2014-15</v>
      </c>
      <c r="C86" s="76" t="str">
        <f t="shared" ref="C86:F86" si="14">C2</f>
        <v>2015-16</v>
      </c>
      <c r="D86" s="76" t="str">
        <f t="shared" si="14"/>
        <v>2016-17</v>
      </c>
      <c r="E86" s="76" t="str">
        <f t="shared" si="14"/>
        <v>2017-18</v>
      </c>
      <c r="F86" s="76" t="str">
        <f t="shared" si="14"/>
        <v>2018-19</v>
      </c>
      <c r="G86" t="s">
        <v>62</v>
      </c>
    </row>
    <row r="87" spans="1:9" x14ac:dyDescent="0.25">
      <c r="A87" s="75" t="s">
        <v>45</v>
      </c>
      <c r="B87" s="70">
        <f>SUM('[4]S-factor'!I$10:I$16)</f>
        <v>5.7799687994613755E-3</v>
      </c>
      <c r="C87" s="70">
        <f>SUM('[4]S-factor'!J$10:J$16)</f>
        <v>1.9066261983891601E-2</v>
      </c>
      <c r="D87" s="70">
        <f>SUM('[4]S-factor'!K$10:K$16)</f>
        <v>5.2178695004080268E-2</v>
      </c>
      <c r="E87" s="70">
        <f>SUM('[4]S-factor'!L$10:L$16)</f>
        <v>4.3677371544842004E-2</v>
      </c>
      <c r="F87" s="70">
        <f>SUM('[4]S-factor'!M$10:M$16)</f>
        <v>2.780153908411007E-2</v>
      </c>
    </row>
    <row r="88" spans="1:9" x14ac:dyDescent="0.25">
      <c r="A88" s="68" t="s">
        <v>44</v>
      </c>
      <c r="B88" s="70">
        <v>1.7999999999999999E-2</v>
      </c>
      <c r="C88" s="70">
        <v>1.7999999999999999E-2</v>
      </c>
      <c r="D88" s="70">
        <v>1.7999999999999999E-2</v>
      </c>
      <c r="E88" s="70">
        <v>1.7999999999999999E-2</v>
      </c>
      <c r="F88" s="70">
        <v>1.7999999999999999E-2</v>
      </c>
    </row>
    <row r="89" spans="1:9" x14ac:dyDescent="0.25">
      <c r="A89" s="68" t="s">
        <v>43</v>
      </c>
      <c r="B89" s="69">
        <f>IF(B87&gt;B88,B87-B88,0)</f>
        <v>0</v>
      </c>
      <c r="C89" s="69">
        <f>IF(C87&gt;C88,C87-C88,0)</f>
        <v>1.0662619838916025E-3</v>
      </c>
      <c r="D89" s="69">
        <f>IF(D87&gt;D88,D87-D88,0)</f>
        <v>3.4178695004080273E-2</v>
      </c>
      <c r="E89" s="69">
        <f>IF(E87&gt;E88,E87-E88,0)</f>
        <v>2.5677371544842006E-2</v>
      </c>
      <c r="F89" s="69">
        <f>IF(F87&gt;F88,F87-F88,0)</f>
        <v>9.8015390841100711E-3</v>
      </c>
      <c r="G89" s="62">
        <f>SUM(B89:F89)</f>
        <v>7.0723867616923952E-2</v>
      </c>
    </row>
    <row r="93" spans="1:9" x14ac:dyDescent="0.25">
      <c r="A93" s="72" t="s">
        <v>50</v>
      </c>
      <c r="B93" s="81"/>
      <c r="C93" s="81"/>
      <c r="D93" s="82"/>
      <c r="E93" s="82"/>
      <c r="F93" s="82"/>
      <c r="G93" s="82"/>
      <c r="H93" s="82"/>
      <c r="I93" s="83"/>
    </row>
    <row r="94" spans="1:9" ht="27" customHeight="1" x14ac:dyDescent="0.25">
      <c r="A94" s="84" t="s">
        <v>51</v>
      </c>
      <c r="B94" s="84"/>
      <c r="C94" s="84" t="s">
        <v>52</v>
      </c>
      <c r="D94" s="85" t="s">
        <v>57</v>
      </c>
      <c r="E94" s="85" t="s">
        <v>58</v>
      </c>
      <c r="F94" s="85" t="s">
        <v>59</v>
      </c>
      <c r="G94" s="85" t="s">
        <v>60</v>
      </c>
      <c r="H94" s="85" t="s">
        <v>61</v>
      </c>
      <c r="I94" s="86" t="s">
        <v>56</v>
      </c>
    </row>
    <row r="95" spans="1:9" x14ac:dyDescent="0.25">
      <c r="A95" s="87" t="s">
        <v>53</v>
      </c>
      <c r="B95" s="88"/>
      <c r="C95" s="102"/>
      <c r="D95" s="89">
        <v>4962839.4036769494</v>
      </c>
      <c r="E95" s="89">
        <v>4955549.4916886697</v>
      </c>
      <c r="F95" s="89">
        <v>4938944.656665246</v>
      </c>
      <c r="G95" s="89">
        <v>4945343.0845146049</v>
      </c>
      <c r="H95" s="89">
        <v>4917111.5068537248</v>
      </c>
      <c r="I95" s="80">
        <f>AVERAGE(D95:H95)</f>
        <v>4943957.6286798399</v>
      </c>
    </row>
    <row r="96" spans="1:9" x14ac:dyDescent="0.25">
      <c r="A96" s="87" t="s">
        <v>54</v>
      </c>
      <c r="B96" s="88"/>
      <c r="C96" s="102"/>
      <c r="D96" s="89">
        <v>6088221.247771455</v>
      </c>
      <c r="E96" s="89">
        <v>6079278.2630299898</v>
      </c>
      <c r="F96" s="89">
        <v>6058908.0875755018</v>
      </c>
      <c r="G96" s="89">
        <v>6066757.4337292248</v>
      </c>
      <c r="H96" s="89">
        <v>6032124.0158423325</v>
      </c>
      <c r="I96" s="80">
        <f t="shared" ref="I96:I97" si="15">AVERAGE(D96:H96)</f>
        <v>6065057.8095897008</v>
      </c>
    </row>
    <row r="97" spans="1:9" x14ac:dyDescent="0.25">
      <c r="A97" s="87" t="s">
        <v>55</v>
      </c>
      <c r="B97" s="88"/>
      <c r="C97" s="102"/>
      <c r="D97" s="89">
        <v>1312019.5021582197</v>
      </c>
      <c r="E97" s="89">
        <v>1310092.2774548465</v>
      </c>
      <c r="F97" s="89">
        <v>1305702.4784690663</v>
      </c>
      <c r="G97" s="89">
        <v>1307394.0226514733</v>
      </c>
      <c r="H97" s="89">
        <v>1299930.4765934797</v>
      </c>
      <c r="I97" s="80">
        <f t="shared" si="15"/>
        <v>1307027.751465417</v>
      </c>
    </row>
    <row r="98" spans="1:9" x14ac:dyDescent="0.25">
      <c r="A98" s="90"/>
      <c r="B98" s="90"/>
      <c r="C98" s="90"/>
      <c r="D98" s="91"/>
      <c r="E98" s="91"/>
      <c r="F98" s="91"/>
      <c r="G98" s="91"/>
      <c r="H98" s="91"/>
      <c r="I98" s="91"/>
    </row>
    <row r="103" spans="1:9" x14ac:dyDescent="0.25">
      <c r="B103" s="93"/>
      <c r="C103" s="93"/>
      <c r="D103" s="93"/>
      <c r="E103" s="93"/>
    </row>
    <row r="104" spans="1:9" x14ac:dyDescent="0.25">
      <c r="B104" s="93"/>
      <c r="C104" s="93"/>
      <c r="D104" s="93"/>
      <c r="E104" s="93"/>
    </row>
    <row r="105" spans="1:9" x14ac:dyDescent="0.25">
      <c r="B105" s="93"/>
      <c r="C105" s="93"/>
      <c r="D105" s="93"/>
      <c r="E105" s="93"/>
    </row>
    <row r="106" spans="1:9" x14ac:dyDescent="0.25">
      <c r="B106" s="94"/>
      <c r="C106" s="94"/>
      <c r="D106" s="94"/>
      <c r="E106" s="94"/>
    </row>
    <row r="107" spans="1:9" x14ac:dyDescent="0.25">
      <c r="B107" s="94"/>
      <c r="C107" s="94"/>
      <c r="D107" s="94"/>
      <c r="E107" s="94"/>
    </row>
    <row r="108" spans="1:9" x14ac:dyDescent="0.25">
      <c r="B108" s="94"/>
      <c r="C108" s="94"/>
      <c r="D108" s="94"/>
      <c r="E108" s="94"/>
    </row>
    <row r="110" spans="1:9" x14ac:dyDescent="0.25">
      <c r="B110" s="95"/>
      <c r="C110" s="95"/>
      <c r="D110" s="95"/>
      <c r="E110" s="95"/>
    </row>
    <row r="111" spans="1:9" x14ac:dyDescent="0.25">
      <c r="B111" s="95"/>
      <c r="C111" s="95"/>
      <c r="D111" s="95"/>
      <c r="E111" s="95"/>
    </row>
    <row r="112" spans="1:9" x14ac:dyDescent="0.25">
      <c r="B112" s="95"/>
      <c r="C112" s="95"/>
      <c r="D112" s="95"/>
      <c r="E112" s="95"/>
    </row>
    <row r="113" spans="2:5" x14ac:dyDescent="0.25">
      <c r="B113" s="95"/>
      <c r="C113" s="95"/>
      <c r="D113" s="95"/>
      <c r="E113" s="95"/>
    </row>
    <row r="114" spans="2:5" x14ac:dyDescent="0.25">
      <c r="B114" s="95"/>
      <c r="C114" s="95"/>
      <c r="D114" s="95"/>
      <c r="E114" s="95"/>
    </row>
    <row r="115" spans="2:5" x14ac:dyDescent="0.25">
      <c r="B115" s="95"/>
      <c r="C115" s="95"/>
      <c r="D115" s="95"/>
      <c r="E115" s="95"/>
    </row>
    <row r="117" spans="2:5" x14ac:dyDescent="0.25">
      <c r="B117" s="96"/>
    </row>
    <row r="118" spans="2:5" x14ac:dyDescent="0.25">
      <c r="B118" s="96"/>
    </row>
    <row r="119" spans="2:5" x14ac:dyDescent="0.25">
      <c r="B119" s="96"/>
    </row>
    <row r="120" spans="2:5" x14ac:dyDescent="0.25">
      <c r="B120" s="96"/>
    </row>
    <row r="121" spans="2:5" x14ac:dyDescent="0.25">
      <c r="B121" s="96"/>
    </row>
    <row r="122" spans="2:5" x14ac:dyDescent="0.25">
      <c r="B122" s="96"/>
    </row>
  </sheetData>
  <mergeCells count="1">
    <mergeCell ref="C95:C97"/>
  </mergeCells>
  <pageMargins left="0.7" right="0.7" top="0.75" bottom="0.75" header="0.3" footer="0.3"/>
  <pageSetup paperSize="9" orientation="portrait" r:id="rId1"/>
  <ignoredErrors>
    <ignoredError sqref="B4:F12 G4:G12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C9BADB7961D94AA479786BE745AB6B" ma:contentTypeVersion="5" ma:contentTypeDescription="Create a new document." ma:contentTypeScope="" ma:versionID="cd2ee2c1adfa42f862662ca3fdc1150d">
  <xsd:schema xmlns:xsd="http://www.w3.org/2001/XMLSchema" xmlns:xs="http://www.w3.org/2001/XMLSchema" xmlns:p="http://schemas.microsoft.com/office/2006/metadata/properties" xmlns:ns2="65930c9a-4307-4bf5-9068-61a0eebb0c4e" targetNamespace="http://schemas.microsoft.com/office/2006/metadata/properties" ma:root="true" ma:fieldsID="ebcd64067fedc2813dfb0fdf83e74e36" ns2:_="">
    <xsd:import namespace="65930c9a-4307-4bf5-9068-61a0eebb0c4e"/>
    <xsd:element name="properties">
      <xsd:complexType>
        <xsd:sequence>
          <xsd:element name="documentManagement">
            <xsd:complexType>
              <xsd:all>
                <xsd:element ref="ns2:Internal_x0020__x002f__x0020_Public" minOccurs="0"/>
                <xsd:element ref="ns2:Stage" minOccurs="0"/>
                <xsd:element ref="ns2:Document_x0020_Section" minOccurs="0"/>
                <xsd:element ref="ns2:Responsibil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930c9a-4307-4bf5-9068-61a0eebb0c4e" elementFormDefault="qualified">
    <xsd:import namespace="http://schemas.microsoft.com/office/2006/documentManagement/types"/>
    <xsd:import namespace="http://schemas.microsoft.com/office/infopath/2007/PartnerControls"/>
    <xsd:element name="Internal_x0020__x002f__x0020_Public" ma:index="8" nillable="true" ma:displayName="Internal / Public" ma:format="Dropdown" ma:internalName="Internal_x0020__x002f__x0020_Public">
      <xsd:simpleType>
        <xsd:restriction base="dms:Choice">
          <xsd:enumeration value="Internal"/>
          <xsd:enumeration value="Public"/>
        </xsd:restriction>
      </xsd:simpleType>
    </xsd:element>
    <xsd:element name="Stage" ma:index="9" nillable="true" ma:displayName="Document Type" ma:format="Dropdown" ma:internalName="Stage">
      <xsd:simpleType>
        <xsd:restriction base="dms:Choice">
          <xsd:enumeration value="Forecast"/>
          <xsd:enumeration value="Historical"/>
          <xsd:enumeration value="Regulatory documents"/>
          <xsd:enumeration value="Submitted justification documents"/>
          <xsd:enumeration value="Management"/>
          <xsd:enumeration value="Internal Comms"/>
          <xsd:enumeration value="Governance"/>
          <xsd:enumeration value="Decision Support"/>
          <xsd:enumeration value="Customer Communications"/>
          <xsd:enumeration value="AER communications"/>
          <xsd:enumeration value="Government Relations"/>
          <xsd:enumeration value="Preliminary Proposal"/>
        </xsd:restriction>
      </xsd:simpleType>
    </xsd:element>
    <xsd:element name="Document_x0020_Section" ma:index="10" nillable="true" ma:displayName="Audience" ma:format="Dropdown" ma:internalName="Document_x0020_Section">
      <xsd:simpleType>
        <xsd:restriction base="dms:Choice">
          <xsd:enumeration value="Project internal"/>
          <xsd:enumeration value="GM Governance Group"/>
          <xsd:enumeration value="RSSC"/>
          <xsd:enumeration value="DNSP Boards"/>
          <xsd:enumeration value="Board Regulatory Committee"/>
          <xsd:enumeration value="EQL Board"/>
          <xsd:enumeration value="Public"/>
        </xsd:restriction>
      </xsd:simpleType>
    </xsd:element>
    <xsd:element name="Responsibility" ma:index="11" nillable="true" ma:displayName="Responsibility" ma:format="Dropdown" ma:indexed="true" ma:internalName="Responsibility">
      <xsd:simpleType>
        <xsd:restriction base="dms:Choice">
          <xsd:enumeration value="Central"/>
          <xsd:enumeration value="Regulatory"/>
          <xsd:enumeration value="Customer"/>
          <xsd:enumeration value="Investment"/>
          <xsd:enumeration value="Financ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ection xmlns="65930c9a-4307-4bf5-9068-61a0eebb0c4e" xsi:nil="true"/>
    <Internal_x0020__x002f__x0020_Public xmlns="65930c9a-4307-4bf5-9068-61a0eebb0c4e" xsi:nil="true"/>
    <Stage xmlns="65930c9a-4307-4bf5-9068-61a0eebb0c4e" xsi:nil="true"/>
    <Responsibility xmlns="65930c9a-4307-4bf5-9068-61a0eebb0c4e" xsi:nil="true"/>
  </documentManagement>
</p:properties>
</file>

<file path=customXml/itemProps1.xml><?xml version="1.0" encoding="utf-8"?>
<ds:datastoreItem xmlns:ds="http://schemas.openxmlformats.org/officeDocument/2006/customXml" ds:itemID="{5955DCCC-2298-4849-A410-DE83430F7B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930c9a-4307-4bf5-9068-61a0eebb0c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4B5E6A-4BFB-41A4-8ADE-CF18C9C573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D8DC6D-1D7A-46CC-89DA-4A85FE91B19D}">
  <ds:schemaRefs>
    <ds:schemaRef ds:uri="65930c9a-4307-4bf5-9068-61a0eebb0c4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Revised Regulatory Proposal</vt:lpstr>
    </vt:vector>
  </TitlesOfParts>
  <Company>ACCC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Lam, Vu</dc:creator>
  <cp:lastModifiedBy>Jane Kelly</cp:lastModifiedBy>
  <cp:lastPrinted>2015-10-19T01:49:52Z</cp:lastPrinted>
  <dcterms:created xsi:type="dcterms:W3CDTF">2015-09-08T05:22:22Z</dcterms:created>
  <dcterms:modified xsi:type="dcterms:W3CDTF">2019-12-12T00:44:30Z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0x0101001DC9BADB7961D94AA479786BE745AB6B</vt:lpwstr>
  </property>
  <property fmtid="{D5CDD505-2E9C-101B-9397-08002B2CF9AE}" pid="3" name="_MarkAsFinal">
    <vt:bool>true</vt:bool>
  </property>
</Properties>
</file>